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0230" yWindow="-15" windowWidth="10275" windowHeight="8175" firstSheet="5" activeTab="5"/>
  </bookViews>
  <sheets>
    <sheet name="Spanos KU" sheetId="1" r:id="rId1"/>
    <sheet name="Adj. 1 Spanos no terminal NS" sheetId="5" r:id="rId2"/>
    <sheet name="Adjustment 2 SK Inter Rets" sheetId="6" r:id="rId3"/>
    <sheet name="SK Incremental Adjustments" sheetId="8" r:id="rId4"/>
    <sheet name="Spanos KU Prod No Term. NS" sheetId="3" r:id="rId5"/>
    <sheet name="SKM Prod NS Weighting" sheetId="4" r:id="rId6"/>
    <sheet name="SK Rates comp to Spanos" sheetId="9" r:id="rId7"/>
    <sheet name="Sheet1" sheetId="10" r:id="rId8"/>
  </sheets>
  <externalReferences>
    <externalReference r:id="rId9"/>
    <externalReference r:id="rId10"/>
  </externalReferences>
  <definedNames>
    <definedName name="_xlnm.Print_Area" localSheetId="6">'SK Rates comp to Spanos'!$A$1:$Y$373</definedName>
    <definedName name="_xlnm.Print_Area" localSheetId="0">'Spanos KU'!$D$12:$Y$364</definedName>
    <definedName name="_xlnm.Print_Area" localSheetId="4">'Spanos KU Prod No Term. NS'!$E$12:$U$131</definedName>
    <definedName name="_xlnm.Print_Titles" localSheetId="6">'SK Rates comp to Spanos'!$1:$10</definedName>
    <definedName name="_xlnm.Print_Titles" localSheetId="0">'Spanos KU'!$A:$C,'Spanos KU'!$1:$11</definedName>
    <definedName name="_xlnm.Print_Titles" localSheetId="4">'Spanos KU Prod No Term. NS'!$A:$D,'Spanos KU Prod No Term. NS'!$1:$11</definedName>
  </definedNames>
  <calcPr calcId="145621"/>
</workbook>
</file>

<file path=xl/calcChain.xml><?xml version="1.0" encoding="utf-8"?>
<calcChain xmlns="http://schemas.openxmlformats.org/spreadsheetml/2006/main">
  <c r="C14" i="10" l="1"/>
  <c r="F14" i="10" s="1"/>
  <c r="H14" i="10" s="1"/>
  <c r="G14" i="10"/>
  <c r="B15" i="10"/>
  <c r="C15" i="10"/>
  <c r="F15" i="10" s="1"/>
  <c r="H15" i="10" s="1"/>
  <c r="G15" i="10"/>
  <c r="B16" i="10"/>
  <c r="C16" i="10"/>
  <c r="F16" i="10" s="1"/>
  <c r="H16" i="10" s="1"/>
  <c r="G16" i="10"/>
  <c r="J16" i="10"/>
  <c r="L16" i="10"/>
  <c r="M16" i="10"/>
  <c r="B17" i="10"/>
  <c r="C17" i="10" s="1"/>
  <c r="J17" i="10"/>
  <c r="L17" i="10"/>
  <c r="M17" i="10"/>
  <c r="B18" i="10"/>
  <c r="J18" i="10"/>
  <c r="L18" i="10"/>
  <c r="M18" i="10"/>
  <c r="J19" i="10"/>
  <c r="L19" i="10"/>
  <c r="M19" i="10"/>
  <c r="J20" i="10"/>
  <c r="L20" i="10"/>
  <c r="M20" i="10"/>
  <c r="J21" i="10"/>
  <c r="L21" i="10"/>
  <c r="M21" i="10"/>
  <c r="J22" i="10"/>
  <c r="L22" i="10"/>
  <c r="M22" i="10"/>
  <c r="J23" i="10"/>
  <c r="L23" i="10"/>
  <c r="M23" i="10"/>
  <c r="J24" i="10"/>
  <c r="L24" i="10"/>
  <c r="M24" i="10"/>
  <c r="J25" i="10"/>
  <c r="L25" i="10"/>
  <c r="M25" i="10"/>
  <c r="J26" i="10"/>
  <c r="L26" i="10"/>
  <c r="M26" i="10"/>
  <c r="J27" i="10"/>
  <c r="L27" i="10"/>
  <c r="M27" i="10"/>
  <c r="J28" i="10"/>
  <c r="L28" i="10"/>
  <c r="M28" i="10"/>
  <c r="J29" i="10"/>
  <c r="L29" i="10"/>
  <c r="M29" i="10"/>
  <c r="J30" i="10"/>
  <c r="L30" i="10"/>
  <c r="M30" i="10"/>
  <c r="J31" i="10"/>
  <c r="L31" i="10"/>
  <c r="M31" i="10"/>
  <c r="J32" i="10"/>
  <c r="L32" i="10"/>
  <c r="M32" i="10"/>
  <c r="J33" i="10"/>
  <c r="L33" i="10"/>
  <c r="M33" i="10"/>
  <c r="J34" i="10"/>
  <c r="L34" i="10"/>
  <c r="M34" i="10"/>
  <c r="J35" i="10"/>
  <c r="L35" i="10"/>
  <c r="M35" i="10"/>
  <c r="J36" i="10"/>
  <c r="L36" i="10"/>
  <c r="M36" i="10"/>
  <c r="J37" i="10"/>
  <c r="L37" i="10"/>
  <c r="M37" i="10"/>
  <c r="J38" i="10"/>
  <c r="L38" i="10"/>
  <c r="M38" i="10"/>
  <c r="J39" i="10"/>
  <c r="L39" i="10"/>
  <c r="M39" i="10"/>
  <c r="J40" i="10"/>
  <c r="L40" i="10"/>
  <c r="M40" i="10"/>
  <c r="J41" i="10"/>
  <c r="L41" i="10"/>
  <c r="M41" i="10"/>
  <c r="J42" i="10"/>
  <c r="L42" i="10"/>
  <c r="M42" i="10"/>
  <c r="J43" i="10"/>
  <c r="L43" i="10"/>
  <c r="M43" i="10"/>
  <c r="J44" i="10"/>
  <c r="L44" i="10"/>
  <c r="M44" i="10"/>
  <c r="J45" i="10"/>
  <c r="L45" i="10"/>
  <c r="M45" i="10"/>
  <c r="J46" i="10"/>
  <c r="L46" i="10"/>
  <c r="M46" i="10"/>
  <c r="J47" i="10"/>
  <c r="L47" i="10"/>
  <c r="M47" i="10"/>
  <c r="J48" i="10"/>
  <c r="L48" i="10"/>
  <c r="M48" i="10"/>
  <c r="J49" i="10"/>
  <c r="L49" i="10"/>
  <c r="M49" i="10"/>
  <c r="J50" i="10"/>
  <c r="L50" i="10"/>
  <c r="M50" i="10"/>
  <c r="J51" i="10"/>
  <c r="L51" i="10"/>
  <c r="M51" i="10"/>
  <c r="J52" i="10"/>
  <c r="L52" i="10"/>
  <c r="M52" i="10"/>
  <c r="J53" i="10"/>
  <c r="L53" i="10"/>
  <c r="M53" i="10"/>
  <c r="J54" i="10"/>
  <c r="L54" i="10"/>
  <c r="M54" i="10"/>
  <c r="J55" i="10"/>
  <c r="L55" i="10"/>
  <c r="M55" i="10"/>
  <c r="J56" i="10"/>
  <c r="L56" i="10"/>
  <c r="M56" i="10"/>
  <c r="J57" i="10"/>
  <c r="L57" i="10"/>
  <c r="M57" i="10"/>
  <c r="J58" i="10"/>
  <c r="L58" i="10"/>
  <c r="M58" i="10"/>
  <c r="J59" i="10"/>
  <c r="L59" i="10"/>
  <c r="M59" i="10"/>
  <c r="J60" i="10"/>
  <c r="L60" i="10"/>
  <c r="M60" i="10"/>
  <c r="J61" i="10"/>
  <c r="L61" i="10"/>
  <c r="M61" i="10"/>
  <c r="J62" i="10"/>
  <c r="L62" i="10"/>
  <c r="M62" i="10"/>
  <c r="J63" i="10"/>
  <c r="L63" i="10"/>
  <c r="M63" i="10"/>
  <c r="J64" i="10"/>
  <c r="L64" i="10"/>
  <c r="M64" i="10"/>
  <c r="J65" i="10"/>
  <c r="L65" i="10"/>
  <c r="M65" i="10"/>
  <c r="J66" i="10"/>
  <c r="L66" i="10"/>
  <c r="M66" i="10"/>
  <c r="J67" i="10"/>
  <c r="L67" i="10"/>
  <c r="M67" i="10"/>
  <c r="J68" i="10"/>
  <c r="L68" i="10"/>
  <c r="M68" i="10"/>
  <c r="J69" i="10"/>
  <c r="L69" i="10"/>
  <c r="M69" i="10"/>
  <c r="J70" i="10"/>
  <c r="L70" i="10"/>
  <c r="M70" i="10"/>
  <c r="J71" i="10"/>
  <c r="L71" i="10"/>
  <c r="M71" i="10"/>
  <c r="J72" i="10"/>
  <c r="L72" i="10"/>
  <c r="M72" i="10"/>
  <c r="J73" i="10"/>
  <c r="L73" i="10"/>
  <c r="M73" i="10"/>
  <c r="J74" i="10"/>
  <c r="L74" i="10"/>
  <c r="M74" i="10"/>
  <c r="J75" i="10"/>
  <c r="L75" i="10"/>
  <c r="M75" i="10"/>
  <c r="J76" i="10"/>
  <c r="L76" i="10"/>
  <c r="M76" i="10"/>
  <c r="J77" i="10"/>
  <c r="L77" i="10"/>
  <c r="M77" i="10"/>
  <c r="J78" i="10"/>
  <c r="L78" i="10"/>
  <c r="M78" i="10"/>
  <c r="J79" i="10"/>
  <c r="L79" i="10"/>
  <c r="M79" i="10"/>
  <c r="J80" i="10"/>
  <c r="L80" i="10"/>
  <c r="M80" i="10"/>
  <c r="J81" i="10"/>
  <c r="L81" i="10"/>
  <c r="M81" i="10"/>
  <c r="J82" i="10"/>
  <c r="L82" i="10"/>
  <c r="M82" i="10"/>
  <c r="J83" i="10"/>
  <c r="L83" i="10"/>
  <c r="M83" i="10"/>
  <c r="J84" i="10"/>
  <c r="L84" i="10"/>
  <c r="M84" i="10"/>
  <c r="J85" i="10"/>
  <c r="L85" i="10"/>
  <c r="M85" i="10"/>
  <c r="J86" i="10"/>
  <c r="L86" i="10"/>
  <c r="M86" i="10"/>
  <c r="J87" i="10"/>
  <c r="L87" i="10"/>
  <c r="M87" i="10"/>
  <c r="J88" i="10"/>
  <c r="L88" i="10"/>
  <c r="M88" i="10"/>
  <c r="J89" i="10"/>
  <c r="L89" i="10"/>
  <c r="M89" i="10"/>
  <c r="J90" i="10"/>
  <c r="L90" i="10"/>
  <c r="M90" i="10"/>
  <c r="J91" i="10"/>
  <c r="L91" i="10"/>
  <c r="M91" i="10"/>
  <c r="J92" i="10"/>
  <c r="L92" i="10"/>
  <c r="M92" i="10"/>
  <c r="J93" i="10"/>
  <c r="L93" i="10"/>
  <c r="M93" i="10"/>
  <c r="J94" i="10"/>
  <c r="L94" i="10"/>
  <c r="M94" i="10"/>
  <c r="J95" i="10"/>
  <c r="L95" i="10"/>
  <c r="M95" i="10"/>
  <c r="J96" i="10"/>
  <c r="L96" i="10"/>
  <c r="M96" i="10"/>
  <c r="J97" i="10"/>
  <c r="L97" i="10"/>
  <c r="M97" i="10"/>
  <c r="J98" i="10"/>
  <c r="L98" i="10"/>
  <c r="M98" i="10"/>
  <c r="J99" i="10"/>
  <c r="L99" i="10"/>
  <c r="M99" i="10"/>
  <c r="J100" i="10"/>
  <c r="L100" i="10"/>
  <c r="M100" i="10"/>
  <c r="J101" i="10"/>
  <c r="L101" i="10"/>
  <c r="M101" i="10"/>
  <c r="J102" i="10"/>
  <c r="L102" i="10"/>
  <c r="M102" i="10"/>
  <c r="J103" i="10"/>
  <c r="L103" i="10"/>
  <c r="M103" i="10"/>
  <c r="J104" i="10"/>
  <c r="L104" i="10"/>
  <c r="M104" i="10"/>
  <c r="J105" i="10"/>
  <c r="L105" i="10"/>
  <c r="M105" i="10"/>
  <c r="J106" i="10"/>
  <c r="L106" i="10"/>
  <c r="M106" i="10"/>
  <c r="J107" i="10"/>
  <c r="L107" i="10"/>
  <c r="M107" i="10"/>
  <c r="J108" i="10"/>
  <c r="L108" i="10"/>
  <c r="M108" i="10"/>
  <c r="J109" i="10"/>
  <c r="L109" i="10"/>
  <c r="M109" i="10"/>
  <c r="J110" i="10"/>
  <c r="L110" i="10"/>
  <c r="M110" i="10"/>
  <c r="J111" i="10"/>
  <c r="L111" i="10"/>
  <c r="M111" i="10"/>
  <c r="J112" i="10"/>
  <c r="L112" i="10"/>
  <c r="M112" i="10"/>
  <c r="J113" i="10"/>
  <c r="L113" i="10"/>
  <c r="M113" i="10"/>
  <c r="J114" i="10"/>
  <c r="L114" i="10"/>
  <c r="M114" i="10"/>
  <c r="J115" i="10"/>
  <c r="L115" i="10"/>
  <c r="M115" i="10"/>
  <c r="J116" i="10"/>
  <c r="L116" i="10"/>
  <c r="M116" i="10"/>
  <c r="J117" i="10"/>
  <c r="L117" i="10"/>
  <c r="M117" i="10"/>
  <c r="J118" i="10"/>
  <c r="L118" i="10"/>
  <c r="M118" i="10"/>
  <c r="J119" i="10"/>
  <c r="L119" i="10"/>
  <c r="M119" i="10"/>
  <c r="J120" i="10"/>
  <c r="L120" i="10"/>
  <c r="M120" i="10"/>
  <c r="J121" i="10"/>
  <c r="L121" i="10"/>
  <c r="M121" i="10"/>
  <c r="J122" i="10"/>
  <c r="L122" i="10"/>
  <c r="M122" i="10"/>
  <c r="J123" i="10"/>
  <c r="L123" i="10"/>
  <c r="M123" i="10"/>
  <c r="J124" i="10"/>
  <c r="L124" i="10"/>
  <c r="M124" i="10"/>
  <c r="J125" i="10"/>
  <c r="L125" i="10"/>
  <c r="M125" i="10"/>
  <c r="A127" i="10"/>
  <c r="D127" i="10"/>
  <c r="E127" i="10"/>
  <c r="C18" i="10" l="1"/>
  <c r="B19" i="10"/>
  <c r="G17" i="10"/>
  <c r="F17" i="10"/>
  <c r="H17" i="10" s="1"/>
  <c r="K17" i="10"/>
  <c r="K16" i="10"/>
  <c r="Y16" i="9"/>
  <c r="Y17" i="9"/>
  <c r="Y18" i="9"/>
  <c r="Y343" i="9"/>
  <c r="O16" i="10" l="1"/>
  <c r="N16" i="10"/>
  <c r="O17" i="10"/>
  <c r="N17" i="10"/>
  <c r="G18" i="10"/>
  <c r="F18" i="10"/>
  <c r="K18" i="10"/>
  <c r="C19" i="10"/>
  <c r="B20" i="10"/>
  <c r="Y20" i="9"/>
  <c r="Z20" i="9" s="1"/>
  <c r="I359" i="9"/>
  <c r="M345" i="9"/>
  <c r="K345" i="9"/>
  <c r="I345" i="9"/>
  <c r="S343" i="9"/>
  <c r="M343" i="9"/>
  <c r="E343" i="9"/>
  <c r="O342" i="9"/>
  <c r="Q342" i="9" s="1"/>
  <c r="M342" i="9"/>
  <c r="E342" i="9"/>
  <c r="O341" i="9"/>
  <c r="Q341" i="9" s="1"/>
  <c r="Y341" i="9" s="1"/>
  <c r="M341" i="9"/>
  <c r="E341" i="9"/>
  <c r="O340" i="9"/>
  <c r="Q340" i="9" s="1"/>
  <c r="Y340" i="9" s="1"/>
  <c r="M340" i="9"/>
  <c r="E340" i="9"/>
  <c r="O339" i="9"/>
  <c r="Q339" i="9" s="1"/>
  <c r="Y339" i="9" s="1"/>
  <c r="M339" i="9"/>
  <c r="E339" i="9"/>
  <c r="O338" i="9"/>
  <c r="Q338" i="9" s="1"/>
  <c r="M338" i="9"/>
  <c r="E338" i="9"/>
  <c r="O337" i="9"/>
  <c r="Q337" i="9" s="1"/>
  <c r="Y337" i="9" s="1"/>
  <c r="M337" i="9"/>
  <c r="E337" i="9"/>
  <c r="O336" i="9"/>
  <c r="Q336" i="9" s="1"/>
  <c r="Y336" i="9" s="1"/>
  <c r="M336" i="9"/>
  <c r="E336" i="9"/>
  <c r="O335" i="9"/>
  <c r="Q335" i="9" s="1"/>
  <c r="Y335" i="9" s="1"/>
  <c r="M335" i="9"/>
  <c r="E335" i="9"/>
  <c r="O334" i="9"/>
  <c r="Q334" i="9" s="1"/>
  <c r="M334" i="9"/>
  <c r="E334" i="9"/>
  <c r="O333" i="9"/>
  <c r="Q333" i="9" s="1"/>
  <c r="Y333" i="9" s="1"/>
  <c r="M333" i="9"/>
  <c r="E333" i="9"/>
  <c r="O332" i="9"/>
  <c r="Q332" i="9" s="1"/>
  <c r="Y332" i="9" s="1"/>
  <c r="M332" i="9"/>
  <c r="E332" i="9"/>
  <c r="O331" i="9"/>
  <c r="Q331" i="9" s="1"/>
  <c r="M331" i="9"/>
  <c r="E331" i="9"/>
  <c r="M326" i="9"/>
  <c r="K326" i="9"/>
  <c r="I326" i="9"/>
  <c r="O324" i="9"/>
  <c r="Q324" i="9" s="1"/>
  <c r="Y324" i="9" s="1"/>
  <c r="M324" i="9"/>
  <c r="E324" i="9"/>
  <c r="O323" i="9"/>
  <c r="Q323" i="9" s="1"/>
  <c r="Y323" i="9" s="1"/>
  <c r="M323" i="9"/>
  <c r="E323" i="9"/>
  <c r="O322" i="9"/>
  <c r="Q322" i="9" s="1"/>
  <c r="Y322" i="9" s="1"/>
  <c r="M322" i="9"/>
  <c r="E322" i="9"/>
  <c r="O321" i="9"/>
  <c r="Q321" i="9" s="1"/>
  <c r="M321" i="9"/>
  <c r="E321" i="9"/>
  <c r="O320" i="9"/>
  <c r="Q320" i="9" s="1"/>
  <c r="Y320" i="9" s="1"/>
  <c r="M320" i="9"/>
  <c r="E320" i="9"/>
  <c r="O319" i="9"/>
  <c r="Q319" i="9" s="1"/>
  <c r="Y319" i="9" s="1"/>
  <c r="M319" i="9"/>
  <c r="E319" i="9"/>
  <c r="O318" i="9"/>
  <c r="Q318" i="9" s="1"/>
  <c r="Y318" i="9" s="1"/>
  <c r="M318" i="9"/>
  <c r="E318" i="9"/>
  <c r="O317" i="9"/>
  <c r="Q317" i="9" s="1"/>
  <c r="M317" i="9"/>
  <c r="E317" i="9"/>
  <c r="O316" i="9"/>
  <c r="Q316" i="9" s="1"/>
  <c r="Y316" i="9" s="1"/>
  <c r="M316" i="9"/>
  <c r="E316" i="9"/>
  <c r="O315" i="9"/>
  <c r="Q315" i="9" s="1"/>
  <c r="Y315" i="9" s="1"/>
  <c r="M315" i="9"/>
  <c r="E315" i="9"/>
  <c r="O314" i="9"/>
  <c r="Q314" i="9" s="1"/>
  <c r="Y314" i="9" s="1"/>
  <c r="M314" i="9"/>
  <c r="E314" i="9"/>
  <c r="O313" i="9"/>
  <c r="Q313" i="9" s="1"/>
  <c r="M313" i="9"/>
  <c r="E313" i="9"/>
  <c r="M308" i="9"/>
  <c r="K308" i="9"/>
  <c r="I308" i="9"/>
  <c r="O306" i="9"/>
  <c r="Q306" i="9" s="1"/>
  <c r="M306" i="9"/>
  <c r="E306" i="9"/>
  <c r="O305" i="9"/>
  <c r="Q305" i="9" s="1"/>
  <c r="Y305" i="9" s="1"/>
  <c r="M305" i="9"/>
  <c r="E305" i="9"/>
  <c r="O304" i="9"/>
  <c r="Q304" i="9" s="1"/>
  <c r="Y304" i="9" s="1"/>
  <c r="M304" i="9"/>
  <c r="E304" i="9"/>
  <c r="O303" i="9"/>
  <c r="Q303" i="9" s="1"/>
  <c r="Y303" i="9" s="1"/>
  <c r="M303" i="9"/>
  <c r="E303" i="9"/>
  <c r="O302" i="9"/>
  <c r="Q302" i="9" s="1"/>
  <c r="M302" i="9"/>
  <c r="E302" i="9"/>
  <c r="O301" i="9"/>
  <c r="Q301" i="9" s="1"/>
  <c r="Y301" i="9" s="1"/>
  <c r="M301" i="9"/>
  <c r="E301" i="9"/>
  <c r="O300" i="9"/>
  <c r="Q300" i="9" s="1"/>
  <c r="Y300" i="9" s="1"/>
  <c r="M300" i="9"/>
  <c r="E300" i="9"/>
  <c r="O299" i="9"/>
  <c r="Q299" i="9" s="1"/>
  <c r="Y299" i="9" s="1"/>
  <c r="M299" i="9"/>
  <c r="E299" i="9"/>
  <c r="O298" i="9"/>
  <c r="Q298" i="9" s="1"/>
  <c r="M298" i="9"/>
  <c r="E298" i="9"/>
  <c r="O297" i="9"/>
  <c r="Q297" i="9" s="1"/>
  <c r="Y297" i="9" s="1"/>
  <c r="M297" i="9"/>
  <c r="E297" i="9"/>
  <c r="K290" i="9"/>
  <c r="I290" i="9"/>
  <c r="O288" i="9"/>
  <c r="M288" i="9"/>
  <c r="Q288" i="9" s="1"/>
  <c r="Y288" i="9" s="1"/>
  <c r="G288" i="9"/>
  <c r="E288" i="9"/>
  <c r="O287" i="9"/>
  <c r="M287" i="9"/>
  <c r="Q287" i="9" s="1"/>
  <c r="Y287" i="9" s="1"/>
  <c r="G287" i="9"/>
  <c r="E287" i="9"/>
  <c r="O286" i="9"/>
  <c r="M286" i="9"/>
  <c r="Q286" i="9" s="1"/>
  <c r="Y286" i="9" s="1"/>
  <c r="G286" i="9"/>
  <c r="E286" i="9"/>
  <c r="O285" i="9"/>
  <c r="M285" i="9"/>
  <c r="Q285" i="9" s="1"/>
  <c r="Y285" i="9" s="1"/>
  <c r="G285" i="9"/>
  <c r="E285" i="9"/>
  <c r="O284" i="9"/>
  <c r="M284" i="9"/>
  <c r="Q284" i="9" s="1"/>
  <c r="Y284" i="9" s="1"/>
  <c r="G284" i="9"/>
  <c r="E284" i="9"/>
  <c r="O283" i="9"/>
  <c r="M283" i="9"/>
  <c r="Q283" i="9" s="1"/>
  <c r="Y283" i="9" s="1"/>
  <c r="G283" i="9"/>
  <c r="E283" i="9"/>
  <c r="O282" i="9"/>
  <c r="M282" i="9"/>
  <c r="Q282" i="9" s="1"/>
  <c r="Y282" i="9" s="1"/>
  <c r="G282" i="9"/>
  <c r="E282" i="9"/>
  <c r="O281" i="9"/>
  <c r="M281" i="9"/>
  <c r="Q281" i="9" s="1"/>
  <c r="Y281" i="9" s="1"/>
  <c r="G281" i="9"/>
  <c r="E281" i="9"/>
  <c r="O280" i="9"/>
  <c r="M280" i="9"/>
  <c r="Q280" i="9" s="1"/>
  <c r="Y280" i="9" s="1"/>
  <c r="G280" i="9"/>
  <c r="E280" i="9"/>
  <c r="O279" i="9"/>
  <c r="M279" i="9"/>
  <c r="Q279" i="9" s="1"/>
  <c r="Y279" i="9" s="1"/>
  <c r="G279" i="9"/>
  <c r="E279" i="9"/>
  <c r="O278" i="9"/>
  <c r="M278" i="9"/>
  <c r="Q278" i="9" s="1"/>
  <c r="Y278" i="9" s="1"/>
  <c r="G278" i="9"/>
  <c r="E278" i="9"/>
  <c r="O277" i="9"/>
  <c r="M277" i="9"/>
  <c r="Q277" i="9" s="1"/>
  <c r="Y277" i="9" s="1"/>
  <c r="G277" i="9"/>
  <c r="E277" i="9"/>
  <c r="O276" i="9"/>
  <c r="M276" i="9"/>
  <c r="Q276" i="9" s="1"/>
  <c r="Y276" i="9" s="1"/>
  <c r="G276" i="9"/>
  <c r="E276" i="9"/>
  <c r="O275" i="9"/>
  <c r="M275" i="9"/>
  <c r="M290" i="9" s="1"/>
  <c r="G275" i="9"/>
  <c r="E275" i="9"/>
  <c r="K272" i="9"/>
  <c r="I272" i="9"/>
  <c r="O270" i="9"/>
  <c r="G270" i="9"/>
  <c r="M270" i="9" s="1"/>
  <c r="Q270" i="9" s="1"/>
  <c r="Y270" i="9" s="1"/>
  <c r="E270" i="9"/>
  <c r="O269" i="9"/>
  <c r="G269" i="9"/>
  <c r="M269" i="9" s="1"/>
  <c r="E269" i="9"/>
  <c r="O268" i="9"/>
  <c r="G268" i="9"/>
  <c r="M268" i="9" s="1"/>
  <c r="Q268" i="9" s="1"/>
  <c r="Y268" i="9" s="1"/>
  <c r="E268" i="9"/>
  <c r="O267" i="9"/>
  <c r="G267" i="9"/>
  <c r="M267" i="9" s="1"/>
  <c r="E267" i="9"/>
  <c r="O266" i="9"/>
  <c r="G266" i="9"/>
  <c r="M266" i="9" s="1"/>
  <c r="Q266" i="9" s="1"/>
  <c r="Y266" i="9" s="1"/>
  <c r="E266" i="9"/>
  <c r="O265" i="9"/>
  <c r="G265" i="9"/>
  <c r="M265" i="9" s="1"/>
  <c r="E265" i="9"/>
  <c r="O264" i="9"/>
  <c r="G264" i="9"/>
  <c r="M264" i="9" s="1"/>
  <c r="Q264" i="9" s="1"/>
  <c r="Y264" i="9" s="1"/>
  <c r="E264" i="9"/>
  <c r="O263" i="9"/>
  <c r="G263" i="9"/>
  <c r="M263" i="9" s="1"/>
  <c r="E263" i="9"/>
  <c r="O262" i="9"/>
  <c r="G262" i="9"/>
  <c r="M262" i="9" s="1"/>
  <c r="Q262" i="9" s="1"/>
  <c r="Y262" i="9" s="1"/>
  <c r="E262" i="9"/>
  <c r="O261" i="9"/>
  <c r="G261" i="9"/>
  <c r="M261" i="9" s="1"/>
  <c r="E261" i="9"/>
  <c r="O260" i="9"/>
  <c r="G260" i="9"/>
  <c r="M260" i="9" s="1"/>
  <c r="Q260" i="9" s="1"/>
  <c r="Y260" i="9" s="1"/>
  <c r="E260" i="9"/>
  <c r="O259" i="9"/>
  <c r="G259" i="9"/>
  <c r="M259" i="9" s="1"/>
  <c r="E259" i="9"/>
  <c r="O258" i="9"/>
  <c r="G258" i="9"/>
  <c r="M258" i="9" s="1"/>
  <c r="Q258" i="9" s="1"/>
  <c r="Y258" i="9" s="1"/>
  <c r="E258" i="9"/>
  <c r="O257" i="9"/>
  <c r="G257" i="9"/>
  <c r="M257" i="9" s="1"/>
  <c r="E257" i="9"/>
  <c r="O256" i="9"/>
  <c r="G256" i="9"/>
  <c r="M256" i="9" s="1"/>
  <c r="E256" i="9"/>
  <c r="K253" i="9"/>
  <c r="I253" i="9"/>
  <c r="O251" i="9"/>
  <c r="M251" i="9"/>
  <c r="G251" i="9"/>
  <c r="E251" i="9"/>
  <c r="O250" i="9"/>
  <c r="M250" i="9"/>
  <c r="G250" i="9"/>
  <c r="E250" i="9"/>
  <c r="O249" i="9"/>
  <c r="M249" i="9"/>
  <c r="G249" i="9"/>
  <c r="E249" i="9"/>
  <c r="O248" i="9"/>
  <c r="M248" i="9"/>
  <c r="G248" i="9"/>
  <c r="E248" i="9"/>
  <c r="O247" i="9"/>
  <c r="M247" i="9"/>
  <c r="G247" i="9"/>
  <c r="E247" i="9"/>
  <c r="O246" i="9"/>
  <c r="M246" i="9"/>
  <c r="G246" i="9"/>
  <c r="E246" i="9"/>
  <c r="O245" i="9"/>
  <c r="M245" i="9"/>
  <c r="G245" i="9"/>
  <c r="E245" i="9"/>
  <c r="O244" i="9"/>
  <c r="M244" i="9"/>
  <c r="G244" i="9"/>
  <c r="E244" i="9"/>
  <c r="O243" i="9"/>
  <c r="M243" i="9"/>
  <c r="G243" i="9"/>
  <c r="E243" i="9"/>
  <c r="O242" i="9"/>
  <c r="M242" i="9"/>
  <c r="G242" i="9"/>
  <c r="E242" i="9"/>
  <c r="O241" i="9"/>
  <c r="M241" i="9"/>
  <c r="G241" i="9"/>
  <c r="E241" i="9"/>
  <c r="O240" i="9"/>
  <c r="M240" i="9"/>
  <c r="G240" i="9"/>
  <c r="E240" i="9"/>
  <c r="O239" i="9"/>
  <c r="M239" i="9"/>
  <c r="G239" i="9"/>
  <c r="E239" i="9"/>
  <c r="O238" i="9"/>
  <c r="M238" i="9"/>
  <c r="G238" i="9"/>
  <c r="E238" i="9"/>
  <c r="O237" i="9"/>
  <c r="M237" i="9"/>
  <c r="M253" i="9" s="1"/>
  <c r="G237" i="9"/>
  <c r="E237" i="9"/>
  <c r="K234" i="9"/>
  <c r="I234" i="9"/>
  <c r="O232" i="9"/>
  <c r="G232" i="9"/>
  <c r="M232" i="9" s="1"/>
  <c r="E232" i="9"/>
  <c r="O231" i="9"/>
  <c r="G231" i="9"/>
  <c r="M231" i="9" s="1"/>
  <c r="E231" i="9"/>
  <c r="O230" i="9"/>
  <c r="G230" i="9"/>
  <c r="M230" i="9" s="1"/>
  <c r="E230" i="9"/>
  <c r="O229" i="9"/>
  <c r="G229" i="9"/>
  <c r="M229" i="9" s="1"/>
  <c r="E229" i="9"/>
  <c r="O228" i="9"/>
  <c r="G228" i="9"/>
  <c r="M228" i="9" s="1"/>
  <c r="E228" i="9"/>
  <c r="O227" i="9"/>
  <c r="G227" i="9"/>
  <c r="M227" i="9" s="1"/>
  <c r="E227" i="9"/>
  <c r="O226" i="9"/>
  <c r="G226" i="9"/>
  <c r="M226" i="9" s="1"/>
  <c r="E226" i="9"/>
  <c r="O225" i="9"/>
  <c r="G225" i="9"/>
  <c r="M225" i="9" s="1"/>
  <c r="E225" i="9"/>
  <c r="O224" i="9"/>
  <c r="G224" i="9"/>
  <c r="M224" i="9" s="1"/>
  <c r="E224" i="9"/>
  <c r="O223" i="9"/>
  <c r="G223" i="9"/>
  <c r="M223" i="9" s="1"/>
  <c r="E223" i="9"/>
  <c r="O222" i="9"/>
  <c r="G222" i="9"/>
  <c r="M222" i="9" s="1"/>
  <c r="E222" i="9"/>
  <c r="O221" i="9"/>
  <c r="M221" i="9"/>
  <c r="Q221" i="9" s="1"/>
  <c r="Y221" i="9" s="1"/>
  <c r="G221" i="9"/>
  <c r="E221" i="9"/>
  <c r="O220" i="9"/>
  <c r="M220" i="9"/>
  <c r="Q220" i="9" s="1"/>
  <c r="Y220" i="9" s="1"/>
  <c r="G220" i="9"/>
  <c r="E220" i="9"/>
  <c r="O219" i="9"/>
  <c r="M219" i="9"/>
  <c r="M234" i="9" s="1"/>
  <c r="G219" i="9"/>
  <c r="E219" i="9"/>
  <c r="K216" i="9"/>
  <c r="I216" i="9"/>
  <c r="O214" i="9"/>
  <c r="G214" i="9"/>
  <c r="M214" i="9" s="1"/>
  <c r="Q214" i="9" s="1"/>
  <c r="Y214" i="9" s="1"/>
  <c r="E214" i="9"/>
  <c r="O213" i="9"/>
  <c r="G213" i="9"/>
  <c r="M213" i="9" s="1"/>
  <c r="E213" i="9"/>
  <c r="O212" i="9"/>
  <c r="G212" i="9"/>
  <c r="M212" i="9" s="1"/>
  <c r="Q212" i="9" s="1"/>
  <c r="Y212" i="9" s="1"/>
  <c r="E212" i="9"/>
  <c r="O211" i="9"/>
  <c r="G211" i="9"/>
  <c r="M211" i="9" s="1"/>
  <c r="E211" i="9"/>
  <c r="O210" i="9"/>
  <c r="G210" i="9"/>
  <c r="M210" i="9" s="1"/>
  <c r="Q210" i="9" s="1"/>
  <c r="Y210" i="9" s="1"/>
  <c r="E210" i="9"/>
  <c r="O209" i="9"/>
  <c r="G209" i="9"/>
  <c r="M209" i="9" s="1"/>
  <c r="E209" i="9"/>
  <c r="O208" i="9"/>
  <c r="G208" i="9"/>
  <c r="M208" i="9" s="1"/>
  <c r="Q208" i="9" s="1"/>
  <c r="Y208" i="9" s="1"/>
  <c r="E208" i="9"/>
  <c r="O207" i="9"/>
  <c r="G207" i="9"/>
  <c r="M207" i="9" s="1"/>
  <c r="E207" i="9"/>
  <c r="O206" i="9"/>
  <c r="G206" i="9"/>
  <c r="M206" i="9" s="1"/>
  <c r="Q206" i="9" s="1"/>
  <c r="Y206" i="9" s="1"/>
  <c r="E206" i="9"/>
  <c r="O205" i="9"/>
  <c r="M205" i="9"/>
  <c r="G205" i="9"/>
  <c r="E205" i="9"/>
  <c r="O204" i="9"/>
  <c r="M204" i="9"/>
  <c r="G204" i="9"/>
  <c r="E204" i="9"/>
  <c r="O203" i="9"/>
  <c r="M203" i="9"/>
  <c r="G203" i="9"/>
  <c r="E203" i="9"/>
  <c r="O202" i="9"/>
  <c r="M202" i="9"/>
  <c r="G202" i="9"/>
  <c r="E202" i="9"/>
  <c r="O201" i="9"/>
  <c r="M201" i="9"/>
  <c r="G201" i="9"/>
  <c r="E201" i="9"/>
  <c r="O200" i="9"/>
  <c r="M200" i="9"/>
  <c r="G200" i="9"/>
  <c r="E200" i="9"/>
  <c r="O199" i="9"/>
  <c r="M199" i="9"/>
  <c r="G199" i="9"/>
  <c r="E199" i="9"/>
  <c r="O198" i="9"/>
  <c r="M198" i="9"/>
  <c r="G198" i="9"/>
  <c r="E198" i="9"/>
  <c r="K195" i="9"/>
  <c r="I195" i="9"/>
  <c r="O193" i="9"/>
  <c r="G193" i="9"/>
  <c r="M193" i="9" s="1"/>
  <c r="E193" i="9"/>
  <c r="O192" i="9"/>
  <c r="G192" i="9"/>
  <c r="M192" i="9" s="1"/>
  <c r="Q192" i="9" s="1"/>
  <c r="Y192" i="9" s="1"/>
  <c r="E192" i="9"/>
  <c r="O191" i="9"/>
  <c r="G191" i="9"/>
  <c r="M191" i="9" s="1"/>
  <c r="E191" i="9"/>
  <c r="O190" i="9"/>
  <c r="G190" i="9"/>
  <c r="M190" i="9" s="1"/>
  <c r="Q190" i="9" s="1"/>
  <c r="Y190" i="9" s="1"/>
  <c r="E190" i="9"/>
  <c r="O189" i="9"/>
  <c r="G189" i="9"/>
  <c r="M189" i="9" s="1"/>
  <c r="E189" i="9"/>
  <c r="O188" i="9"/>
  <c r="G188" i="9"/>
  <c r="M188" i="9" s="1"/>
  <c r="Q188" i="9" s="1"/>
  <c r="Y188" i="9" s="1"/>
  <c r="E188" i="9"/>
  <c r="O187" i="9"/>
  <c r="G187" i="9"/>
  <c r="M187" i="9" s="1"/>
  <c r="E187" i="9"/>
  <c r="O186" i="9"/>
  <c r="G186" i="9"/>
  <c r="M186" i="9" s="1"/>
  <c r="Q186" i="9" s="1"/>
  <c r="Y186" i="9" s="1"/>
  <c r="E186" i="9"/>
  <c r="O185" i="9"/>
  <c r="G185" i="9"/>
  <c r="M185" i="9" s="1"/>
  <c r="E185" i="9"/>
  <c r="O184" i="9"/>
  <c r="G184" i="9"/>
  <c r="M184" i="9" s="1"/>
  <c r="Q184" i="9" s="1"/>
  <c r="Y184" i="9" s="1"/>
  <c r="E184" i="9"/>
  <c r="O183" i="9"/>
  <c r="G183" i="9"/>
  <c r="M183" i="9" s="1"/>
  <c r="E183" i="9"/>
  <c r="O182" i="9"/>
  <c r="G182" i="9"/>
  <c r="M182" i="9" s="1"/>
  <c r="Q182" i="9" s="1"/>
  <c r="Y182" i="9" s="1"/>
  <c r="E182" i="9"/>
  <c r="O181" i="9"/>
  <c r="G181" i="9"/>
  <c r="M181" i="9" s="1"/>
  <c r="E181" i="9"/>
  <c r="O180" i="9"/>
  <c r="G180" i="9"/>
  <c r="M180" i="9" s="1"/>
  <c r="Q180" i="9" s="1"/>
  <c r="Y180" i="9" s="1"/>
  <c r="E180" i="9"/>
  <c r="O179" i="9"/>
  <c r="G179" i="9"/>
  <c r="M179" i="9" s="1"/>
  <c r="E179" i="9"/>
  <c r="K176" i="9"/>
  <c r="I176" i="9"/>
  <c r="O174" i="9"/>
  <c r="M174" i="9"/>
  <c r="M176" i="9" s="1"/>
  <c r="E174" i="9"/>
  <c r="K166" i="9"/>
  <c r="K168" i="9" s="1"/>
  <c r="I166" i="9"/>
  <c r="I168" i="9" s="1"/>
  <c r="O164" i="9"/>
  <c r="G164" i="9"/>
  <c r="M164" i="9" s="1"/>
  <c r="E164" i="9"/>
  <c r="K161" i="9"/>
  <c r="I161" i="9"/>
  <c r="O159" i="9"/>
  <c r="G159" i="9"/>
  <c r="M159" i="9" s="1"/>
  <c r="E159" i="9"/>
  <c r="K156" i="9"/>
  <c r="I156" i="9"/>
  <c r="O154" i="9"/>
  <c r="G154" i="9"/>
  <c r="M154" i="9" s="1"/>
  <c r="E154" i="9"/>
  <c r="K151" i="9"/>
  <c r="I151" i="9"/>
  <c r="O149" i="9"/>
  <c r="G149" i="9"/>
  <c r="M149" i="9" s="1"/>
  <c r="E149" i="9"/>
  <c r="K146" i="9"/>
  <c r="I146" i="9"/>
  <c r="O144" i="9"/>
  <c r="G144" i="9"/>
  <c r="M144" i="9" s="1"/>
  <c r="E144" i="9"/>
  <c r="K141" i="9"/>
  <c r="I141" i="9"/>
  <c r="O139" i="9"/>
  <c r="M139" i="9"/>
  <c r="M141" i="9" s="1"/>
  <c r="G139" i="9"/>
  <c r="E139" i="9"/>
  <c r="K136" i="9"/>
  <c r="I136" i="9"/>
  <c r="O134" i="9"/>
  <c r="M134" i="9"/>
  <c r="M136" i="9" s="1"/>
  <c r="E134" i="9"/>
  <c r="K127" i="9"/>
  <c r="I127" i="9"/>
  <c r="O125" i="9"/>
  <c r="G125" i="9"/>
  <c r="M125" i="9" s="1"/>
  <c r="E125" i="9"/>
  <c r="O124" i="9"/>
  <c r="M124" i="9"/>
  <c r="Q124" i="9" s="1"/>
  <c r="Y124" i="9" s="1"/>
  <c r="G124" i="9"/>
  <c r="E124" i="9"/>
  <c r="O123" i="9"/>
  <c r="M123" i="9"/>
  <c r="Q123" i="9" s="1"/>
  <c r="Y123" i="9" s="1"/>
  <c r="G123" i="9"/>
  <c r="E123" i="9"/>
  <c r="O122" i="9"/>
  <c r="M122" i="9"/>
  <c r="Q122" i="9" s="1"/>
  <c r="Y122" i="9" s="1"/>
  <c r="G122" i="9"/>
  <c r="E122" i="9"/>
  <c r="O121" i="9"/>
  <c r="M121" i="9"/>
  <c r="Q121" i="9" s="1"/>
  <c r="Y121" i="9" s="1"/>
  <c r="G121" i="9"/>
  <c r="E121" i="9"/>
  <c r="O120" i="9"/>
  <c r="M120" i="9"/>
  <c r="Q120" i="9" s="1"/>
  <c r="Y120" i="9" s="1"/>
  <c r="G120" i="9"/>
  <c r="E120" i="9"/>
  <c r="O119" i="9"/>
  <c r="M119" i="9"/>
  <c r="Q119" i="9" s="1"/>
  <c r="Y119" i="9" s="1"/>
  <c r="G119" i="9"/>
  <c r="E119" i="9"/>
  <c r="O118" i="9"/>
  <c r="M118" i="9"/>
  <c r="Q118" i="9" s="1"/>
  <c r="Y118" i="9" s="1"/>
  <c r="G118" i="9"/>
  <c r="E118" i="9"/>
  <c r="O117" i="9"/>
  <c r="M117" i="9"/>
  <c r="Q117" i="9" s="1"/>
  <c r="Y117" i="9" s="1"/>
  <c r="G117" i="9"/>
  <c r="E117" i="9"/>
  <c r="O116" i="9"/>
  <c r="M116" i="9"/>
  <c r="Q116" i="9" s="1"/>
  <c r="Y116" i="9" s="1"/>
  <c r="G116" i="9"/>
  <c r="E116" i="9"/>
  <c r="O115" i="9"/>
  <c r="M115" i="9"/>
  <c r="Q115" i="9" s="1"/>
  <c r="Y115" i="9" s="1"/>
  <c r="G115" i="9"/>
  <c r="E115" i="9"/>
  <c r="O114" i="9"/>
  <c r="M114" i="9"/>
  <c r="Q114" i="9" s="1"/>
  <c r="Y114" i="9" s="1"/>
  <c r="G114" i="9"/>
  <c r="E114" i="9"/>
  <c r="O113" i="9"/>
  <c r="M113" i="9"/>
  <c r="Q113" i="9" s="1"/>
  <c r="Y113" i="9" s="1"/>
  <c r="G113" i="9"/>
  <c r="E113" i="9"/>
  <c r="O112" i="9"/>
  <c r="M112" i="9"/>
  <c r="Q112" i="9" s="1"/>
  <c r="Y112" i="9" s="1"/>
  <c r="G112" i="9"/>
  <c r="E112" i="9"/>
  <c r="O111" i="9"/>
  <c r="M111" i="9"/>
  <c r="M127" i="9" s="1"/>
  <c r="G111" i="9"/>
  <c r="E111" i="9"/>
  <c r="K108" i="9"/>
  <c r="I108" i="9"/>
  <c r="O106" i="9"/>
  <c r="G106" i="9"/>
  <c r="M106" i="9" s="1"/>
  <c r="Q106" i="9" s="1"/>
  <c r="Y106" i="9" s="1"/>
  <c r="E106" i="9"/>
  <c r="O105" i="9"/>
  <c r="G105" i="9"/>
  <c r="M105" i="9" s="1"/>
  <c r="E105" i="9"/>
  <c r="O104" i="9"/>
  <c r="G104" i="9"/>
  <c r="M104" i="9" s="1"/>
  <c r="Q104" i="9" s="1"/>
  <c r="Y104" i="9" s="1"/>
  <c r="E104" i="9"/>
  <c r="O103" i="9"/>
  <c r="G103" i="9"/>
  <c r="M103" i="9" s="1"/>
  <c r="E103" i="9"/>
  <c r="O102" i="9"/>
  <c r="G102" i="9"/>
  <c r="M102" i="9" s="1"/>
  <c r="Q102" i="9" s="1"/>
  <c r="Y102" i="9" s="1"/>
  <c r="E102" i="9"/>
  <c r="O101" i="9"/>
  <c r="G101" i="9"/>
  <c r="M101" i="9" s="1"/>
  <c r="E101" i="9"/>
  <c r="O100" i="9"/>
  <c r="G100" i="9"/>
  <c r="M100" i="9" s="1"/>
  <c r="Q100" i="9" s="1"/>
  <c r="Y100" i="9" s="1"/>
  <c r="E100" i="9"/>
  <c r="O99" i="9"/>
  <c r="G99" i="9"/>
  <c r="M99" i="9" s="1"/>
  <c r="E99" i="9"/>
  <c r="O98" i="9"/>
  <c r="G98" i="9"/>
  <c r="M98" i="9" s="1"/>
  <c r="Q98" i="9" s="1"/>
  <c r="Y98" i="9" s="1"/>
  <c r="E98" i="9"/>
  <c r="O97" i="9"/>
  <c r="G97" i="9"/>
  <c r="M97" i="9" s="1"/>
  <c r="E97" i="9"/>
  <c r="O96" i="9"/>
  <c r="G96" i="9"/>
  <c r="M96" i="9" s="1"/>
  <c r="Q96" i="9" s="1"/>
  <c r="Y96" i="9" s="1"/>
  <c r="E96" i="9"/>
  <c r="O95" i="9"/>
  <c r="G95" i="9"/>
  <c r="M95" i="9" s="1"/>
  <c r="E95" i="9"/>
  <c r="O94" i="9"/>
  <c r="G94" i="9"/>
  <c r="M94" i="9" s="1"/>
  <c r="Q94" i="9" s="1"/>
  <c r="Y94" i="9" s="1"/>
  <c r="E94" i="9"/>
  <c r="O93" i="9"/>
  <c r="G93" i="9"/>
  <c r="M93" i="9" s="1"/>
  <c r="E93" i="9"/>
  <c r="O92" i="9"/>
  <c r="G92" i="9"/>
  <c r="M92" i="9" s="1"/>
  <c r="Q92" i="9" s="1"/>
  <c r="Y92" i="9" s="1"/>
  <c r="E92" i="9"/>
  <c r="O91" i="9"/>
  <c r="G91" i="9"/>
  <c r="M91" i="9" s="1"/>
  <c r="E91" i="9"/>
  <c r="O90" i="9"/>
  <c r="G90" i="9"/>
  <c r="M90" i="9" s="1"/>
  <c r="Q90" i="9" s="1"/>
  <c r="Y90" i="9" s="1"/>
  <c r="E90" i="9"/>
  <c r="O89" i="9"/>
  <c r="G89" i="9"/>
  <c r="M89" i="9" s="1"/>
  <c r="E89" i="9"/>
  <c r="K86" i="9"/>
  <c r="I86" i="9"/>
  <c r="O84" i="9"/>
  <c r="M84" i="9"/>
  <c r="Q84" i="9" s="1"/>
  <c r="Y84" i="9" s="1"/>
  <c r="G84" i="9"/>
  <c r="E84" i="9"/>
  <c r="O83" i="9"/>
  <c r="M83" i="9"/>
  <c r="Q83" i="9" s="1"/>
  <c r="Y83" i="9" s="1"/>
  <c r="G83" i="9"/>
  <c r="E83" i="9"/>
  <c r="O82" i="9"/>
  <c r="M82" i="9"/>
  <c r="Q82" i="9" s="1"/>
  <c r="Y82" i="9" s="1"/>
  <c r="G82" i="9"/>
  <c r="E82" i="9"/>
  <c r="O81" i="9"/>
  <c r="M81" i="9"/>
  <c r="Q81" i="9" s="1"/>
  <c r="Y81" i="9" s="1"/>
  <c r="G81" i="9"/>
  <c r="E81" i="9"/>
  <c r="O80" i="9"/>
  <c r="M80" i="9"/>
  <c r="Q80" i="9" s="1"/>
  <c r="Y80" i="9" s="1"/>
  <c r="G80" i="9"/>
  <c r="E80" i="9"/>
  <c r="O79" i="9"/>
  <c r="M79" i="9"/>
  <c r="Q79" i="9" s="1"/>
  <c r="Y79" i="9" s="1"/>
  <c r="G79" i="9"/>
  <c r="E79" i="9"/>
  <c r="O78" i="9"/>
  <c r="M78" i="9"/>
  <c r="Q78" i="9" s="1"/>
  <c r="Y78" i="9" s="1"/>
  <c r="G78" i="9"/>
  <c r="E78" i="9"/>
  <c r="O77" i="9"/>
  <c r="M77" i="9"/>
  <c r="Q77" i="9" s="1"/>
  <c r="Y77" i="9" s="1"/>
  <c r="G77" i="9"/>
  <c r="E77" i="9"/>
  <c r="O76" i="9"/>
  <c r="M76" i="9"/>
  <c r="Q76" i="9" s="1"/>
  <c r="Y76" i="9" s="1"/>
  <c r="G76" i="9"/>
  <c r="E76" i="9"/>
  <c r="O75" i="9"/>
  <c r="M75" i="9"/>
  <c r="Q75" i="9" s="1"/>
  <c r="Y75" i="9" s="1"/>
  <c r="G75" i="9"/>
  <c r="E75" i="9"/>
  <c r="O74" i="9"/>
  <c r="M74" i="9"/>
  <c r="Q74" i="9" s="1"/>
  <c r="Y74" i="9" s="1"/>
  <c r="G74" i="9"/>
  <c r="E74" i="9"/>
  <c r="O73" i="9"/>
  <c r="M73" i="9"/>
  <c r="M86" i="9" s="1"/>
  <c r="G73" i="9"/>
  <c r="E73" i="9"/>
  <c r="K70" i="9"/>
  <c r="I70" i="9"/>
  <c r="O68" i="9"/>
  <c r="G68" i="9"/>
  <c r="M68" i="9" s="1"/>
  <c r="Q68" i="9" s="1"/>
  <c r="Y68" i="9" s="1"/>
  <c r="E68" i="9"/>
  <c r="O67" i="9"/>
  <c r="G67" i="9"/>
  <c r="M67" i="9" s="1"/>
  <c r="E67" i="9"/>
  <c r="O66" i="9"/>
  <c r="G66" i="9"/>
  <c r="M66" i="9" s="1"/>
  <c r="Q66" i="9" s="1"/>
  <c r="Y66" i="9" s="1"/>
  <c r="E66" i="9"/>
  <c r="O65" i="9"/>
  <c r="G65" i="9"/>
  <c r="M65" i="9" s="1"/>
  <c r="E65" i="9"/>
  <c r="O64" i="9"/>
  <c r="G64" i="9"/>
  <c r="M64" i="9" s="1"/>
  <c r="Q64" i="9" s="1"/>
  <c r="Y64" i="9" s="1"/>
  <c r="E64" i="9"/>
  <c r="O63" i="9"/>
  <c r="G63" i="9"/>
  <c r="M63" i="9" s="1"/>
  <c r="E63" i="9"/>
  <c r="O62" i="9"/>
  <c r="G62" i="9"/>
  <c r="M62" i="9" s="1"/>
  <c r="Q62" i="9" s="1"/>
  <c r="Y62" i="9" s="1"/>
  <c r="E62" i="9"/>
  <c r="O61" i="9"/>
  <c r="G61" i="9"/>
  <c r="M61" i="9" s="1"/>
  <c r="E61" i="9"/>
  <c r="O60" i="9"/>
  <c r="G60" i="9"/>
  <c r="M60" i="9" s="1"/>
  <c r="Q60" i="9" s="1"/>
  <c r="Y60" i="9" s="1"/>
  <c r="E60" i="9"/>
  <c r="O59" i="9"/>
  <c r="G59" i="9"/>
  <c r="M59" i="9" s="1"/>
  <c r="E59" i="9"/>
  <c r="O58" i="9"/>
  <c r="G58" i="9"/>
  <c r="M58" i="9" s="1"/>
  <c r="Q58" i="9" s="1"/>
  <c r="Y58" i="9" s="1"/>
  <c r="E58" i="9"/>
  <c r="O57" i="9"/>
  <c r="G57" i="9"/>
  <c r="M57" i="9" s="1"/>
  <c r="E57" i="9"/>
  <c r="O56" i="9"/>
  <c r="G56" i="9"/>
  <c r="M56" i="9" s="1"/>
  <c r="Q56" i="9" s="1"/>
  <c r="Y56" i="9" s="1"/>
  <c r="E56" i="9"/>
  <c r="O55" i="9"/>
  <c r="G55" i="9"/>
  <c r="M55" i="9" s="1"/>
  <c r="E55" i="9"/>
  <c r="O54" i="9"/>
  <c r="G54" i="9"/>
  <c r="M54" i="9" s="1"/>
  <c r="Q54" i="9" s="1"/>
  <c r="Y54" i="9" s="1"/>
  <c r="E54" i="9"/>
  <c r="O53" i="9"/>
  <c r="M53" i="9"/>
  <c r="G53" i="9"/>
  <c r="E53" i="9"/>
  <c r="O52" i="9"/>
  <c r="M52" i="9"/>
  <c r="G52" i="9"/>
  <c r="E52" i="9"/>
  <c r="O51" i="9"/>
  <c r="M51" i="9"/>
  <c r="G51" i="9"/>
  <c r="E51" i="9"/>
  <c r="O50" i="9"/>
  <c r="M50" i="9"/>
  <c r="G50" i="9"/>
  <c r="E50" i="9"/>
  <c r="O49" i="9"/>
  <c r="M49" i="9"/>
  <c r="M70" i="9" s="1"/>
  <c r="G49" i="9"/>
  <c r="E49" i="9"/>
  <c r="K46" i="9"/>
  <c r="I46" i="9"/>
  <c r="O44" i="9"/>
  <c r="G44" i="9"/>
  <c r="M44" i="9" s="1"/>
  <c r="E44" i="9"/>
  <c r="O43" i="9"/>
  <c r="G43" i="9"/>
  <c r="M43" i="9" s="1"/>
  <c r="Q43" i="9" s="1"/>
  <c r="Y43" i="9" s="1"/>
  <c r="E43" i="9"/>
  <c r="O42" i="9"/>
  <c r="G42" i="9"/>
  <c r="M42" i="9" s="1"/>
  <c r="E42" i="9"/>
  <c r="O41" i="9"/>
  <c r="G41" i="9"/>
  <c r="M41" i="9" s="1"/>
  <c r="Q41" i="9" s="1"/>
  <c r="Y41" i="9" s="1"/>
  <c r="E41" i="9"/>
  <c r="O40" i="9"/>
  <c r="G40" i="9"/>
  <c r="M40" i="9" s="1"/>
  <c r="E40" i="9"/>
  <c r="O39" i="9"/>
  <c r="G39" i="9"/>
  <c r="M39" i="9" s="1"/>
  <c r="Q39" i="9" s="1"/>
  <c r="Y39" i="9" s="1"/>
  <c r="E39" i="9"/>
  <c r="O38" i="9"/>
  <c r="G38" i="9"/>
  <c r="M38" i="9" s="1"/>
  <c r="E38" i="9"/>
  <c r="O37" i="9"/>
  <c r="G37" i="9"/>
  <c r="M37" i="9" s="1"/>
  <c r="Q37" i="9" s="1"/>
  <c r="Y37" i="9" s="1"/>
  <c r="E37" i="9"/>
  <c r="O36" i="9"/>
  <c r="G36" i="9"/>
  <c r="M36" i="9" s="1"/>
  <c r="E36" i="9"/>
  <c r="O35" i="9"/>
  <c r="M35" i="9"/>
  <c r="Q35" i="9" s="1"/>
  <c r="Y35" i="9" s="1"/>
  <c r="G35" i="9"/>
  <c r="E35" i="9"/>
  <c r="O34" i="9"/>
  <c r="M34" i="9"/>
  <c r="Q34" i="9" s="1"/>
  <c r="Y34" i="9" s="1"/>
  <c r="G34" i="9"/>
  <c r="E34" i="9"/>
  <c r="O33" i="9"/>
  <c r="M33" i="9"/>
  <c r="Q33" i="9" s="1"/>
  <c r="Y33" i="9" s="1"/>
  <c r="G33" i="9"/>
  <c r="E33" i="9"/>
  <c r="O32" i="9"/>
  <c r="M32" i="9"/>
  <c r="Q32" i="9" s="1"/>
  <c r="Y32" i="9" s="1"/>
  <c r="G32" i="9"/>
  <c r="E32" i="9"/>
  <c r="O31" i="9"/>
  <c r="M31" i="9"/>
  <c r="Q31" i="9" s="1"/>
  <c r="Y31" i="9" s="1"/>
  <c r="G31" i="9"/>
  <c r="E31" i="9"/>
  <c r="O30" i="9"/>
  <c r="M30" i="9"/>
  <c r="Q30" i="9" s="1"/>
  <c r="Y30" i="9" s="1"/>
  <c r="G30" i="9"/>
  <c r="E30" i="9"/>
  <c r="O29" i="9"/>
  <c r="M29" i="9"/>
  <c r="Q29" i="9" s="1"/>
  <c r="Y29" i="9" s="1"/>
  <c r="G29" i="9"/>
  <c r="E29" i="9"/>
  <c r="O28" i="9"/>
  <c r="M28" i="9"/>
  <c r="Q28" i="9" s="1"/>
  <c r="Y28" i="9" s="1"/>
  <c r="G28" i="9"/>
  <c r="E28" i="9"/>
  <c r="O27" i="9"/>
  <c r="M27" i="9"/>
  <c r="Q27" i="9" s="1"/>
  <c r="Y27" i="9" s="1"/>
  <c r="G27" i="9"/>
  <c r="E27" i="9"/>
  <c r="O26" i="9"/>
  <c r="M26" i="9"/>
  <c r="M46" i="9" s="1"/>
  <c r="G26" i="9"/>
  <c r="E26" i="9"/>
  <c r="K20" i="9"/>
  <c r="I20" i="9"/>
  <c r="Q18" i="9"/>
  <c r="M18" i="9"/>
  <c r="M17" i="9"/>
  <c r="M20" i="9" s="1"/>
  <c r="Q16" i="9"/>
  <c r="M16" i="9"/>
  <c r="F19" i="10" l="1"/>
  <c r="G19" i="10"/>
  <c r="K19" i="10"/>
  <c r="H18" i="10"/>
  <c r="P17" i="10"/>
  <c r="P16" i="10"/>
  <c r="C20" i="10"/>
  <c r="B21" i="10"/>
  <c r="N18" i="10"/>
  <c r="O18" i="10"/>
  <c r="Y298" i="9"/>
  <c r="S298" i="9"/>
  <c r="Y302" i="9"/>
  <c r="S302" i="9"/>
  <c r="Y306" i="9"/>
  <c r="S306" i="9"/>
  <c r="Q326" i="9"/>
  <c r="Y313" i="9"/>
  <c r="S313" i="9"/>
  <c r="Y317" i="9"/>
  <c r="S317" i="9"/>
  <c r="Y321" i="9"/>
  <c r="S321" i="9"/>
  <c r="Y334" i="9"/>
  <c r="S334" i="9"/>
  <c r="Y338" i="9"/>
  <c r="S338" i="9"/>
  <c r="Y342" i="9"/>
  <c r="S342" i="9"/>
  <c r="Q36" i="9"/>
  <c r="Y36" i="9" s="1"/>
  <c r="Q38" i="9"/>
  <c r="Y38" i="9" s="1"/>
  <c r="Q40" i="9"/>
  <c r="Y40" i="9" s="1"/>
  <c r="Q42" i="9"/>
  <c r="Y42" i="9" s="1"/>
  <c r="Q44" i="9"/>
  <c r="Y44" i="9" s="1"/>
  <c r="Q50" i="9"/>
  <c r="Y50" i="9" s="1"/>
  <c r="Q51" i="9"/>
  <c r="Y51" i="9" s="1"/>
  <c r="Q52" i="9"/>
  <c r="Y52" i="9" s="1"/>
  <c r="Q53" i="9"/>
  <c r="Y53" i="9" s="1"/>
  <c r="Q55" i="9"/>
  <c r="Y55" i="9" s="1"/>
  <c r="Q57" i="9"/>
  <c r="Y57" i="9" s="1"/>
  <c r="Q59" i="9"/>
  <c r="Y59" i="9" s="1"/>
  <c r="Q61" i="9"/>
  <c r="Y61" i="9" s="1"/>
  <c r="Q63" i="9"/>
  <c r="Y63" i="9" s="1"/>
  <c r="Q65" i="9"/>
  <c r="Y65" i="9" s="1"/>
  <c r="Q67" i="9"/>
  <c r="Y67" i="9" s="1"/>
  <c r="Q91" i="9"/>
  <c r="Y91" i="9" s="1"/>
  <c r="Q93" i="9"/>
  <c r="Y93" i="9" s="1"/>
  <c r="Q95" i="9"/>
  <c r="Y95" i="9" s="1"/>
  <c r="Q97" i="9"/>
  <c r="Y97" i="9" s="1"/>
  <c r="Q99" i="9"/>
  <c r="Y99" i="9" s="1"/>
  <c r="Q101" i="9"/>
  <c r="Y101" i="9" s="1"/>
  <c r="Q103" i="9"/>
  <c r="Y103" i="9" s="1"/>
  <c r="Q105" i="9"/>
  <c r="Y105" i="9" s="1"/>
  <c r="Q125" i="9"/>
  <c r="Y125" i="9" s="1"/>
  <c r="Q181" i="9"/>
  <c r="Y181" i="9" s="1"/>
  <c r="Q183" i="9"/>
  <c r="Y183" i="9" s="1"/>
  <c r="Q185" i="9"/>
  <c r="Y185" i="9" s="1"/>
  <c r="Q187" i="9"/>
  <c r="Y187" i="9" s="1"/>
  <c r="Q189" i="9"/>
  <c r="Y189" i="9" s="1"/>
  <c r="Q191" i="9"/>
  <c r="Y191" i="9" s="1"/>
  <c r="Q193" i="9"/>
  <c r="Y193" i="9" s="1"/>
  <c r="Q199" i="9"/>
  <c r="Y199" i="9" s="1"/>
  <c r="Q200" i="9"/>
  <c r="Y200" i="9" s="1"/>
  <c r="Q201" i="9"/>
  <c r="Y201" i="9" s="1"/>
  <c r="Q202" i="9"/>
  <c r="Y202" i="9" s="1"/>
  <c r="Q203" i="9"/>
  <c r="Y203" i="9" s="1"/>
  <c r="Q204" i="9"/>
  <c r="Y204" i="9" s="1"/>
  <c r="Q205" i="9"/>
  <c r="Y205" i="9" s="1"/>
  <c r="Q207" i="9"/>
  <c r="Y207" i="9" s="1"/>
  <c r="Q209" i="9"/>
  <c r="Y209" i="9" s="1"/>
  <c r="Q211" i="9"/>
  <c r="Y211" i="9" s="1"/>
  <c r="Q213" i="9"/>
  <c r="Y213" i="9" s="1"/>
  <c r="Q232" i="9"/>
  <c r="Y232" i="9" s="1"/>
  <c r="Q238" i="9"/>
  <c r="Y238" i="9" s="1"/>
  <c r="Q239" i="9"/>
  <c r="Y239" i="9" s="1"/>
  <c r="Q240" i="9"/>
  <c r="Y240" i="9" s="1"/>
  <c r="Q241" i="9"/>
  <c r="Y241" i="9" s="1"/>
  <c r="Q242" i="9"/>
  <c r="Y242" i="9" s="1"/>
  <c r="Q243" i="9"/>
  <c r="Y243" i="9" s="1"/>
  <c r="Q244" i="9"/>
  <c r="Y244" i="9" s="1"/>
  <c r="Q245" i="9"/>
  <c r="Y245" i="9" s="1"/>
  <c r="Q246" i="9"/>
  <c r="Y246" i="9" s="1"/>
  <c r="Q247" i="9"/>
  <c r="Y247" i="9" s="1"/>
  <c r="Q248" i="9"/>
  <c r="Y248" i="9" s="1"/>
  <c r="Q249" i="9"/>
  <c r="Y249" i="9" s="1"/>
  <c r="Q250" i="9"/>
  <c r="Y250" i="9" s="1"/>
  <c r="Q251" i="9"/>
  <c r="Y251" i="9" s="1"/>
  <c r="Q257" i="9"/>
  <c r="Y257" i="9" s="1"/>
  <c r="Q259" i="9"/>
  <c r="Y259" i="9" s="1"/>
  <c r="Q261" i="9"/>
  <c r="Y261" i="9" s="1"/>
  <c r="Q263" i="9"/>
  <c r="Y263" i="9" s="1"/>
  <c r="Q265" i="9"/>
  <c r="Y265" i="9" s="1"/>
  <c r="Q267" i="9"/>
  <c r="Y267" i="9" s="1"/>
  <c r="Q269" i="9"/>
  <c r="Y269" i="9" s="1"/>
  <c r="S300" i="9"/>
  <c r="S304" i="9"/>
  <c r="S315" i="9"/>
  <c r="S319" i="9"/>
  <c r="S323" i="9"/>
  <c r="S332" i="9"/>
  <c r="S336" i="9"/>
  <c r="S340" i="9"/>
  <c r="Q345" i="9"/>
  <c r="Y331" i="9"/>
  <c r="Y345" i="9" s="1"/>
  <c r="Z345" i="9" s="1"/>
  <c r="S34" i="9"/>
  <c r="S51" i="9"/>
  <c r="S55" i="9"/>
  <c r="S57" i="9"/>
  <c r="S60" i="9"/>
  <c r="S62" i="9"/>
  <c r="S64" i="9"/>
  <c r="S66" i="9"/>
  <c r="S67" i="9"/>
  <c r="S68" i="9"/>
  <c r="S74" i="9"/>
  <c r="S76" i="9"/>
  <c r="S78" i="9"/>
  <c r="S80" i="9"/>
  <c r="S82" i="9"/>
  <c r="S84" i="9"/>
  <c r="M108" i="9"/>
  <c r="Q89" i="9"/>
  <c r="Y89" i="9" s="1"/>
  <c r="Y108" i="9" s="1"/>
  <c r="S90" i="9"/>
  <c r="S91" i="9"/>
  <c r="S92" i="9"/>
  <c r="S93" i="9"/>
  <c r="S94" i="9"/>
  <c r="S95" i="9"/>
  <c r="S96" i="9"/>
  <c r="S97" i="9"/>
  <c r="S98" i="9"/>
  <c r="S99" i="9"/>
  <c r="S100" i="9"/>
  <c r="S101" i="9"/>
  <c r="S102" i="9"/>
  <c r="S103" i="9"/>
  <c r="S104" i="9"/>
  <c r="S105" i="9"/>
  <c r="S106" i="9"/>
  <c r="S112" i="9"/>
  <c r="S114" i="9"/>
  <c r="S116" i="9"/>
  <c r="S28" i="9"/>
  <c r="S30" i="9"/>
  <c r="S32" i="9"/>
  <c r="S53" i="9"/>
  <c r="S54" i="9"/>
  <c r="S56" i="9"/>
  <c r="S58" i="9"/>
  <c r="S59" i="9"/>
  <c r="S61" i="9"/>
  <c r="S63" i="9"/>
  <c r="S65" i="9"/>
  <c r="S27" i="9"/>
  <c r="S29" i="9"/>
  <c r="S31" i="9"/>
  <c r="S33" i="9"/>
  <c r="S35" i="9"/>
  <c r="S36" i="9"/>
  <c r="S37" i="9"/>
  <c r="S38" i="9"/>
  <c r="S39" i="9"/>
  <c r="S40" i="9"/>
  <c r="S41" i="9"/>
  <c r="S42" i="9"/>
  <c r="S43" i="9"/>
  <c r="S44" i="9"/>
  <c r="S50" i="9"/>
  <c r="S52" i="9"/>
  <c r="S75" i="9"/>
  <c r="S77" i="9"/>
  <c r="S79" i="9"/>
  <c r="S81" i="9"/>
  <c r="S83" i="9"/>
  <c r="S113" i="9"/>
  <c r="S115" i="9"/>
  <c r="S117" i="9"/>
  <c r="S16" i="9"/>
  <c r="Q17" i="9"/>
  <c r="S18" i="9"/>
  <c r="Q49" i="9"/>
  <c r="Y49" i="9" s="1"/>
  <c r="Y70" i="9" s="1"/>
  <c r="S118" i="9"/>
  <c r="S120" i="9"/>
  <c r="S122" i="9"/>
  <c r="S124" i="9"/>
  <c r="S125" i="9"/>
  <c r="K129" i="9"/>
  <c r="M216" i="9"/>
  <c r="S200" i="9"/>
  <c r="S202" i="9"/>
  <c r="S204" i="9"/>
  <c r="S221" i="9"/>
  <c r="Q26" i="9"/>
  <c r="Y26" i="9" s="1"/>
  <c r="Y46" i="9" s="1"/>
  <c r="Q73" i="9"/>
  <c r="Y73" i="9" s="1"/>
  <c r="Y86" i="9" s="1"/>
  <c r="M129" i="9"/>
  <c r="M361" i="9" s="1"/>
  <c r="Q111" i="9"/>
  <c r="Y111" i="9" s="1"/>
  <c r="Y127" i="9" s="1"/>
  <c r="Y129" i="9" s="1"/>
  <c r="Z129" i="9" s="1"/>
  <c r="S119" i="9"/>
  <c r="S121" i="9"/>
  <c r="S123" i="9"/>
  <c r="I129" i="9"/>
  <c r="M146" i="9"/>
  <c r="Q144" i="9"/>
  <c r="Y144" i="9" s="1"/>
  <c r="Y146" i="9" s="1"/>
  <c r="M151" i="9"/>
  <c r="Q149" i="9"/>
  <c r="Y149" i="9" s="1"/>
  <c r="Y151" i="9" s="1"/>
  <c r="M156" i="9"/>
  <c r="Q154" i="9"/>
  <c r="Y154" i="9" s="1"/>
  <c r="Y156" i="9" s="1"/>
  <c r="M161" i="9"/>
  <c r="Q159" i="9"/>
  <c r="Y159" i="9" s="1"/>
  <c r="Y161" i="9" s="1"/>
  <c r="M166" i="9"/>
  <c r="M168" i="9" s="1"/>
  <c r="Q164" i="9"/>
  <c r="Y164" i="9" s="1"/>
  <c r="Y166" i="9" s="1"/>
  <c r="M195" i="9"/>
  <c r="Q179" i="9"/>
  <c r="Y179" i="9" s="1"/>
  <c r="Y195" i="9" s="1"/>
  <c r="S180" i="9"/>
  <c r="S181" i="9"/>
  <c r="S182" i="9"/>
  <c r="S183" i="9"/>
  <c r="S184" i="9"/>
  <c r="S185" i="9"/>
  <c r="S186" i="9"/>
  <c r="S187" i="9"/>
  <c r="S188" i="9"/>
  <c r="S189" i="9"/>
  <c r="S190" i="9"/>
  <c r="S191" i="9"/>
  <c r="S192" i="9"/>
  <c r="S193" i="9"/>
  <c r="S199" i="9"/>
  <c r="S201" i="9"/>
  <c r="S203" i="9"/>
  <c r="S205" i="9"/>
  <c r="S206" i="9"/>
  <c r="S207" i="9"/>
  <c r="S208" i="9"/>
  <c r="S209" i="9"/>
  <c r="S210" i="9"/>
  <c r="S211" i="9"/>
  <c r="S212" i="9"/>
  <c r="S213" i="9"/>
  <c r="S214" i="9"/>
  <c r="S220" i="9"/>
  <c r="Q134" i="9"/>
  <c r="Y134" i="9" s="1"/>
  <c r="Y136" i="9" s="1"/>
  <c r="Q139" i="9"/>
  <c r="Y139" i="9" s="1"/>
  <c r="Y141" i="9" s="1"/>
  <c r="Q198" i="9"/>
  <c r="Y198" i="9" s="1"/>
  <c r="Y216" i="9" s="1"/>
  <c r="Q222" i="9"/>
  <c r="Y222" i="9" s="1"/>
  <c r="Q223" i="9"/>
  <c r="Y223" i="9" s="1"/>
  <c r="Q224" i="9"/>
  <c r="Y224" i="9" s="1"/>
  <c r="Q225" i="9"/>
  <c r="Y225" i="9" s="1"/>
  <c r="Q226" i="9"/>
  <c r="Y226" i="9" s="1"/>
  <c r="Q227" i="9"/>
  <c r="Y227" i="9" s="1"/>
  <c r="Q228" i="9"/>
  <c r="Y228" i="9" s="1"/>
  <c r="Q229" i="9"/>
  <c r="Y229" i="9" s="1"/>
  <c r="Q230" i="9"/>
  <c r="Y230" i="9" s="1"/>
  <c r="Q231" i="9"/>
  <c r="Y231" i="9" s="1"/>
  <c r="S232" i="9"/>
  <c r="S238" i="9"/>
  <c r="S240" i="9"/>
  <c r="S242" i="9"/>
  <c r="S244" i="9"/>
  <c r="S246" i="9"/>
  <c r="S248" i="9"/>
  <c r="S250" i="9"/>
  <c r="I292" i="9"/>
  <c r="I347" i="9" s="1"/>
  <c r="I361" i="9" s="1"/>
  <c r="S277" i="9"/>
  <c r="S279" i="9"/>
  <c r="S281" i="9"/>
  <c r="S283" i="9"/>
  <c r="S285" i="9"/>
  <c r="S287" i="9"/>
  <c r="Q174" i="9"/>
  <c r="Y174" i="9" s="1"/>
  <c r="Y176" i="9" s="1"/>
  <c r="Q219" i="9"/>
  <c r="Y219" i="9" s="1"/>
  <c r="Y234" i="9" s="1"/>
  <c r="S239" i="9"/>
  <c r="S241" i="9"/>
  <c r="S243" i="9"/>
  <c r="S245" i="9"/>
  <c r="S247" i="9"/>
  <c r="S249" i="9"/>
  <c r="S251" i="9"/>
  <c r="M272" i="9"/>
  <c r="M292" i="9" s="1"/>
  <c r="M347" i="9" s="1"/>
  <c r="Q256" i="9"/>
  <c r="Y256" i="9" s="1"/>
  <c r="Y272" i="9" s="1"/>
  <c r="S257" i="9"/>
  <c r="S258" i="9"/>
  <c r="S259" i="9"/>
  <c r="S260" i="9"/>
  <c r="S261" i="9"/>
  <c r="S262" i="9"/>
  <c r="S263" i="9"/>
  <c r="S264" i="9"/>
  <c r="S265" i="9"/>
  <c r="S266" i="9"/>
  <c r="S267" i="9"/>
  <c r="S268" i="9"/>
  <c r="S269" i="9"/>
  <c r="S270" i="9"/>
  <c r="K292" i="9"/>
  <c r="K347" i="9" s="1"/>
  <c r="K361" i="9" s="1"/>
  <c r="S276" i="9"/>
  <c r="S278" i="9"/>
  <c r="S280" i="9"/>
  <c r="S282" i="9"/>
  <c r="S284" i="9"/>
  <c r="S286" i="9"/>
  <c r="S288" i="9"/>
  <c r="Q237" i="9"/>
  <c r="Y237" i="9" s="1"/>
  <c r="Y253" i="9" s="1"/>
  <c r="Q275" i="9"/>
  <c r="Y275" i="9" s="1"/>
  <c r="Y290" i="9" s="1"/>
  <c r="Q308" i="9"/>
  <c r="S297" i="9"/>
  <c r="S299" i="9"/>
  <c r="S301" i="9"/>
  <c r="S303" i="9"/>
  <c r="S305" i="9"/>
  <c r="S314" i="9"/>
  <c r="S316" i="9"/>
  <c r="S318" i="9"/>
  <c r="S320" i="9"/>
  <c r="S322" i="9"/>
  <c r="S324" i="9"/>
  <c r="S331" i="9"/>
  <c r="S333" i="9"/>
  <c r="S335" i="9"/>
  <c r="S337" i="9"/>
  <c r="S339" i="9"/>
  <c r="S341" i="9"/>
  <c r="I11" i="8"/>
  <c r="I13" i="8"/>
  <c r="G13" i="8"/>
  <c r="Z293" i="6"/>
  <c r="Z292" i="6"/>
  <c r="Z168" i="6"/>
  <c r="Z129" i="6"/>
  <c r="G11" i="8"/>
  <c r="Z293" i="5"/>
  <c r="Z292" i="5"/>
  <c r="Z168" i="5"/>
  <c r="Z129" i="5"/>
  <c r="P18" i="10" l="1"/>
  <c r="G20" i="10"/>
  <c r="F20" i="10"/>
  <c r="H20" i="10" s="1"/>
  <c r="K20" i="10"/>
  <c r="H19" i="10"/>
  <c r="C21" i="10"/>
  <c r="B22" i="10"/>
  <c r="O19" i="10"/>
  <c r="N19" i="10"/>
  <c r="P19" i="10" s="1"/>
  <c r="Y292" i="9"/>
  <c r="Z292" i="9" s="1"/>
  <c r="Y308" i="9"/>
  <c r="Z308" i="9" s="1"/>
  <c r="Y168" i="9"/>
  <c r="Z168" i="9" s="1"/>
  <c r="Z293" i="9" s="1"/>
  <c r="G15" i="8" s="1"/>
  <c r="Y326" i="9"/>
  <c r="Z326" i="9" s="1"/>
  <c r="Z346" i="9" s="1"/>
  <c r="Q253" i="9"/>
  <c r="S253" i="9" s="1"/>
  <c r="S237" i="9"/>
  <c r="Q176" i="9"/>
  <c r="S174" i="9"/>
  <c r="S230" i="9"/>
  <c r="S228" i="9"/>
  <c r="S226" i="9"/>
  <c r="S224" i="9"/>
  <c r="S222" i="9"/>
  <c r="Q141" i="9"/>
  <c r="S139" i="9"/>
  <c r="Q195" i="9"/>
  <c r="S195" i="9" s="1"/>
  <c r="S179" i="9"/>
  <c r="Q46" i="9"/>
  <c r="S46" i="9" s="1"/>
  <c r="S26" i="9"/>
  <c r="Q108" i="9"/>
  <c r="S108" i="9" s="1"/>
  <c r="S89" i="9"/>
  <c r="Q290" i="9"/>
  <c r="S275" i="9"/>
  <c r="Q272" i="9"/>
  <c r="S272" i="9" s="1"/>
  <c r="S256" i="9"/>
  <c r="Q234" i="9"/>
  <c r="S234" i="9" s="1"/>
  <c r="S219" i="9"/>
  <c r="S231" i="9"/>
  <c r="S229" i="9"/>
  <c r="S227" i="9"/>
  <c r="S225" i="9"/>
  <c r="S223" i="9"/>
  <c r="Q216" i="9"/>
  <c r="S216" i="9" s="1"/>
  <c r="S198" i="9"/>
  <c r="Q136" i="9"/>
  <c r="S134" i="9"/>
  <c r="Q166" i="9"/>
  <c r="S164" i="9"/>
  <c r="Q161" i="9"/>
  <c r="S159" i="9"/>
  <c r="Q156" i="9"/>
  <c r="S154" i="9"/>
  <c r="Q151" i="9"/>
  <c r="S149" i="9"/>
  <c r="Q146" i="9"/>
  <c r="S144" i="9"/>
  <c r="Q127" i="9"/>
  <c r="S111" i="9"/>
  <c r="Q86" i="9"/>
  <c r="S86" i="9" s="1"/>
  <c r="S73" i="9"/>
  <c r="Q70" i="9"/>
  <c r="S70" i="9" s="1"/>
  <c r="S49" i="9"/>
  <c r="S17" i="9"/>
  <c r="Q20" i="9"/>
  <c r="S20" i="9" s="1"/>
  <c r="G288" i="6"/>
  <c r="G287" i="6"/>
  <c r="G286" i="6"/>
  <c r="G285" i="6"/>
  <c r="G284" i="6"/>
  <c r="G283" i="6"/>
  <c r="G282" i="6"/>
  <c r="G281" i="6"/>
  <c r="G280" i="6"/>
  <c r="G279" i="6"/>
  <c r="G278" i="6"/>
  <c r="G277" i="6"/>
  <c r="G276" i="6"/>
  <c r="G275" i="6"/>
  <c r="G270" i="6"/>
  <c r="G269" i="6"/>
  <c r="G268" i="6"/>
  <c r="G267" i="6"/>
  <c r="G266" i="6"/>
  <c r="G265" i="6"/>
  <c r="G264" i="6"/>
  <c r="G263" i="6"/>
  <c r="G262" i="6"/>
  <c r="G261" i="6"/>
  <c r="G260" i="6"/>
  <c r="G259" i="6"/>
  <c r="G258" i="6"/>
  <c r="G257" i="6"/>
  <c r="G256" i="6"/>
  <c r="G251" i="6"/>
  <c r="G250" i="6"/>
  <c r="G249" i="6"/>
  <c r="G248" i="6"/>
  <c r="G247" i="6"/>
  <c r="G246" i="6"/>
  <c r="G245" i="6"/>
  <c r="G244" i="6"/>
  <c r="G243" i="6"/>
  <c r="G242" i="6"/>
  <c r="G241" i="6"/>
  <c r="G240" i="6"/>
  <c r="G239" i="6"/>
  <c r="G238" i="6"/>
  <c r="G237" i="6"/>
  <c r="G232" i="6"/>
  <c r="G231" i="6"/>
  <c r="G230" i="6"/>
  <c r="G229" i="6"/>
  <c r="G228" i="6"/>
  <c r="G227" i="6"/>
  <c r="G226" i="6"/>
  <c r="G225" i="6"/>
  <c r="G224" i="6"/>
  <c r="G223" i="6"/>
  <c r="G222" i="6"/>
  <c r="G221" i="6"/>
  <c r="G220" i="6"/>
  <c r="G219" i="6"/>
  <c r="G214" i="6"/>
  <c r="G213" i="6"/>
  <c r="G212" i="6"/>
  <c r="G211" i="6"/>
  <c r="G210" i="6"/>
  <c r="G209" i="6"/>
  <c r="G208" i="6"/>
  <c r="G207" i="6"/>
  <c r="G206" i="6"/>
  <c r="G205" i="6"/>
  <c r="G204" i="6"/>
  <c r="G203" i="6"/>
  <c r="G202" i="6"/>
  <c r="G201" i="6"/>
  <c r="G200" i="6"/>
  <c r="G199" i="6"/>
  <c r="G198" i="6"/>
  <c r="G193" i="6"/>
  <c r="G192" i="6"/>
  <c r="G191" i="6"/>
  <c r="G190" i="6"/>
  <c r="G189" i="6"/>
  <c r="G188" i="6"/>
  <c r="G187" i="6"/>
  <c r="G186" i="6"/>
  <c r="G185" i="6"/>
  <c r="G184" i="6"/>
  <c r="G183" i="6"/>
  <c r="G182" i="6"/>
  <c r="G181" i="6"/>
  <c r="G180" i="6"/>
  <c r="G179" i="6"/>
  <c r="G164" i="6"/>
  <c r="G159" i="6"/>
  <c r="G154" i="6"/>
  <c r="G149" i="6"/>
  <c r="G144" i="6"/>
  <c r="G139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4" i="6"/>
  <c r="G83" i="6"/>
  <c r="G82" i="6"/>
  <c r="G81" i="6"/>
  <c r="G80" i="6"/>
  <c r="G79" i="6"/>
  <c r="G78" i="6"/>
  <c r="G77" i="6"/>
  <c r="G76" i="6"/>
  <c r="G75" i="6"/>
  <c r="G74" i="6"/>
  <c r="G73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F21" i="10" l="1"/>
  <c r="G21" i="10"/>
  <c r="K21" i="10"/>
  <c r="N20" i="10"/>
  <c r="O20" i="10"/>
  <c r="C22" i="10"/>
  <c r="B23" i="10"/>
  <c r="Y347" i="9"/>
  <c r="G17" i="8" s="1"/>
  <c r="Q168" i="9"/>
  <c r="S168" i="9" s="1"/>
  <c r="Q129" i="9"/>
  <c r="S127" i="9"/>
  <c r="Q292" i="9"/>
  <c r="S290" i="9"/>
  <c r="G22" i="10" l="1"/>
  <c r="F22" i="10"/>
  <c r="O21" i="10"/>
  <c r="N21" i="10"/>
  <c r="K23" i="10"/>
  <c r="C23" i="10"/>
  <c r="B24" i="10"/>
  <c r="K22" i="10"/>
  <c r="P20" i="10"/>
  <c r="H21" i="10"/>
  <c r="Q347" i="9"/>
  <c r="I359" i="6"/>
  <c r="K345" i="6"/>
  <c r="I345" i="6"/>
  <c r="Y343" i="6"/>
  <c r="Q343" i="6"/>
  <c r="M343" i="6"/>
  <c r="W342" i="6"/>
  <c r="M342" i="6"/>
  <c r="O342" i="6" s="1"/>
  <c r="W341" i="6"/>
  <c r="M341" i="6"/>
  <c r="O341" i="6" s="1"/>
  <c r="W340" i="6"/>
  <c r="O340" i="6"/>
  <c r="M340" i="6"/>
  <c r="W339" i="6"/>
  <c r="M339" i="6"/>
  <c r="O339" i="6" s="1"/>
  <c r="Q339" i="6" s="1"/>
  <c r="W338" i="6"/>
  <c r="M338" i="6"/>
  <c r="O338" i="6" s="1"/>
  <c r="W337" i="6"/>
  <c r="M337" i="6"/>
  <c r="O337" i="6" s="1"/>
  <c r="Q337" i="6" s="1"/>
  <c r="W336" i="6"/>
  <c r="M336" i="6"/>
  <c r="O336" i="6" s="1"/>
  <c r="Y336" i="6" s="1"/>
  <c r="W335" i="6"/>
  <c r="M335" i="6"/>
  <c r="O335" i="6" s="1"/>
  <c r="W334" i="6"/>
  <c r="M334" i="6"/>
  <c r="O334" i="6" s="1"/>
  <c r="W333" i="6"/>
  <c r="O333" i="6"/>
  <c r="M333" i="6"/>
  <c r="W332" i="6"/>
  <c r="M332" i="6"/>
  <c r="O332" i="6" s="1"/>
  <c r="W331" i="6"/>
  <c r="M331" i="6"/>
  <c r="K326" i="6"/>
  <c r="I326" i="6"/>
  <c r="W324" i="6"/>
  <c r="M324" i="6"/>
  <c r="O324" i="6" s="1"/>
  <c r="W323" i="6"/>
  <c r="M323" i="6"/>
  <c r="O323" i="6" s="1"/>
  <c r="W322" i="6"/>
  <c r="M322" i="6"/>
  <c r="O322" i="6" s="1"/>
  <c r="W321" i="6"/>
  <c r="Q321" i="6"/>
  <c r="M321" i="6"/>
  <c r="O321" i="6" s="1"/>
  <c r="Y321" i="6" s="1"/>
  <c r="W320" i="6"/>
  <c r="M320" i="6"/>
  <c r="O320" i="6" s="1"/>
  <c r="W319" i="6"/>
  <c r="M319" i="6"/>
  <c r="O319" i="6" s="1"/>
  <c r="W318" i="6"/>
  <c r="M318" i="6"/>
  <c r="O318" i="6" s="1"/>
  <c r="Q318" i="6" s="1"/>
  <c r="W317" i="6"/>
  <c r="M317" i="6"/>
  <c r="O317" i="6" s="1"/>
  <c r="Q317" i="6" s="1"/>
  <c r="W316" i="6"/>
  <c r="M316" i="6"/>
  <c r="O316" i="6" s="1"/>
  <c r="W315" i="6"/>
  <c r="M315" i="6"/>
  <c r="O315" i="6" s="1"/>
  <c r="Y315" i="6" s="1"/>
  <c r="W314" i="6"/>
  <c r="M314" i="6"/>
  <c r="O314" i="6" s="1"/>
  <c r="Q314" i="6" s="1"/>
  <c r="W313" i="6"/>
  <c r="M313" i="6"/>
  <c r="O313" i="6" s="1"/>
  <c r="Y313" i="6" s="1"/>
  <c r="K308" i="6"/>
  <c r="I308" i="6"/>
  <c r="W306" i="6"/>
  <c r="O306" i="6"/>
  <c r="M306" i="6"/>
  <c r="W305" i="6"/>
  <c r="M305" i="6"/>
  <c r="O305" i="6" s="1"/>
  <c r="Y305" i="6" s="1"/>
  <c r="W304" i="6"/>
  <c r="M304" i="6"/>
  <c r="O304" i="6" s="1"/>
  <c r="Q304" i="6" s="1"/>
  <c r="W303" i="6"/>
  <c r="M303" i="6"/>
  <c r="O303" i="6" s="1"/>
  <c r="Q303" i="6" s="1"/>
  <c r="W302" i="6"/>
  <c r="M302" i="6"/>
  <c r="O302" i="6" s="1"/>
  <c r="Y301" i="6"/>
  <c r="Q301" i="6"/>
  <c r="M301" i="6"/>
  <c r="W300" i="6"/>
  <c r="M300" i="6"/>
  <c r="O300" i="6" s="1"/>
  <c r="W299" i="6"/>
  <c r="M299" i="6"/>
  <c r="O299" i="6" s="1"/>
  <c r="Y299" i="6" s="1"/>
  <c r="W298" i="6"/>
  <c r="O298" i="6"/>
  <c r="Q298" i="6" s="1"/>
  <c r="M298" i="6"/>
  <c r="W297" i="6"/>
  <c r="M297" i="6"/>
  <c r="O297" i="6" s="1"/>
  <c r="Q297" i="6" s="1"/>
  <c r="K290" i="6"/>
  <c r="I290" i="6"/>
  <c r="W288" i="6"/>
  <c r="M288" i="6"/>
  <c r="O288" i="6" s="1"/>
  <c r="W287" i="6"/>
  <c r="M287" i="6"/>
  <c r="O287" i="6" s="1"/>
  <c r="W286" i="6"/>
  <c r="M286" i="6"/>
  <c r="O286" i="6" s="1"/>
  <c r="W285" i="6"/>
  <c r="M285" i="6"/>
  <c r="O285" i="6" s="1"/>
  <c r="W284" i="6"/>
  <c r="O284" i="6"/>
  <c r="M284" i="6"/>
  <c r="W283" i="6"/>
  <c r="M283" i="6"/>
  <c r="O283" i="6" s="1"/>
  <c r="Q283" i="6" s="1"/>
  <c r="W282" i="6"/>
  <c r="M282" i="6"/>
  <c r="O282" i="6" s="1"/>
  <c r="W281" i="6"/>
  <c r="M281" i="6"/>
  <c r="O281" i="6" s="1"/>
  <c r="W280" i="6"/>
  <c r="M280" i="6"/>
  <c r="O280" i="6" s="1"/>
  <c r="Q280" i="6" s="1"/>
  <c r="W279" i="6"/>
  <c r="M279" i="6"/>
  <c r="O279" i="6" s="1"/>
  <c r="W278" i="6"/>
  <c r="O278" i="6"/>
  <c r="M278" i="6"/>
  <c r="W277" i="6"/>
  <c r="M277" i="6"/>
  <c r="O277" i="6" s="1"/>
  <c r="Y277" i="6" s="1"/>
  <c r="W276" i="6"/>
  <c r="M276" i="6"/>
  <c r="O276" i="6" s="1"/>
  <c r="W275" i="6"/>
  <c r="M275" i="6"/>
  <c r="K272" i="6"/>
  <c r="I272" i="6"/>
  <c r="W270" i="6"/>
  <c r="M270" i="6"/>
  <c r="O270" i="6" s="1"/>
  <c r="W269" i="6"/>
  <c r="Q269" i="6"/>
  <c r="M269" i="6"/>
  <c r="O269" i="6" s="1"/>
  <c r="W268" i="6"/>
  <c r="M268" i="6"/>
  <c r="O268" i="6" s="1"/>
  <c r="W267" i="6"/>
  <c r="M267" i="6"/>
  <c r="O267" i="6" s="1"/>
  <c r="W266" i="6"/>
  <c r="M266" i="6"/>
  <c r="O266" i="6" s="1"/>
  <c r="W265" i="6"/>
  <c r="M265" i="6"/>
  <c r="O265" i="6" s="1"/>
  <c r="W264" i="6"/>
  <c r="M264" i="6"/>
  <c r="O264" i="6" s="1"/>
  <c r="W263" i="6"/>
  <c r="O263" i="6"/>
  <c r="Y263" i="6" s="1"/>
  <c r="M263" i="6"/>
  <c r="W262" i="6"/>
  <c r="M262" i="6"/>
  <c r="O262" i="6" s="1"/>
  <c r="W261" i="6"/>
  <c r="M261" i="6"/>
  <c r="O261" i="6" s="1"/>
  <c r="Y261" i="6" s="1"/>
  <c r="W260" i="6"/>
  <c r="M260" i="6"/>
  <c r="O260" i="6" s="1"/>
  <c r="W259" i="6"/>
  <c r="M259" i="6"/>
  <c r="O259" i="6" s="1"/>
  <c r="W258" i="6"/>
  <c r="M258" i="6"/>
  <c r="O258" i="6" s="1"/>
  <c r="W257" i="6"/>
  <c r="M257" i="6"/>
  <c r="O257" i="6" s="1"/>
  <c r="W256" i="6"/>
  <c r="M256" i="6"/>
  <c r="K253" i="6"/>
  <c r="I253" i="6"/>
  <c r="W251" i="6"/>
  <c r="M251" i="6"/>
  <c r="O251" i="6" s="1"/>
  <c r="W250" i="6"/>
  <c r="M250" i="6"/>
  <c r="O250" i="6" s="1"/>
  <c r="W249" i="6"/>
  <c r="M249" i="6"/>
  <c r="O249" i="6" s="1"/>
  <c r="W248" i="6"/>
  <c r="M248" i="6"/>
  <c r="O248" i="6" s="1"/>
  <c r="W247" i="6"/>
  <c r="O247" i="6"/>
  <c r="M247" i="6"/>
  <c r="W246" i="6"/>
  <c r="M246" i="6"/>
  <c r="O246" i="6" s="1"/>
  <c r="Q246" i="6" s="1"/>
  <c r="W245" i="6"/>
  <c r="M245" i="6"/>
  <c r="O245" i="6" s="1"/>
  <c r="W244" i="6"/>
  <c r="M244" i="6"/>
  <c r="O244" i="6" s="1"/>
  <c r="Q244" i="6" s="1"/>
  <c r="W243" i="6"/>
  <c r="M243" i="6"/>
  <c r="O243" i="6" s="1"/>
  <c r="W242" i="6"/>
  <c r="M242" i="6"/>
  <c r="O242" i="6" s="1"/>
  <c r="Y242" i="6" s="1"/>
  <c r="W241" i="6"/>
  <c r="M241" i="6"/>
  <c r="O241" i="6" s="1"/>
  <c r="W240" i="6"/>
  <c r="M240" i="6"/>
  <c r="O240" i="6" s="1"/>
  <c r="W239" i="6"/>
  <c r="O239" i="6"/>
  <c r="M239" i="6"/>
  <c r="W238" i="6"/>
  <c r="M238" i="6"/>
  <c r="O238" i="6" s="1"/>
  <c r="Q238" i="6" s="1"/>
  <c r="W237" i="6"/>
  <c r="M237" i="6"/>
  <c r="O237" i="6" s="1"/>
  <c r="K234" i="6"/>
  <c r="I234" i="6"/>
  <c r="W232" i="6"/>
  <c r="M232" i="6"/>
  <c r="O232" i="6" s="1"/>
  <c r="Q232" i="6" s="1"/>
  <c r="W231" i="6"/>
  <c r="M231" i="6"/>
  <c r="O231" i="6" s="1"/>
  <c r="W230" i="6"/>
  <c r="Q230" i="6"/>
  <c r="M230" i="6"/>
  <c r="O230" i="6" s="1"/>
  <c r="W229" i="6"/>
  <c r="M229" i="6"/>
  <c r="O229" i="6" s="1"/>
  <c r="Q229" i="6" s="1"/>
  <c r="W228" i="6"/>
  <c r="M228" i="6"/>
  <c r="O228" i="6" s="1"/>
  <c r="Q228" i="6" s="1"/>
  <c r="W227" i="6"/>
  <c r="M227" i="6"/>
  <c r="O227" i="6" s="1"/>
  <c r="W226" i="6"/>
  <c r="Q226" i="6"/>
  <c r="M226" i="6"/>
  <c r="O226" i="6" s="1"/>
  <c r="W225" i="6"/>
  <c r="M225" i="6"/>
  <c r="O225" i="6" s="1"/>
  <c r="Q225" i="6" s="1"/>
  <c r="W224" i="6"/>
  <c r="W234" i="6" s="1"/>
  <c r="U234" i="6" s="1"/>
  <c r="M224" i="6"/>
  <c r="O224" i="6" s="1"/>
  <c r="Q224" i="6" s="1"/>
  <c r="W223" i="6"/>
  <c r="M223" i="6"/>
  <c r="O223" i="6" s="1"/>
  <c r="W222" i="6"/>
  <c r="Q222" i="6"/>
  <c r="M222" i="6"/>
  <c r="O222" i="6" s="1"/>
  <c r="W221" i="6"/>
  <c r="M221" i="6"/>
  <c r="O221" i="6" s="1"/>
  <c r="W220" i="6"/>
  <c r="M220" i="6"/>
  <c r="O220" i="6" s="1"/>
  <c r="Q220" i="6" s="1"/>
  <c r="W219" i="6"/>
  <c r="M219" i="6"/>
  <c r="K216" i="6"/>
  <c r="I216" i="6"/>
  <c r="W214" i="6"/>
  <c r="M214" i="6"/>
  <c r="O214" i="6" s="1"/>
  <c r="Y214" i="6" s="1"/>
  <c r="W213" i="6"/>
  <c r="M213" i="6"/>
  <c r="O213" i="6" s="1"/>
  <c r="W212" i="6"/>
  <c r="M212" i="6"/>
  <c r="O212" i="6" s="1"/>
  <c r="Q212" i="6" s="1"/>
  <c r="W211" i="6"/>
  <c r="M211" i="6"/>
  <c r="O211" i="6" s="1"/>
  <c r="Q211" i="6" s="1"/>
  <c r="W210" i="6"/>
  <c r="M210" i="6"/>
  <c r="O210" i="6" s="1"/>
  <c r="W209" i="6"/>
  <c r="M209" i="6"/>
  <c r="O209" i="6" s="1"/>
  <c r="W208" i="6"/>
  <c r="M208" i="6"/>
  <c r="O208" i="6" s="1"/>
  <c r="W207" i="6"/>
  <c r="M207" i="6"/>
  <c r="O207" i="6" s="1"/>
  <c r="W206" i="6"/>
  <c r="M206" i="6"/>
  <c r="O206" i="6" s="1"/>
  <c r="W205" i="6"/>
  <c r="O205" i="6"/>
  <c r="M205" i="6"/>
  <c r="W204" i="6"/>
  <c r="W216" i="6" s="1"/>
  <c r="U216" i="6" s="1"/>
  <c r="M204" i="6"/>
  <c r="O204" i="6" s="1"/>
  <c r="Q204" i="6" s="1"/>
  <c r="W203" i="6"/>
  <c r="M203" i="6"/>
  <c r="O203" i="6" s="1"/>
  <c r="Q203" i="6" s="1"/>
  <c r="W202" i="6"/>
  <c r="M202" i="6"/>
  <c r="O202" i="6" s="1"/>
  <c r="W201" i="6"/>
  <c r="M201" i="6"/>
  <c r="O201" i="6" s="1"/>
  <c r="W200" i="6"/>
  <c r="M200" i="6"/>
  <c r="O200" i="6" s="1"/>
  <c r="W199" i="6"/>
  <c r="O199" i="6"/>
  <c r="M199" i="6"/>
  <c r="W198" i="6"/>
  <c r="M198" i="6"/>
  <c r="O198" i="6" s="1"/>
  <c r="Q198" i="6" s="1"/>
  <c r="K195" i="6"/>
  <c r="I195" i="6"/>
  <c r="W193" i="6"/>
  <c r="M193" i="6"/>
  <c r="O193" i="6" s="1"/>
  <c r="W192" i="6"/>
  <c r="M192" i="6"/>
  <c r="O192" i="6" s="1"/>
  <c r="W191" i="6"/>
  <c r="O191" i="6"/>
  <c r="M191" i="6"/>
  <c r="W190" i="6"/>
  <c r="M190" i="6"/>
  <c r="O190" i="6" s="1"/>
  <c r="Q190" i="6" s="1"/>
  <c r="W189" i="6"/>
  <c r="M189" i="6"/>
  <c r="O189" i="6" s="1"/>
  <c r="Q189" i="6" s="1"/>
  <c r="W188" i="6"/>
  <c r="M188" i="6"/>
  <c r="O188" i="6" s="1"/>
  <c r="W187" i="6"/>
  <c r="M187" i="6"/>
  <c r="O187" i="6" s="1"/>
  <c r="W186" i="6"/>
  <c r="M186" i="6"/>
  <c r="O186" i="6" s="1"/>
  <c r="W185" i="6"/>
  <c r="O185" i="6"/>
  <c r="M185" i="6"/>
  <c r="W184" i="6"/>
  <c r="M184" i="6"/>
  <c r="O184" i="6" s="1"/>
  <c r="Y184" i="6" s="1"/>
  <c r="W183" i="6"/>
  <c r="M183" i="6"/>
  <c r="O183" i="6" s="1"/>
  <c r="W182" i="6"/>
  <c r="W195" i="6" s="1"/>
  <c r="U195" i="6" s="1"/>
  <c r="M182" i="6"/>
  <c r="O182" i="6" s="1"/>
  <c r="Q182" i="6" s="1"/>
  <c r="W181" i="6"/>
  <c r="M181" i="6"/>
  <c r="O181" i="6" s="1"/>
  <c r="Q181" i="6" s="1"/>
  <c r="W180" i="6"/>
  <c r="M180" i="6"/>
  <c r="O180" i="6" s="1"/>
  <c r="W179" i="6"/>
  <c r="M179" i="6"/>
  <c r="K176" i="6"/>
  <c r="I176" i="6"/>
  <c r="I292" i="6" s="1"/>
  <c r="W174" i="6"/>
  <c r="W176" i="6" s="1"/>
  <c r="U176" i="6" s="1"/>
  <c r="M174" i="6"/>
  <c r="M176" i="6" s="1"/>
  <c r="W166" i="6"/>
  <c r="K166" i="6"/>
  <c r="I166" i="6"/>
  <c r="I168" i="6" s="1"/>
  <c r="W164" i="6"/>
  <c r="M164" i="6"/>
  <c r="M166" i="6" s="1"/>
  <c r="K161" i="6"/>
  <c r="I161" i="6"/>
  <c r="W159" i="6"/>
  <c r="W161" i="6" s="1"/>
  <c r="M159" i="6"/>
  <c r="O159" i="6" s="1"/>
  <c r="Q159" i="6" s="1"/>
  <c r="K156" i="6"/>
  <c r="I156" i="6"/>
  <c r="W154" i="6"/>
  <c r="W156" i="6" s="1"/>
  <c r="M154" i="6"/>
  <c r="K151" i="6"/>
  <c r="I151" i="6"/>
  <c r="W149" i="6"/>
  <c r="W151" i="6" s="1"/>
  <c r="M149" i="6"/>
  <c r="M151" i="6" s="1"/>
  <c r="W146" i="6"/>
  <c r="K146" i="6"/>
  <c r="I146" i="6"/>
  <c r="W144" i="6"/>
  <c r="M144" i="6"/>
  <c r="M146" i="6" s="1"/>
  <c r="K141" i="6"/>
  <c r="K168" i="6" s="1"/>
  <c r="I141" i="6"/>
  <c r="W139" i="6"/>
  <c r="W141" i="6" s="1"/>
  <c r="M139" i="6"/>
  <c r="O139" i="6" s="1"/>
  <c r="Q139" i="6" s="1"/>
  <c r="W136" i="6"/>
  <c r="O136" i="6"/>
  <c r="Q136" i="6" s="1"/>
  <c r="K136" i="6"/>
  <c r="I136" i="6"/>
  <c r="Y134" i="6"/>
  <c r="Y136" i="6" s="1"/>
  <c r="Q134" i="6"/>
  <c r="M134" i="6"/>
  <c r="M136" i="6" s="1"/>
  <c r="K127" i="6"/>
  <c r="I127" i="6"/>
  <c r="W125" i="6"/>
  <c r="M125" i="6"/>
  <c r="O125" i="6" s="1"/>
  <c r="Q125" i="6" s="1"/>
  <c r="W124" i="6"/>
  <c r="M124" i="6"/>
  <c r="O124" i="6" s="1"/>
  <c r="Q124" i="6" s="1"/>
  <c r="W123" i="6"/>
  <c r="M123" i="6"/>
  <c r="O123" i="6" s="1"/>
  <c r="Q123" i="6" s="1"/>
  <c r="W122" i="6"/>
  <c r="O122" i="6"/>
  <c r="Q122" i="6" s="1"/>
  <c r="M122" i="6"/>
  <c r="W121" i="6"/>
  <c r="M121" i="6"/>
  <c r="O121" i="6" s="1"/>
  <c r="Q121" i="6" s="1"/>
  <c r="W120" i="6"/>
  <c r="M120" i="6"/>
  <c r="O120" i="6" s="1"/>
  <c r="Q120" i="6" s="1"/>
  <c r="W119" i="6"/>
  <c r="M119" i="6"/>
  <c r="O119" i="6" s="1"/>
  <c r="Q119" i="6" s="1"/>
  <c r="W118" i="6"/>
  <c r="O118" i="6"/>
  <c r="Q118" i="6" s="1"/>
  <c r="M118" i="6"/>
  <c r="Y117" i="6"/>
  <c r="Q117" i="6"/>
  <c r="M117" i="6"/>
  <c r="W116" i="6"/>
  <c r="Q116" i="6"/>
  <c r="M116" i="6"/>
  <c r="O116" i="6" s="1"/>
  <c r="W115" i="6"/>
  <c r="M115" i="6"/>
  <c r="O115" i="6" s="1"/>
  <c r="Q115" i="6" s="1"/>
  <c r="Y114" i="6"/>
  <c r="Q114" i="6"/>
  <c r="M114" i="6"/>
  <c r="W113" i="6"/>
  <c r="M113" i="6"/>
  <c r="O113" i="6" s="1"/>
  <c r="Q113" i="6" s="1"/>
  <c r="W112" i="6"/>
  <c r="O112" i="6"/>
  <c r="Q112" i="6" s="1"/>
  <c r="M112" i="6"/>
  <c r="W111" i="6"/>
  <c r="W127" i="6" s="1"/>
  <c r="M111" i="6"/>
  <c r="K108" i="6"/>
  <c r="I108" i="6"/>
  <c r="W106" i="6"/>
  <c r="M106" i="6"/>
  <c r="O106" i="6" s="1"/>
  <c r="W105" i="6"/>
  <c r="M105" i="6"/>
  <c r="O105" i="6" s="1"/>
  <c r="Q105" i="6" s="1"/>
  <c r="W104" i="6"/>
  <c r="M104" i="6"/>
  <c r="O104" i="6" s="1"/>
  <c r="Q104" i="6" s="1"/>
  <c r="W103" i="6"/>
  <c r="M103" i="6"/>
  <c r="O103" i="6" s="1"/>
  <c r="Q103" i="6" s="1"/>
  <c r="W102" i="6"/>
  <c r="M102" i="6"/>
  <c r="O102" i="6" s="1"/>
  <c r="W101" i="6"/>
  <c r="M101" i="6"/>
  <c r="O101" i="6" s="1"/>
  <c r="Q101" i="6" s="1"/>
  <c r="W100" i="6"/>
  <c r="O100" i="6"/>
  <c r="Q100" i="6" s="1"/>
  <c r="M100" i="6"/>
  <c r="W99" i="6"/>
  <c r="M99" i="6"/>
  <c r="O99" i="6" s="1"/>
  <c r="Q99" i="6" s="1"/>
  <c r="W98" i="6"/>
  <c r="M98" i="6"/>
  <c r="O98" i="6" s="1"/>
  <c r="W97" i="6"/>
  <c r="M97" i="6"/>
  <c r="O97" i="6" s="1"/>
  <c r="Q97" i="6" s="1"/>
  <c r="W96" i="6"/>
  <c r="M96" i="6"/>
  <c r="O96" i="6" s="1"/>
  <c r="Q96" i="6" s="1"/>
  <c r="W95" i="6"/>
  <c r="M95" i="6"/>
  <c r="O95" i="6" s="1"/>
  <c r="Q95" i="6" s="1"/>
  <c r="W94" i="6"/>
  <c r="M94" i="6"/>
  <c r="O94" i="6" s="1"/>
  <c r="W93" i="6"/>
  <c r="M93" i="6"/>
  <c r="O93" i="6" s="1"/>
  <c r="Y92" i="6"/>
  <c r="Q92" i="6"/>
  <c r="M92" i="6"/>
  <c r="W91" i="6"/>
  <c r="M91" i="6"/>
  <c r="O91" i="6" s="1"/>
  <c r="W90" i="6"/>
  <c r="M90" i="6"/>
  <c r="O90" i="6" s="1"/>
  <c r="W89" i="6"/>
  <c r="M89" i="6"/>
  <c r="K86" i="6"/>
  <c r="I86" i="6"/>
  <c r="W84" i="6"/>
  <c r="M84" i="6"/>
  <c r="O84" i="6" s="1"/>
  <c r="Q84" i="6" s="1"/>
  <c r="W83" i="6"/>
  <c r="M83" i="6"/>
  <c r="O83" i="6" s="1"/>
  <c r="W82" i="6"/>
  <c r="M82" i="6"/>
  <c r="O82" i="6" s="1"/>
  <c r="W81" i="6"/>
  <c r="M81" i="6"/>
  <c r="O81" i="6" s="1"/>
  <c r="Q81" i="6" s="1"/>
  <c r="W80" i="6"/>
  <c r="M80" i="6"/>
  <c r="O80" i="6" s="1"/>
  <c r="W79" i="6"/>
  <c r="M79" i="6"/>
  <c r="O79" i="6" s="1"/>
  <c r="W78" i="6"/>
  <c r="M78" i="6"/>
  <c r="O78" i="6" s="1"/>
  <c r="W77" i="6"/>
  <c r="O77" i="6"/>
  <c r="M77" i="6"/>
  <c r="W76" i="6"/>
  <c r="M76" i="6"/>
  <c r="O76" i="6" s="1"/>
  <c r="Q76" i="6" s="1"/>
  <c r="Y75" i="6"/>
  <c r="Q75" i="6"/>
  <c r="M75" i="6"/>
  <c r="W74" i="6"/>
  <c r="M74" i="6"/>
  <c r="O74" i="6" s="1"/>
  <c r="W73" i="6"/>
  <c r="W86" i="6" s="1"/>
  <c r="U86" i="6" s="1"/>
  <c r="O73" i="6"/>
  <c r="Q73" i="6" s="1"/>
  <c r="M73" i="6"/>
  <c r="W70" i="6"/>
  <c r="U70" i="6" s="1"/>
  <c r="K70" i="6"/>
  <c r="I70" i="6"/>
  <c r="W68" i="6"/>
  <c r="O68" i="6"/>
  <c r="M68" i="6"/>
  <c r="W67" i="6"/>
  <c r="M67" i="6"/>
  <c r="O67" i="6" s="1"/>
  <c r="Q67" i="6" s="1"/>
  <c r="W66" i="6"/>
  <c r="M66" i="6"/>
  <c r="O66" i="6" s="1"/>
  <c r="W65" i="6"/>
  <c r="M65" i="6"/>
  <c r="O65" i="6" s="1"/>
  <c r="W64" i="6"/>
  <c r="M64" i="6"/>
  <c r="O64" i="6" s="1"/>
  <c r="Q64" i="6" s="1"/>
  <c r="W63" i="6"/>
  <c r="M63" i="6"/>
  <c r="O63" i="6" s="1"/>
  <c r="W62" i="6"/>
  <c r="M62" i="6"/>
  <c r="O62" i="6" s="1"/>
  <c r="W61" i="6"/>
  <c r="O61" i="6"/>
  <c r="M61" i="6"/>
  <c r="Y60" i="6"/>
  <c r="Q60" i="6"/>
  <c r="M60" i="6"/>
  <c r="W59" i="6"/>
  <c r="M59" i="6"/>
  <c r="O59" i="6" s="1"/>
  <c r="W58" i="6"/>
  <c r="O58" i="6"/>
  <c r="M58" i="6"/>
  <c r="W57" i="6"/>
  <c r="M57" i="6"/>
  <c r="O57" i="6" s="1"/>
  <c r="W56" i="6"/>
  <c r="M56" i="6"/>
  <c r="O56" i="6" s="1"/>
  <c r="Q56" i="6" s="1"/>
  <c r="Y55" i="6"/>
  <c r="Q55" i="6"/>
  <c r="M55" i="6"/>
  <c r="W54" i="6"/>
  <c r="M54" i="6"/>
  <c r="O54" i="6" s="1"/>
  <c r="W53" i="6"/>
  <c r="M53" i="6"/>
  <c r="O53" i="6" s="1"/>
  <c r="Q53" i="6" s="1"/>
  <c r="Y52" i="6"/>
  <c r="Q52" i="6"/>
  <c r="M52" i="6"/>
  <c r="W51" i="6"/>
  <c r="M51" i="6"/>
  <c r="O51" i="6" s="1"/>
  <c r="W50" i="6"/>
  <c r="M50" i="6"/>
  <c r="O50" i="6" s="1"/>
  <c r="Q50" i="6" s="1"/>
  <c r="W49" i="6"/>
  <c r="M49" i="6"/>
  <c r="K46" i="6"/>
  <c r="I46" i="6"/>
  <c r="W44" i="6"/>
  <c r="M44" i="6"/>
  <c r="O44" i="6" s="1"/>
  <c r="W43" i="6"/>
  <c r="M43" i="6"/>
  <c r="O43" i="6" s="1"/>
  <c r="W42" i="6"/>
  <c r="M42" i="6"/>
  <c r="O42" i="6" s="1"/>
  <c r="Q42" i="6" s="1"/>
  <c r="W41" i="6"/>
  <c r="M41" i="6"/>
  <c r="O41" i="6" s="1"/>
  <c r="W40" i="6"/>
  <c r="W46" i="6" s="1"/>
  <c r="U46" i="6" s="1"/>
  <c r="M40" i="6"/>
  <c r="O40" i="6" s="1"/>
  <c r="W39" i="6"/>
  <c r="M39" i="6"/>
  <c r="O39" i="6" s="1"/>
  <c r="Q39" i="6" s="1"/>
  <c r="Y38" i="6"/>
  <c r="Q38" i="6"/>
  <c r="M38" i="6"/>
  <c r="W37" i="6"/>
  <c r="M37" i="6"/>
  <c r="O37" i="6" s="1"/>
  <c r="W36" i="6"/>
  <c r="M36" i="6"/>
  <c r="O36" i="6" s="1"/>
  <c r="W35" i="6"/>
  <c r="M35" i="6"/>
  <c r="O35" i="6" s="1"/>
  <c r="Y35" i="6" s="1"/>
  <c r="W34" i="6"/>
  <c r="M34" i="6"/>
  <c r="O34" i="6" s="1"/>
  <c r="Q34" i="6" s="1"/>
  <c r="Y33" i="6"/>
  <c r="Q33" i="6"/>
  <c r="M33" i="6"/>
  <c r="W32" i="6"/>
  <c r="M32" i="6"/>
  <c r="O32" i="6" s="1"/>
  <c r="Y32" i="6" s="1"/>
  <c r="Y31" i="6"/>
  <c r="Q31" i="6"/>
  <c r="M31" i="6"/>
  <c r="Y30" i="6"/>
  <c r="Q30" i="6"/>
  <c r="M30" i="6"/>
  <c r="Y29" i="6"/>
  <c r="Q29" i="6"/>
  <c r="M29" i="6"/>
  <c r="W28" i="6"/>
  <c r="M28" i="6"/>
  <c r="O28" i="6" s="1"/>
  <c r="Q28" i="6" s="1"/>
  <c r="W27" i="6"/>
  <c r="M27" i="6"/>
  <c r="O27" i="6" s="1"/>
  <c r="Y27" i="6" s="1"/>
  <c r="W26" i="6"/>
  <c r="M26" i="6"/>
  <c r="K20" i="6"/>
  <c r="I20" i="6"/>
  <c r="W18" i="6"/>
  <c r="O18" i="6"/>
  <c r="Y18" i="6" s="1"/>
  <c r="M18" i="6"/>
  <c r="W17" i="6"/>
  <c r="W20" i="6" s="1"/>
  <c r="U20" i="6" s="1"/>
  <c r="M17" i="6"/>
  <c r="O17" i="6" s="1"/>
  <c r="W16" i="6"/>
  <c r="M16" i="6"/>
  <c r="N22" i="10" l="1"/>
  <c r="P22" i="10" s="1"/>
  <c r="O22" i="10"/>
  <c r="F23" i="10"/>
  <c r="G23" i="10"/>
  <c r="P21" i="10"/>
  <c r="H22" i="10"/>
  <c r="C24" i="10"/>
  <c r="B25" i="10"/>
  <c r="O23" i="10"/>
  <c r="N23" i="10"/>
  <c r="K24" i="10"/>
  <c r="Q27" i="6"/>
  <c r="Q261" i="6"/>
  <c r="Q299" i="6"/>
  <c r="Y34" i="6"/>
  <c r="Y96" i="6"/>
  <c r="Q98" i="6"/>
  <c r="Y98" i="6"/>
  <c r="Y104" i="6"/>
  <c r="Q106" i="6"/>
  <c r="Y106" i="6"/>
  <c r="O111" i="6"/>
  <c r="Q111" i="6" s="1"/>
  <c r="M127" i="6"/>
  <c r="Y285" i="6"/>
  <c r="Q285" i="6"/>
  <c r="Q18" i="6"/>
  <c r="Q32" i="6"/>
  <c r="Y100" i="6"/>
  <c r="Q102" i="6"/>
  <c r="Y102" i="6"/>
  <c r="Y192" i="6"/>
  <c r="Q192" i="6"/>
  <c r="Y206" i="6"/>
  <c r="Q206" i="6"/>
  <c r="Q223" i="6"/>
  <c r="Y223" i="6"/>
  <c r="Q227" i="6"/>
  <c r="Y227" i="6"/>
  <c r="Q231" i="6"/>
  <c r="Y231" i="6"/>
  <c r="Y319" i="6"/>
  <c r="Q319" i="6"/>
  <c r="Y28" i="6"/>
  <c r="Y64" i="6"/>
  <c r="Y189" i="6"/>
  <c r="Y203" i="6"/>
  <c r="Y225" i="6"/>
  <c r="Y229" i="6"/>
  <c r="M308" i="6"/>
  <c r="Y339" i="6"/>
  <c r="O144" i="6"/>
  <c r="M161" i="6"/>
  <c r="O164" i="6"/>
  <c r="O174" i="6"/>
  <c r="Y181" i="6"/>
  <c r="Q184" i="6"/>
  <c r="Y211" i="6"/>
  <c r="Q263" i="6"/>
  <c r="Q277" i="6"/>
  <c r="Y280" i="6"/>
  <c r="Y303" i="6"/>
  <c r="Q305" i="6"/>
  <c r="Y317" i="6"/>
  <c r="Y337" i="6"/>
  <c r="Y61" i="6"/>
  <c r="Q61" i="6"/>
  <c r="Q66" i="6"/>
  <c r="Y66" i="6"/>
  <c r="Q68" i="6"/>
  <c r="Y68" i="6"/>
  <c r="Q79" i="6"/>
  <c r="Y79" i="6"/>
  <c r="K129" i="6"/>
  <c r="M195" i="6"/>
  <c r="O179" i="6"/>
  <c r="Q201" i="6"/>
  <c r="Y201" i="6"/>
  <c r="Y44" i="6"/>
  <c r="Q44" i="6"/>
  <c r="Y63" i="6"/>
  <c r="Q63" i="6"/>
  <c r="Y78" i="6"/>
  <c r="Q78" i="6"/>
  <c r="Y90" i="6"/>
  <c r="Q90" i="6"/>
  <c r="Q187" i="6"/>
  <c r="Y187" i="6"/>
  <c r="Q209" i="6"/>
  <c r="Y209" i="6"/>
  <c r="Q17" i="6"/>
  <c r="Y17" i="6"/>
  <c r="Q36" i="6"/>
  <c r="Y36" i="6"/>
  <c r="Q41" i="6"/>
  <c r="Y41" i="6"/>
  <c r="Q43" i="6"/>
  <c r="Y43" i="6"/>
  <c r="O49" i="6"/>
  <c r="M70" i="6"/>
  <c r="Q51" i="6"/>
  <c r="Y51" i="6"/>
  <c r="Q59" i="6"/>
  <c r="Y59" i="6"/>
  <c r="Y65" i="6"/>
  <c r="Q65" i="6"/>
  <c r="Q77" i="6"/>
  <c r="Y77" i="6"/>
  <c r="Y80" i="6"/>
  <c r="Q80" i="6"/>
  <c r="Y81" i="6"/>
  <c r="M108" i="6"/>
  <c r="O89" i="6"/>
  <c r="Q94" i="6"/>
  <c r="Y94" i="6"/>
  <c r="O154" i="6"/>
  <c r="M156" i="6"/>
  <c r="W168" i="6"/>
  <c r="U168" i="6" s="1"/>
  <c r="Y200" i="6"/>
  <c r="Q200" i="6"/>
  <c r="Q243" i="6"/>
  <c r="Y243" i="6"/>
  <c r="M46" i="6"/>
  <c r="O26" i="6"/>
  <c r="Y37" i="6"/>
  <c r="Q37" i="6"/>
  <c r="Y40" i="6"/>
  <c r="Q40" i="6"/>
  <c r="Q57" i="6"/>
  <c r="Y57" i="6"/>
  <c r="Y93" i="6"/>
  <c r="Q93" i="6"/>
  <c r="U127" i="6"/>
  <c r="Q54" i="6"/>
  <c r="Y54" i="6"/>
  <c r="Q83" i="6"/>
  <c r="Y83" i="6"/>
  <c r="M86" i="6"/>
  <c r="M20" i="6"/>
  <c r="O16" i="6"/>
  <c r="Q35" i="6"/>
  <c r="Y39" i="6"/>
  <c r="Y58" i="6"/>
  <c r="Q58" i="6"/>
  <c r="Q62" i="6"/>
  <c r="Y62" i="6"/>
  <c r="Q74" i="6"/>
  <c r="Y74" i="6"/>
  <c r="Y82" i="6"/>
  <c r="Q82" i="6"/>
  <c r="Q91" i="6"/>
  <c r="Y91" i="6"/>
  <c r="Y186" i="6"/>
  <c r="Q186" i="6"/>
  <c r="M216" i="6"/>
  <c r="Y208" i="6"/>
  <c r="Q208" i="6"/>
  <c r="Y180" i="6"/>
  <c r="Q180" i="6"/>
  <c r="Y210" i="6"/>
  <c r="Q210" i="6"/>
  <c r="Q241" i="6"/>
  <c r="Y241" i="6"/>
  <c r="Y257" i="6"/>
  <c r="Q257" i="6"/>
  <c r="Q288" i="6"/>
  <c r="Y288" i="6"/>
  <c r="M141" i="6"/>
  <c r="M168" i="6" s="1"/>
  <c r="O166" i="6"/>
  <c r="Y164" i="6"/>
  <c r="Y166" i="6" s="1"/>
  <c r="O176" i="6"/>
  <c r="Q176" i="6" s="1"/>
  <c r="Y174" i="6"/>
  <c r="Y176" i="6" s="1"/>
  <c r="M234" i="6"/>
  <c r="O219" i="6"/>
  <c r="W253" i="6"/>
  <c r="U253" i="6" s="1"/>
  <c r="Y240" i="6"/>
  <c r="Q240" i="6"/>
  <c r="Q250" i="6"/>
  <c r="Y250" i="6"/>
  <c r="Q316" i="6"/>
  <c r="Y316" i="6"/>
  <c r="Y322" i="6"/>
  <c r="Q322" i="6"/>
  <c r="Y333" i="6"/>
  <c r="Q333" i="6"/>
  <c r="Y335" i="6"/>
  <c r="Q335" i="6"/>
  <c r="Q338" i="6"/>
  <c r="Y338" i="6"/>
  <c r="Y95" i="6"/>
  <c r="Y97" i="6"/>
  <c r="Y99" i="6"/>
  <c r="Y101" i="6"/>
  <c r="Y103" i="6"/>
  <c r="Y105" i="6"/>
  <c r="Y112" i="6"/>
  <c r="Y115" i="6"/>
  <c r="Y118" i="6"/>
  <c r="Y120" i="6"/>
  <c r="Y122" i="6"/>
  <c r="Y124" i="6"/>
  <c r="I129" i="6"/>
  <c r="O146" i="6"/>
  <c r="Q146" i="6" s="1"/>
  <c r="Y144" i="6"/>
  <c r="Y146" i="6" s="1"/>
  <c r="Q164" i="6"/>
  <c r="Q174" i="6"/>
  <c r="O216" i="6"/>
  <c r="Q216" i="6" s="1"/>
  <c r="Y198" i="6"/>
  <c r="Q221" i="6"/>
  <c r="Y221" i="6"/>
  <c r="Q245" i="6"/>
  <c r="Y245" i="6"/>
  <c r="Y249" i="6"/>
  <c r="Q249" i="6"/>
  <c r="Q266" i="6"/>
  <c r="Y266" i="6"/>
  <c r="Q268" i="6"/>
  <c r="Y268" i="6"/>
  <c r="W308" i="6"/>
  <c r="U308" i="6" s="1"/>
  <c r="Y297" i="6"/>
  <c r="O326" i="6"/>
  <c r="Q326" i="6" s="1"/>
  <c r="Q315" i="6"/>
  <c r="Q324" i="6"/>
  <c r="Y324" i="6"/>
  <c r="O141" i="6"/>
  <c r="Q141" i="6" s="1"/>
  <c r="Y139" i="6"/>
  <c r="Y141" i="6" s="1"/>
  <c r="Y188" i="6"/>
  <c r="Q188" i="6"/>
  <c r="Y202" i="6"/>
  <c r="Q202" i="6"/>
  <c r="O253" i="6"/>
  <c r="Q253" i="6" s="1"/>
  <c r="Q237" i="6"/>
  <c r="Y237" i="6"/>
  <c r="Y42" i="6"/>
  <c r="Y50" i="6"/>
  <c r="Y53" i="6"/>
  <c r="Y56" i="6"/>
  <c r="Y67" i="6"/>
  <c r="O86" i="6"/>
  <c r="Q86" i="6" s="1"/>
  <c r="Y73" i="6"/>
  <c r="Y76" i="6"/>
  <c r="Y84" i="6"/>
  <c r="W108" i="6"/>
  <c r="U108" i="6" s="1"/>
  <c r="O127" i="6"/>
  <c r="Y111" i="6"/>
  <c r="Y113" i="6"/>
  <c r="Y116" i="6"/>
  <c r="Y119" i="6"/>
  <c r="Y121" i="6"/>
  <c r="Y123" i="6"/>
  <c r="Y125" i="6"/>
  <c r="Q144" i="6"/>
  <c r="O149" i="6"/>
  <c r="O161" i="6"/>
  <c r="Q161" i="6" s="1"/>
  <c r="Y159" i="6"/>
  <c r="Y161" i="6" s="1"/>
  <c r="Q183" i="6"/>
  <c r="Y183" i="6"/>
  <c r="Q185" i="6"/>
  <c r="Y185" i="6"/>
  <c r="Q191" i="6"/>
  <c r="Y191" i="6"/>
  <c r="Q193" i="6"/>
  <c r="Y193" i="6"/>
  <c r="Q199" i="6"/>
  <c r="Y199" i="6"/>
  <c r="Q205" i="6"/>
  <c r="Y205" i="6"/>
  <c r="Q207" i="6"/>
  <c r="Y207" i="6"/>
  <c r="Q213" i="6"/>
  <c r="Y213" i="6"/>
  <c r="Q214" i="6"/>
  <c r="Q242" i="6"/>
  <c r="Y248" i="6"/>
  <c r="Q248" i="6"/>
  <c r="Q258" i="6"/>
  <c r="Y258" i="6"/>
  <c r="Q260" i="6"/>
  <c r="Y260" i="6"/>
  <c r="M290" i="6"/>
  <c r="Y238" i="6"/>
  <c r="Y246" i="6"/>
  <c r="M272" i="6"/>
  <c r="O256" i="6"/>
  <c r="Y259" i="6"/>
  <c r="Q259" i="6"/>
  <c r="Y265" i="6"/>
  <c r="Q265" i="6"/>
  <c r="Y279" i="6"/>
  <c r="Q279" i="6"/>
  <c r="Q282" i="6"/>
  <c r="Y282" i="6"/>
  <c r="Y287" i="6"/>
  <c r="Q287" i="6"/>
  <c r="Q302" i="6"/>
  <c r="Y302" i="6"/>
  <c r="Q342" i="6"/>
  <c r="Y342" i="6"/>
  <c r="Y182" i="6"/>
  <c r="Y190" i="6"/>
  <c r="Y204" i="6"/>
  <c r="Y212" i="6"/>
  <c r="Y220" i="6"/>
  <c r="Y222" i="6"/>
  <c r="M253" i="6"/>
  <c r="Q239" i="6"/>
  <c r="Y239" i="6"/>
  <c r="Y244" i="6"/>
  <c r="Q247" i="6"/>
  <c r="Y247" i="6"/>
  <c r="W272" i="6"/>
  <c r="U272" i="6" s="1"/>
  <c r="Q262" i="6"/>
  <c r="Y262" i="6"/>
  <c r="Q264" i="6"/>
  <c r="Y264" i="6"/>
  <c r="Y267" i="6"/>
  <c r="Q267" i="6"/>
  <c r="Q270" i="6"/>
  <c r="Y270" i="6"/>
  <c r="Q276" i="6"/>
  <c r="Y276" i="6"/>
  <c r="Q278" i="6"/>
  <c r="Y278" i="6"/>
  <c r="I347" i="6"/>
  <c r="I361" i="6" s="1"/>
  <c r="Y224" i="6"/>
  <c r="Y226" i="6"/>
  <c r="Y228" i="6"/>
  <c r="Y230" i="6"/>
  <c r="Y232" i="6"/>
  <c r="Y251" i="6"/>
  <c r="Q251" i="6"/>
  <c r="Y269" i="6"/>
  <c r="Y281" i="6"/>
  <c r="Q281" i="6"/>
  <c r="Q306" i="6"/>
  <c r="Y306" i="6"/>
  <c r="W326" i="6"/>
  <c r="U326" i="6" s="1"/>
  <c r="Q320" i="6"/>
  <c r="Y320" i="6"/>
  <c r="Y332" i="6"/>
  <c r="Q332" i="6"/>
  <c r="Q341" i="6"/>
  <c r="Y341" i="6"/>
  <c r="W290" i="6"/>
  <c r="Y283" i="6"/>
  <c r="Q284" i="6"/>
  <c r="Y284" i="6"/>
  <c r="Q286" i="6"/>
  <c r="Y286" i="6"/>
  <c r="Q300" i="6"/>
  <c r="Y300" i="6"/>
  <c r="Y323" i="6"/>
  <c r="Q323" i="6"/>
  <c r="Q334" i="6"/>
  <c r="Y334" i="6"/>
  <c r="K292" i="6"/>
  <c r="O308" i="6"/>
  <c r="Q308" i="6" s="1"/>
  <c r="W345" i="6"/>
  <c r="O275" i="6"/>
  <c r="Y298" i="6"/>
  <c r="Y304" i="6"/>
  <c r="Q313" i="6"/>
  <c r="Y314" i="6"/>
  <c r="M326" i="6"/>
  <c r="Q336" i="6"/>
  <c r="Y340" i="6"/>
  <c r="Y318" i="6"/>
  <c r="M345" i="6"/>
  <c r="O331" i="6"/>
  <c r="Q340" i="6"/>
  <c r="U347" i="5"/>
  <c r="U345" i="5"/>
  <c r="U326" i="5"/>
  <c r="U308" i="5"/>
  <c r="U292" i="5"/>
  <c r="U290" i="5"/>
  <c r="U272" i="5"/>
  <c r="U253" i="5"/>
  <c r="U234" i="5"/>
  <c r="U216" i="5"/>
  <c r="U195" i="5"/>
  <c r="U176" i="5"/>
  <c r="U168" i="5"/>
  <c r="U129" i="5"/>
  <c r="U127" i="5"/>
  <c r="U108" i="5"/>
  <c r="U86" i="5"/>
  <c r="U70" i="5"/>
  <c r="U46" i="5"/>
  <c r="U20" i="5"/>
  <c r="W127" i="5"/>
  <c r="W136" i="5"/>
  <c r="W332" i="5"/>
  <c r="W333" i="5"/>
  <c r="W334" i="5"/>
  <c r="W335" i="5"/>
  <c r="W336" i="5"/>
  <c r="W337" i="5"/>
  <c r="W338" i="5"/>
  <c r="W339" i="5"/>
  <c r="W340" i="5"/>
  <c r="W341" i="5"/>
  <c r="W342" i="5"/>
  <c r="W331" i="5"/>
  <c r="W314" i="5"/>
  <c r="W315" i="5"/>
  <c r="W316" i="5"/>
  <c r="W317" i="5"/>
  <c r="W318" i="5"/>
  <c r="W319" i="5"/>
  <c r="W320" i="5"/>
  <c r="W321" i="5"/>
  <c r="W322" i="5"/>
  <c r="W323" i="5"/>
  <c r="W324" i="5"/>
  <c r="W313" i="5"/>
  <c r="W298" i="5"/>
  <c r="W299" i="5"/>
  <c r="W300" i="5"/>
  <c r="W302" i="5"/>
  <c r="W303" i="5"/>
  <c r="W304" i="5"/>
  <c r="W305" i="5"/>
  <c r="W306" i="5"/>
  <c r="W297" i="5"/>
  <c r="W276" i="5"/>
  <c r="W277" i="5"/>
  <c r="W278" i="5"/>
  <c r="W279" i="5"/>
  <c r="W280" i="5"/>
  <c r="W281" i="5"/>
  <c r="W282" i="5"/>
  <c r="W283" i="5"/>
  <c r="W284" i="5"/>
  <c r="W285" i="5"/>
  <c r="W286" i="5"/>
  <c r="W287" i="5"/>
  <c r="W288" i="5"/>
  <c r="W275" i="5"/>
  <c r="W257" i="5"/>
  <c r="W258" i="5"/>
  <c r="W259" i="5"/>
  <c r="W260" i="5"/>
  <c r="W261" i="5"/>
  <c r="W262" i="5"/>
  <c r="W263" i="5"/>
  <c r="W264" i="5"/>
  <c r="W265" i="5"/>
  <c r="W266" i="5"/>
  <c r="W267" i="5"/>
  <c r="W268" i="5"/>
  <c r="W269" i="5"/>
  <c r="W270" i="5"/>
  <c r="W256" i="5"/>
  <c r="W238" i="5"/>
  <c r="W239" i="5"/>
  <c r="W240" i="5"/>
  <c r="W241" i="5"/>
  <c r="W242" i="5"/>
  <c r="W243" i="5"/>
  <c r="W244" i="5"/>
  <c r="W245" i="5"/>
  <c r="W246" i="5"/>
  <c r="W247" i="5"/>
  <c r="W248" i="5"/>
  <c r="W249" i="5"/>
  <c r="W250" i="5"/>
  <c r="W251" i="5"/>
  <c r="W237" i="5"/>
  <c r="W220" i="5"/>
  <c r="W221" i="5"/>
  <c r="W222" i="5"/>
  <c r="W223" i="5"/>
  <c r="W224" i="5"/>
  <c r="W225" i="5"/>
  <c r="W226" i="5"/>
  <c r="W227" i="5"/>
  <c r="W228" i="5"/>
  <c r="W229" i="5"/>
  <c r="W230" i="5"/>
  <c r="W231" i="5"/>
  <c r="W232" i="5"/>
  <c r="W219" i="5"/>
  <c r="W199" i="5"/>
  <c r="W200" i="5"/>
  <c r="W201" i="5"/>
  <c r="W202" i="5"/>
  <c r="W203" i="5"/>
  <c r="W204" i="5"/>
  <c r="W205" i="5"/>
  <c r="W206" i="5"/>
  <c r="W207" i="5"/>
  <c r="W208" i="5"/>
  <c r="W209" i="5"/>
  <c r="W210" i="5"/>
  <c r="W211" i="5"/>
  <c r="W212" i="5"/>
  <c r="W213" i="5"/>
  <c r="W214" i="5"/>
  <c r="W198" i="5"/>
  <c r="W180" i="5"/>
  <c r="W181" i="5"/>
  <c r="W182" i="5"/>
  <c r="W183" i="5"/>
  <c r="W184" i="5"/>
  <c r="W185" i="5"/>
  <c r="W186" i="5"/>
  <c r="W187" i="5"/>
  <c r="W188" i="5"/>
  <c r="W189" i="5"/>
  <c r="W190" i="5"/>
  <c r="W191" i="5"/>
  <c r="W192" i="5"/>
  <c r="W193" i="5"/>
  <c r="W179" i="5"/>
  <c r="W174" i="5"/>
  <c r="W164" i="5"/>
  <c r="W159" i="5"/>
  <c r="W154" i="5"/>
  <c r="W149" i="5"/>
  <c r="W144" i="5"/>
  <c r="W139" i="5"/>
  <c r="W112" i="5"/>
  <c r="W113" i="5"/>
  <c r="W115" i="5"/>
  <c r="W116" i="5"/>
  <c r="W118" i="5"/>
  <c r="W119" i="5"/>
  <c r="W120" i="5"/>
  <c r="W121" i="5"/>
  <c r="W122" i="5"/>
  <c r="W123" i="5"/>
  <c r="W124" i="5"/>
  <c r="W125" i="5"/>
  <c r="W111" i="5"/>
  <c r="W90" i="5"/>
  <c r="W91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89" i="5"/>
  <c r="W74" i="5"/>
  <c r="W76" i="5"/>
  <c r="W77" i="5"/>
  <c r="W78" i="5"/>
  <c r="W79" i="5"/>
  <c r="W80" i="5"/>
  <c r="W81" i="5"/>
  <c r="W82" i="5"/>
  <c r="W83" i="5"/>
  <c r="W84" i="5"/>
  <c r="W73" i="5"/>
  <c r="W50" i="5"/>
  <c r="W51" i="5"/>
  <c r="W53" i="5"/>
  <c r="W54" i="5"/>
  <c r="W56" i="5"/>
  <c r="W57" i="5"/>
  <c r="W58" i="5"/>
  <c r="W59" i="5"/>
  <c r="W61" i="5"/>
  <c r="W62" i="5"/>
  <c r="W63" i="5"/>
  <c r="W64" i="5"/>
  <c r="W65" i="5"/>
  <c r="W66" i="5"/>
  <c r="W67" i="5"/>
  <c r="W68" i="5"/>
  <c r="W49" i="5"/>
  <c r="W27" i="5"/>
  <c r="W28" i="5"/>
  <c r="W32" i="5"/>
  <c r="W34" i="5"/>
  <c r="W35" i="5"/>
  <c r="W36" i="5"/>
  <c r="W37" i="5"/>
  <c r="W39" i="5"/>
  <c r="W40" i="5"/>
  <c r="W41" i="5"/>
  <c r="W42" i="5"/>
  <c r="W43" i="5"/>
  <c r="W44" i="5"/>
  <c r="W26" i="5"/>
  <c r="W17" i="5"/>
  <c r="W18" i="5"/>
  <c r="W16" i="5"/>
  <c r="O16" i="5"/>
  <c r="Q16" i="5" s="1"/>
  <c r="Q52" i="5"/>
  <c r="Q55" i="5"/>
  <c r="Q60" i="5"/>
  <c r="Q75" i="5"/>
  <c r="Q114" i="5"/>
  <c r="Q117" i="5"/>
  <c r="M16" i="5"/>
  <c r="M20" i="5" s="1"/>
  <c r="K166" i="5"/>
  <c r="M161" i="5"/>
  <c r="M156" i="5"/>
  <c r="K156" i="5"/>
  <c r="M151" i="5"/>
  <c r="K151" i="5"/>
  <c r="M146" i="5"/>
  <c r="K146" i="5"/>
  <c r="M141" i="5"/>
  <c r="K141" i="5"/>
  <c r="O136" i="5"/>
  <c r="M136" i="5"/>
  <c r="K136" i="5"/>
  <c r="M129" i="5"/>
  <c r="K129" i="5"/>
  <c r="M127" i="5"/>
  <c r="K127" i="5"/>
  <c r="M108" i="5"/>
  <c r="K108" i="5"/>
  <c r="M86" i="5"/>
  <c r="K86" i="5"/>
  <c r="M70" i="5"/>
  <c r="K70" i="5"/>
  <c r="M46" i="5"/>
  <c r="K46" i="5"/>
  <c r="K20" i="5"/>
  <c r="K161" i="5"/>
  <c r="M168" i="5"/>
  <c r="K168" i="5"/>
  <c r="M176" i="5"/>
  <c r="K176" i="5"/>
  <c r="M195" i="5"/>
  <c r="K195" i="5"/>
  <c r="M216" i="5"/>
  <c r="K216" i="5"/>
  <c r="M234" i="5"/>
  <c r="K234" i="5"/>
  <c r="M253" i="5"/>
  <c r="K253" i="5"/>
  <c r="M272" i="5"/>
  <c r="K272" i="5"/>
  <c r="M308" i="5"/>
  <c r="K308" i="5"/>
  <c r="M326" i="5"/>
  <c r="K326" i="5"/>
  <c r="M345" i="5"/>
  <c r="K345" i="5"/>
  <c r="I345" i="5"/>
  <c r="I347" i="5"/>
  <c r="I292" i="5"/>
  <c r="M297" i="5"/>
  <c r="M298" i="5"/>
  <c r="M299" i="5"/>
  <c r="M300" i="5"/>
  <c r="M301" i="5"/>
  <c r="M302" i="5"/>
  <c r="M303" i="5"/>
  <c r="M304" i="5"/>
  <c r="M305" i="5"/>
  <c r="M306" i="5"/>
  <c r="M313" i="5"/>
  <c r="M314" i="5"/>
  <c r="M315" i="5"/>
  <c r="M316" i="5"/>
  <c r="M317" i="5"/>
  <c r="M318" i="5"/>
  <c r="M319" i="5"/>
  <c r="M320" i="5"/>
  <c r="M321" i="5"/>
  <c r="M322" i="5"/>
  <c r="M323" i="5"/>
  <c r="M324" i="5"/>
  <c r="M331" i="5"/>
  <c r="M332" i="5"/>
  <c r="M333" i="5"/>
  <c r="M334" i="5"/>
  <c r="M335" i="5"/>
  <c r="M336" i="5"/>
  <c r="M337" i="5"/>
  <c r="M338" i="5"/>
  <c r="M339" i="5"/>
  <c r="M340" i="5"/>
  <c r="M341" i="5"/>
  <c r="M342" i="5"/>
  <c r="M343" i="5"/>
  <c r="O303" i="5"/>
  <c r="O30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75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56" i="5"/>
  <c r="O256" i="5" s="1"/>
  <c r="O272" i="5" s="1"/>
  <c r="M238" i="5"/>
  <c r="M239" i="5"/>
  <c r="O239" i="5" s="1"/>
  <c r="M240" i="5"/>
  <c r="M241" i="5"/>
  <c r="O241" i="5" s="1"/>
  <c r="M242" i="5"/>
  <c r="M243" i="5"/>
  <c r="O243" i="5" s="1"/>
  <c r="M244" i="5"/>
  <c r="M245" i="5"/>
  <c r="O245" i="5" s="1"/>
  <c r="M246" i="5"/>
  <c r="M247" i="5"/>
  <c r="O247" i="5" s="1"/>
  <c r="M248" i="5"/>
  <c r="M249" i="5"/>
  <c r="O249" i="5" s="1"/>
  <c r="M250" i="5"/>
  <c r="M251" i="5"/>
  <c r="O251" i="5" s="1"/>
  <c r="M237" i="5"/>
  <c r="O237" i="5" s="1"/>
  <c r="O253" i="5" s="1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19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198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79" i="5"/>
  <c r="M174" i="5"/>
  <c r="M164" i="5"/>
  <c r="M159" i="5"/>
  <c r="M154" i="5"/>
  <c r="M149" i="5"/>
  <c r="M144" i="5"/>
  <c r="M139" i="5"/>
  <c r="M134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11" i="5"/>
  <c r="M90" i="5"/>
  <c r="M91" i="5"/>
  <c r="M92" i="5"/>
  <c r="M93" i="5"/>
  <c r="O93" i="5" s="1"/>
  <c r="Q93" i="5" s="1"/>
  <c r="M94" i="5"/>
  <c r="M95" i="5"/>
  <c r="O95" i="5" s="1"/>
  <c r="Q95" i="5" s="1"/>
  <c r="M96" i="5"/>
  <c r="M97" i="5"/>
  <c r="O97" i="5" s="1"/>
  <c r="Q97" i="5" s="1"/>
  <c r="M98" i="5"/>
  <c r="M99" i="5"/>
  <c r="O99" i="5" s="1"/>
  <c r="Q99" i="5" s="1"/>
  <c r="M100" i="5"/>
  <c r="M101" i="5"/>
  <c r="O101" i="5" s="1"/>
  <c r="Q101" i="5" s="1"/>
  <c r="M102" i="5"/>
  <c r="M103" i="5"/>
  <c r="O103" i="5" s="1"/>
  <c r="Q103" i="5" s="1"/>
  <c r="M104" i="5"/>
  <c r="M105" i="5"/>
  <c r="O105" i="5" s="1"/>
  <c r="Q105" i="5" s="1"/>
  <c r="M106" i="5"/>
  <c r="M89" i="5"/>
  <c r="M84" i="5"/>
  <c r="M74" i="5"/>
  <c r="M75" i="5"/>
  <c r="M76" i="5"/>
  <c r="M77" i="5"/>
  <c r="O77" i="5" s="1"/>
  <c r="Q77" i="5" s="1"/>
  <c r="M78" i="5"/>
  <c r="M79" i="5"/>
  <c r="O79" i="5" s="1"/>
  <c r="Q79" i="5" s="1"/>
  <c r="M80" i="5"/>
  <c r="M81" i="5"/>
  <c r="O81" i="5" s="1"/>
  <c r="Q81" i="5" s="1"/>
  <c r="M82" i="5"/>
  <c r="M83" i="5"/>
  <c r="O83" i="5" s="1"/>
  <c r="Q83" i="5" s="1"/>
  <c r="M73" i="5"/>
  <c r="M50" i="5"/>
  <c r="M51" i="5"/>
  <c r="M52" i="5"/>
  <c r="M53" i="5"/>
  <c r="O53" i="5" s="1"/>
  <c r="Q53" i="5" s="1"/>
  <c r="M54" i="5"/>
  <c r="M55" i="5"/>
  <c r="M56" i="5"/>
  <c r="M57" i="5"/>
  <c r="M58" i="5"/>
  <c r="M59" i="5"/>
  <c r="M60" i="5"/>
  <c r="M61" i="5"/>
  <c r="O61" i="5" s="1"/>
  <c r="Q61" i="5" s="1"/>
  <c r="M62" i="5"/>
  <c r="M63" i="5"/>
  <c r="O63" i="5" s="1"/>
  <c r="Q63" i="5" s="1"/>
  <c r="M64" i="5"/>
  <c r="M65" i="5"/>
  <c r="O65" i="5" s="1"/>
  <c r="Q65" i="5" s="1"/>
  <c r="M66" i="5"/>
  <c r="M67" i="5"/>
  <c r="O67" i="5" s="1"/>
  <c r="Q67" i="5" s="1"/>
  <c r="M68" i="5"/>
  <c r="M49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26" i="5"/>
  <c r="O332" i="5"/>
  <c r="O333" i="5"/>
  <c r="O334" i="5"/>
  <c r="O335" i="5"/>
  <c r="O336" i="5"/>
  <c r="O337" i="5"/>
  <c r="O338" i="5"/>
  <c r="O339" i="5"/>
  <c r="O340" i="5"/>
  <c r="O341" i="5"/>
  <c r="O342" i="5"/>
  <c r="O331" i="5"/>
  <c r="O345" i="5" s="1"/>
  <c r="O314" i="5"/>
  <c r="O315" i="5"/>
  <c r="O316" i="5"/>
  <c r="O317" i="5"/>
  <c r="O318" i="5"/>
  <c r="O319" i="5"/>
  <c r="O320" i="5"/>
  <c r="O321" i="5"/>
  <c r="O322" i="5"/>
  <c r="O323" i="5"/>
  <c r="O324" i="5"/>
  <c r="O313" i="5"/>
  <c r="O326" i="5" s="1"/>
  <c r="O298" i="5"/>
  <c r="O299" i="5"/>
  <c r="O300" i="5"/>
  <c r="O302" i="5"/>
  <c r="O304" i="5"/>
  <c r="O306" i="5"/>
  <c r="O297" i="5"/>
  <c r="O308" i="5" s="1"/>
  <c r="O276" i="5"/>
  <c r="O277" i="5"/>
  <c r="O278" i="5"/>
  <c r="O279" i="5"/>
  <c r="O280" i="5"/>
  <c r="O281" i="5"/>
  <c r="O282" i="5"/>
  <c r="O283" i="5"/>
  <c r="O284" i="5"/>
  <c r="O285" i="5"/>
  <c r="O286" i="5"/>
  <c r="O287" i="5"/>
  <c r="O288" i="5"/>
  <c r="O275" i="5"/>
  <c r="O257" i="5"/>
  <c r="O258" i="5"/>
  <c r="O259" i="5"/>
  <c r="O260" i="5"/>
  <c r="O261" i="5"/>
  <c r="O262" i="5"/>
  <c r="O263" i="5"/>
  <c r="O264" i="5"/>
  <c r="O265" i="5"/>
  <c r="O266" i="5"/>
  <c r="O267" i="5"/>
  <c r="O268" i="5"/>
  <c r="O269" i="5"/>
  <c r="O270" i="5"/>
  <c r="O238" i="5"/>
  <c r="O240" i="5"/>
  <c r="O242" i="5"/>
  <c r="O244" i="5"/>
  <c r="O246" i="5"/>
  <c r="O248" i="5"/>
  <c r="O250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19" i="5"/>
  <c r="O234" i="5" s="1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198" i="5"/>
  <c r="O216" i="5" s="1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79" i="5"/>
  <c r="O195" i="5" s="1"/>
  <c r="O174" i="5"/>
  <c r="O176" i="5" s="1"/>
  <c r="O164" i="5"/>
  <c r="O159" i="5"/>
  <c r="O161" i="5" s="1"/>
  <c r="O154" i="5"/>
  <c r="O156" i="5" s="1"/>
  <c r="O149" i="5"/>
  <c r="O151" i="5" s="1"/>
  <c r="O144" i="5"/>
  <c r="O146" i="5" s="1"/>
  <c r="O139" i="5"/>
  <c r="O141" i="5" s="1"/>
  <c r="Q141" i="5" s="1"/>
  <c r="O112" i="5"/>
  <c r="Q112" i="5" s="1"/>
  <c r="O113" i="5"/>
  <c r="Q113" i="5" s="1"/>
  <c r="O115" i="5"/>
  <c r="Q115" i="5" s="1"/>
  <c r="O116" i="5"/>
  <c r="Q116" i="5" s="1"/>
  <c r="O118" i="5"/>
  <c r="O119" i="5"/>
  <c r="O120" i="5"/>
  <c r="O121" i="5"/>
  <c r="O122" i="5"/>
  <c r="O123" i="5"/>
  <c r="O124" i="5"/>
  <c r="O125" i="5"/>
  <c r="O111" i="5"/>
  <c r="Q111" i="5" s="1"/>
  <c r="O90" i="5"/>
  <c r="Q90" i="5" s="1"/>
  <c r="O91" i="5"/>
  <c r="Q91" i="5" s="1"/>
  <c r="O94" i="5"/>
  <c r="Q94" i="5" s="1"/>
  <c r="O96" i="5"/>
  <c r="Q96" i="5" s="1"/>
  <c r="O98" i="5"/>
  <c r="Q98" i="5" s="1"/>
  <c r="O100" i="5"/>
  <c r="Q100" i="5" s="1"/>
  <c r="O102" i="5"/>
  <c r="Q102" i="5" s="1"/>
  <c r="O104" i="5"/>
  <c r="Q104" i="5" s="1"/>
  <c r="O106" i="5"/>
  <c r="Q106" i="5" s="1"/>
  <c r="O89" i="5"/>
  <c r="O108" i="5" s="1"/>
  <c r="Q108" i="5" s="1"/>
  <c r="O74" i="5"/>
  <c r="Q74" i="5" s="1"/>
  <c r="O76" i="5"/>
  <c r="Q76" i="5" s="1"/>
  <c r="O78" i="5"/>
  <c r="Q78" i="5" s="1"/>
  <c r="O80" i="5"/>
  <c r="Q80" i="5" s="1"/>
  <c r="O82" i="5"/>
  <c r="Q82" i="5" s="1"/>
  <c r="O84" i="5"/>
  <c r="Q84" i="5" s="1"/>
  <c r="O73" i="5"/>
  <c r="Q73" i="5" s="1"/>
  <c r="O50" i="5"/>
  <c r="Q50" i="5" s="1"/>
  <c r="O51" i="5"/>
  <c r="Q51" i="5" s="1"/>
  <c r="O54" i="5"/>
  <c r="Q54" i="5" s="1"/>
  <c r="O56" i="5"/>
  <c r="Q56" i="5" s="1"/>
  <c r="O57" i="5"/>
  <c r="Q57" i="5" s="1"/>
  <c r="O58" i="5"/>
  <c r="Q58" i="5" s="1"/>
  <c r="O59" i="5"/>
  <c r="Q59" i="5" s="1"/>
  <c r="O62" i="5"/>
  <c r="Q62" i="5" s="1"/>
  <c r="O64" i="5"/>
  <c r="Q64" i="5" s="1"/>
  <c r="O66" i="5"/>
  <c r="Q66" i="5" s="1"/>
  <c r="O68" i="5"/>
  <c r="Q68" i="5" s="1"/>
  <c r="O49" i="5"/>
  <c r="O70" i="5" s="1"/>
  <c r="Q70" i="5" s="1"/>
  <c r="Q29" i="5"/>
  <c r="Q30" i="5"/>
  <c r="Q31" i="5"/>
  <c r="Q33" i="5"/>
  <c r="Q38" i="5"/>
  <c r="O27" i="5"/>
  <c r="Q27" i="5" s="1"/>
  <c r="O28" i="5"/>
  <c r="Q28" i="5" s="1"/>
  <c r="O32" i="5"/>
  <c r="Q32" i="5" s="1"/>
  <c r="O34" i="5"/>
  <c r="Q34" i="5" s="1"/>
  <c r="O35" i="5"/>
  <c r="Q35" i="5" s="1"/>
  <c r="O36" i="5"/>
  <c r="Q36" i="5" s="1"/>
  <c r="O37" i="5"/>
  <c r="Q37" i="5" s="1"/>
  <c r="O39" i="5"/>
  <c r="Q39" i="5" s="1"/>
  <c r="O40" i="5"/>
  <c r="Q40" i="5" s="1"/>
  <c r="O41" i="5"/>
  <c r="Q41" i="5" s="1"/>
  <c r="O42" i="5"/>
  <c r="Q42" i="5" s="1"/>
  <c r="O43" i="5"/>
  <c r="Q43" i="5" s="1"/>
  <c r="O44" i="5"/>
  <c r="Q44" i="5" s="1"/>
  <c r="O26" i="5"/>
  <c r="Q26" i="5" s="1"/>
  <c r="O17" i="5"/>
  <c r="Q17" i="5" s="1"/>
  <c r="O18" i="5"/>
  <c r="Q18" i="5" s="1"/>
  <c r="P23" i="10" l="1"/>
  <c r="C25" i="10"/>
  <c r="B26" i="10"/>
  <c r="N24" i="10"/>
  <c r="P24" i="10" s="1"/>
  <c r="O24" i="10"/>
  <c r="G24" i="10"/>
  <c r="F24" i="10"/>
  <c r="H23" i="10"/>
  <c r="Y326" i="6"/>
  <c r="M292" i="6"/>
  <c r="Y86" i="6"/>
  <c r="M129" i="6"/>
  <c r="O46" i="5"/>
  <c r="O86" i="5"/>
  <c r="Q86" i="5" s="1"/>
  <c r="O127" i="5"/>
  <c r="O129" i="5" s="1"/>
  <c r="Q89" i="5"/>
  <c r="Q49" i="5"/>
  <c r="O20" i="5"/>
  <c r="K361" i="6"/>
  <c r="Y275" i="6"/>
  <c r="O290" i="6"/>
  <c r="Q275" i="6"/>
  <c r="Q127" i="6"/>
  <c r="Q166" i="6"/>
  <c r="Y308" i="6"/>
  <c r="Y216" i="6"/>
  <c r="O20" i="6"/>
  <c r="Q20" i="6" s="1"/>
  <c r="Q16" i="6"/>
  <c r="Y16" i="6"/>
  <c r="Y20" i="6" s="1"/>
  <c r="O345" i="6"/>
  <c r="Y331" i="6"/>
  <c r="Y345" i="6" s="1"/>
  <c r="Q331" i="6"/>
  <c r="W129" i="6"/>
  <c r="U129" i="6" s="1"/>
  <c r="Q89" i="6"/>
  <c r="O108" i="6"/>
  <c r="Q108" i="6" s="1"/>
  <c r="Y89" i="6"/>
  <c r="Y108" i="6" s="1"/>
  <c r="Q179" i="6"/>
  <c r="O195" i="6"/>
  <c r="Q195" i="6" s="1"/>
  <c r="Y179" i="6"/>
  <c r="Y195" i="6" s="1"/>
  <c r="U290" i="6"/>
  <c r="W292" i="6"/>
  <c r="U292" i="6" s="1"/>
  <c r="Q256" i="6"/>
  <c r="Y256" i="6"/>
  <c r="Y272" i="6" s="1"/>
  <c r="O272" i="6"/>
  <c r="Q272" i="6" s="1"/>
  <c r="Y253" i="6"/>
  <c r="Q49" i="6"/>
  <c r="Y49" i="6"/>
  <c r="Y70" i="6" s="1"/>
  <c r="O70" i="6"/>
  <c r="Q70" i="6" s="1"/>
  <c r="W347" i="6"/>
  <c r="U347" i="6" s="1"/>
  <c r="U345" i="6"/>
  <c r="K347" i="6"/>
  <c r="Q149" i="6"/>
  <c r="Y149" i="6"/>
  <c r="Y151" i="6" s="1"/>
  <c r="O151" i="6"/>
  <c r="Q151" i="6" s="1"/>
  <c r="Y127" i="6"/>
  <c r="O234" i="6"/>
  <c r="Q234" i="6" s="1"/>
  <c r="Q219" i="6"/>
  <c r="Y219" i="6"/>
  <c r="Y234" i="6" s="1"/>
  <c r="O46" i="6"/>
  <c r="Q46" i="6" s="1"/>
  <c r="Q26" i="6"/>
  <c r="Y26" i="6"/>
  <c r="Y46" i="6" s="1"/>
  <c r="Q154" i="6"/>
  <c r="O156" i="6"/>
  <c r="Y154" i="6"/>
  <c r="M292" i="5"/>
  <c r="K292" i="5"/>
  <c r="H24" i="10" l="1"/>
  <c r="C26" i="10"/>
  <c r="B27" i="10"/>
  <c r="F25" i="10"/>
  <c r="G25" i="10"/>
  <c r="K25" i="10"/>
  <c r="M347" i="6"/>
  <c r="M361" i="6" s="1"/>
  <c r="Q345" i="6"/>
  <c r="O168" i="6"/>
  <c r="Q168" i="6" s="1"/>
  <c r="Y290" i="6"/>
  <c r="Y292" i="6" s="1"/>
  <c r="O292" i="6"/>
  <c r="Q292" i="6" s="1"/>
  <c r="Q290" i="6"/>
  <c r="Q156" i="6"/>
  <c r="Y156" i="6"/>
  <c r="Y168" i="6" s="1"/>
  <c r="O129" i="6"/>
  <c r="Q129" i="6" s="1"/>
  <c r="Y129" i="6"/>
  <c r="Y347" i="6" s="1"/>
  <c r="H25" i="10" l="1"/>
  <c r="G26" i="10"/>
  <c r="F26" i="10"/>
  <c r="H26" i="10" s="1"/>
  <c r="K26" i="10"/>
  <c r="O25" i="10"/>
  <c r="N25" i="10"/>
  <c r="P25" i="10" s="1"/>
  <c r="C27" i="10"/>
  <c r="B28" i="10"/>
  <c r="O347" i="6"/>
  <c r="C28" i="10" l="1"/>
  <c r="B29" i="10"/>
  <c r="N26" i="10"/>
  <c r="O26" i="10"/>
  <c r="F27" i="10"/>
  <c r="G27" i="10"/>
  <c r="K27" i="10"/>
  <c r="K28" i="10"/>
  <c r="Q347" i="6"/>
  <c r="O361" i="6"/>
  <c r="M17" i="5"/>
  <c r="M18" i="5"/>
  <c r="O27" i="10" l="1"/>
  <c r="N27" i="10"/>
  <c r="P27" i="10" s="1"/>
  <c r="C29" i="10"/>
  <c r="B30" i="10"/>
  <c r="N28" i="10"/>
  <c r="O28" i="10"/>
  <c r="H27" i="10"/>
  <c r="P26" i="10"/>
  <c r="G28" i="10"/>
  <c r="F28" i="10"/>
  <c r="H28" i="10" s="1"/>
  <c r="I347" i="1"/>
  <c r="I326" i="5"/>
  <c r="I308" i="5"/>
  <c r="I290" i="5"/>
  <c r="I272" i="5"/>
  <c r="I253" i="5"/>
  <c r="I234" i="5"/>
  <c r="I216" i="5"/>
  <c r="I195" i="5"/>
  <c r="I176" i="5"/>
  <c r="I166" i="5"/>
  <c r="I161" i="5"/>
  <c r="I156" i="5"/>
  <c r="I151" i="5"/>
  <c r="I146" i="5"/>
  <c r="I141" i="5"/>
  <c r="I136" i="5"/>
  <c r="I127" i="5"/>
  <c r="I108" i="5"/>
  <c r="I86" i="5"/>
  <c r="I70" i="5"/>
  <c r="I46" i="5"/>
  <c r="I20" i="5"/>
  <c r="G281" i="5"/>
  <c r="G282" i="5"/>
  <c r="G283" i="5"/>
  <c r="G284" i="5"/>
  <c r="G285" i="5"/>
  <c r="G286" i="5"/>
  <c r="G276" i="5"/>
  <c r="G277" i="5"/>
  <c r="G278" i="5"/>
  <c r="G279" i="5"/>
  <c r="G280" i="5"/>
  <c r="G275" i="5"/>
  <c r="G287" i="5"/>
  <c r="G288" i="5"/>
  <c r="G270" i="5"/>
  <c r="G269" i="5"/>
  <c r="G263" i="5"/>
  <c r="G264" i="5"/>
  <c r="G265" i="5"/>
  <c r="G266" i="5"/>
  <c r="G267" i="5"/>
  <c r="G268" i="5"/>
  <c r="G262" i="5"/>
  <c r="G257" i="5"/>
  <c r="G258" i="5"/>
  <c r="G259" i="5"/>
  <c r="G260" i="5"/>
  <c r="G261" i="5"/>
  <c r="G256" i="5"/>
  <c r="G251" i="5"/>
  <c r="G250" i="5"/>
  <c r="G244" i="5"/>
  <c r="G245" i="5"/>
  <c r="G246" i="5"/>
  <c r="G247" i="5"/>
  <c r="G248" i="5"/>
  <c r="G249" i="5"/>
  <c r="G243" i="5"/>
  <c r="G238" i="5"/>
  <c r="G239" i="5"/>
  <c r="G240" i="5"/>
  <c r="G241" i="5"/>
  <c r="G242" i="5"/>
  <c r="G237" i="5"/>
  <c r="G232" i="5"/>
  <c r="G226" i="5"/>
  <c r="G227" i="5"/>
  <c r="G228" i="5"/>
  <c r="G229" i="5"/>
  <c r="G230" i="5"/>
  <c r="G231" i="5"/>
  <c r="G225" i="5"/>
  <c r="G220" i="5"/>
  <c r="G221" i="5"/>
  <c r="G222" i="5"/>
  <c r="G223" i="5"/>
  <c r="G224" i="5"/>
  <c r="G219" i="5"/>
  <c r="G214" i="5"/>
  <c r="G213" i="5"/>
  <c r="G206" i="5"/>
  <c r="G207" i="5"/>
  <c r="G208" i="5"/>
  <c r="G209" i="5"/>
  <c r="G210" i="5"/>
  <c r="G211" i="5"/>
  <c r="G212" i="5"/>
  <c r="G205" i="5"/>
  <c r="G199" i="5"/>
  <c r="G200" i="5"/>
  <c r="G201" i="5"/>
  <c r="G202" i="5"/>
  <c r="G203" i="5"/>
  <c r="G204" i="5"/>
  <c r="C30" i="10" l="1"/>
  <c r="B31" i="10"/>
  <c r="P28" i="10"/>
  <c r="F29" i="10"/>
  <c r="G29" i="10"/>
  <c r="K29" i="10"/>
  <c r="I129" i="5"/>
  <c r="I168" i="5"/>
  <c r="G198" i="5"/>
  <c r="G193" i="5"/>
  <c r="G192" i="5"/>
  <c r="G186" i="5"/>
  <c r="G187" i="5"/>
  <c r="G188" i="5"/>
  <c r="G189" i="5"/>
  <c r="G190" i="5"/>
  <c r="G191" i="5"/>
  <c r="G185" i="5"/>
  <c r="G180" i="5"/>
  <c r="G181" i="5"/>
  <c r="G182" i="5"/>
  <c r="G183" i="5"/>
  <c r="G184" i="5"/>
  <c r="G179" i="5"/>
  <c r="G164" i="5"/>
  <c r="G159" i="5"/>
  <c r="G154" i="5"/>
  <c r="G149" i="5"/>
  <c r="G139" i="5"/>
  <c r="G144" i="5"/>
  <c r="G122" i="5"/>
  <c r="G123" i="5"/>
  <c r="G124" i="5"/>
  <c r="G125" i="5"/>
  <c r="G121" i="5"/>
  <c r="G119" i="5"/>
  <c r="G120" i="5"/>
  <c r="G118" i="5"/>
  <c r="G116" i="5"/>
  <c r="G117" i="5"/>
  <c r="G115" i="5"/>
  <c r="G114" i="5"/>
  <c r="G113" i="5"/>
  <c r="G112" i="5"/>
  <c r="G111" i="5"/>
  <c r="G100" i="5"/>
  <c r="G101" i="5"/>
  <c r="G102" i="5"/>
  <c r="G103" i="5"/>
  <c r="G104" i="5"/>
  <c r="G105" i="5"/>
  <c r="G106" i="5"/>
  <c r="G99" i="5"/>
  <c r="G96" i="5"/>
  <c r="G97" i="5"/>
  <c r="G98" i="5"/>
  <c r="G95" i="5"/>
  <c r="G94" i="5"/>
  <c r="G93" i="5"/>
  <c r="G92" i="5"/>
  <c r="G91" i="5"/>
  <c r="G90" i="5"/>
  <c r="G89" i="5"/>
  <c r="G82" i="5"/>
  <c r="G83" i="5"/>
  <c r="G84" i="5"/>
  <c r="G81" i="5"/>
  <c r="G79" i="5"/>
  <c r="G80" i="5"/>
  <c r="G77" i="5"/>
  <c r="G76" i="5"/>
  <c r="G78" i="5"/>
  <c r="G75" i="5"/>
  <c r="G74" i="5"/>
  <c r="G73" i="5"/>
  <c r="G66" i="5"/>
  <c r="G67" i="5"/>
  <c r="G68" i="5"/>
  <c r="G62" i="5"/>
  <c r="G63" i="5"/>
  <c r="G64" i="5"/>
  <c r="G65" i="5"/>
  <c r="G61" i="5"/>
  <c r="G57" i="5"/>
  <c r="G58" i="5"/>
  <c r="G59" i="5"/>
  <c r="G56" i="5"/>
  <c r="G54" i="5"/>
  <c r="G55" i="5"/>
  <c r="G53" i="5"/>
  <c r="G52" i="5"/>
  <c r="G51" i="5"/>
  <c r="G50" i="5"/>
  <c r="G49" i="5"/>
  <c r="G40" i="5"/>
  <c r="G41" i="5"/>
  <c r="G42" i="5"/>
  <c r="G43" i="5"/>
  <c r="G44" i="5"/>
  <c r="G39" i="5"/>
  <c r="G38" i="5"/>
  <c r="G35" i="5"/>
  <c r="G36" i="5"/>
  <c r="G37" i="5"/>
  <c r="G34" i="5"/>
  <c r="G32" i="5"/>
  <c r="G33" i="5"/>
  <c r="G31" i="5"/>
  <c r="G30" i="5"/>
  <c r="G29" i="5"/>
  <c r="G28" i="5"/>
  <c r="G27" i="5"/>
  <c r="G26" i="5"/>
  <c r="G60" i="5"/>
  <c r="I359" i="5"/>
  <c r="Y343" i="5"/>
  <c r="Q343" i="5"/>
  <c r="Y342" i="5"/>
  <c r="Q342" i="5"/>
  <c r="Y341" i="5"/>
  <c r="Q341" i="5"/>
  <c r="Y340" i="5"/>
  <c r="Q340" i="5"/>
  <c r="Y339" i="5"/>
  <c r="Q339" i="5"/>
  <c r="Y338" i="5"/>
  <c r="Q338" i="5"/>
  <c r="Y337" i="5"/>
  <c r="Q337" i="5"/>
  <c r="Y336" i="5"/>
  <c r="Q336" i="5"/>
  <c r="Y335" i="5"/>
  <c r="Q335" i="5"/>
  <c r="Y334" i="5"/>
  <c r="Q334" i="5"/>
  <c r="Y333" i="5"/>
  <c r="Q333" i="5"/>
  <c r="Y332" i="5"/>
  <c r="Q332" i="5"/>
  <c r="W345" i="5"/>
  <c r="Q331" i="5"/>
  <c r="Y324" i="5"/>
  <c r="Q324" i="5"/>
  <c r="Y323" i="5"/>
  <c r="Q323" i="5"/>
  <c r="Y322" i="5"/>
  <c r="Q322" i="5"/>
  <c r="Y321" i="5"/>
  <c r="Q321" i="5"/>
  <c r="Y320" i="5"/>
  <c r="Q320" i="5"/>
  <c r="Y319" i="5"/>
  <c r="Q319" i="5"/>
  <c r="Y318" i="5"/>
  <c r="Q318" i="5"/>
  <c r="Y317" i="5"/>
  <c r="Q317" i="5"/>
  <c r="Y316" i="5"/>
  <c r="Q316" i="5"/>
  <c r="Y315" i="5"/>
  <c r="Q315" i="5"/>
  <c r="Y314" i="5"/>
  <c r="Q314" i="5"/>
  <c r="W326" i="5"/>
  <c r="Q313" i="5"/>
  <c r="Y306" i="5"/>
  <c r="Q306" i="5"/>
  <c r="Y305" i="5"/>
  <c r="Q305" i="5"/>
  <c r="Y304" i="5"/>
  <c r="Q304" i="5"/>
  <c r="Y303" i="5"/>
  <c r="Q303" i="5"/>
  <c r="Y302" i="5"/>
  <c r="Q302" i="5"/>
  <c r="Y301" i="5"/>
  <c r="Q301" i="5"/>
  <c r="Y300" i="5"/>
  <c r="Q300" i="5"/>
  <c r="Y299" i="5"/>
  <c r="Q299" i="5"/>
  <c r="Y298" i="5"/>
  <c r="Q298" i="5"/>
  <c r="W308" i="5"/>
  <c r="Q297" i="5"/>
  <c r="O290" i="5"/>
  <c r="O292" i="5" s="1"/>
  <c r="Q292" i="5" s="1"/>
  <c r="M290" i="5"/>
  <c r="K290" i="5"/>
  <c r="Y288" i="5"/>
  <c r="Q288" i="5"/>
  <c r="Y287" i="5"/>
  <c r="Q287" i="5"/>
  <c r="Y286" i="5"/>
  <c r="Q286" i="5"/>
  <c r="Y285" i="5"/>
  <c r="Q285" i="5"/>
  <c r="Y284" i="5"/>
  <c r="Q284" i="5"/>
  <c r="Y283" i="5"/>
  <c r="Q283" i="5"/>
  <c r="Y282" i="5"/>
  <c r="Q282" i="5"/>
  <c r="Y281" i="5"/>
  <c r="Q281" i="5"/>
  <c r="Y280" i="5"/>
  <c r="Q280" i="5"/>
  <c r="Y279" i="5"/>
  <c r="Q279" i="5"/>
  <c r="Y278" i="5"/>
  <c r="Q278" i="5"/>
  <c r="Y277" i="5"/>
  <c r="Q277" i="5"/>
  <c r="Y276" i="5"/>
  <c r="Q276" i="5"/>
  <c r="Y275" i="5"/>
  <c r="Q275" i="5"/>
  <c r="Q272" i="5"/>
  <c r="Y270" i="5"/>
  <c r="Q270" i="5"/>
  <c r="Y269" i="5"/>
  <c r="Q269" i="5"/>
  <c r="Y268" i="5"/>
  <c r="Q268" i="5"/>
  <c r="Y267" i="5"/>
  <c r="Q267" i="5"/>
  <c r="Y266" i="5"/>
  <c r="Q266" i="5"/>
  <c r="Y265" i="5"/>
  <c r="Q265" i="5"/>
  <c r="Y264" i="5"/>
  <c r="Q264" i="5"/>
  <c r="Y263" i="5"/>
  <c r="Q263" i="5"/>
  <c r="Y262" i="5"/>
  <c r="Q262" i="5"/>
  <c r="Y261" i="5"/>
  <c r="Q261" i="5"/>
  <c r="Y260" i="5"/>
  <c r="Q260" i="5"/>
  <c r="Y259" i="5"/>
  <c r="Q259" i="5"/>
  <c r="Y258" i="5"/>
  <c r="Q258" i="5"/>
  <c r="Y257" i="5"/>
  <c r="Q257" i="5"/>
  <c r="Q256" i="5"/>
  <c r="Q253" i="5"/>
  <c r="Y251" i="5"/>
  <c r="Q251" i="5"/>
  <c r="Y250" i="5"/>
  <c r="Q250" i="5"/>
  <c r="Y249" i="5"/>
  <c r="Q249" i="5"/>
  <c r="Y248" i="5"/>
  <c r="Q248" i="5"/>
  <c r="Y247" i="5"/>
  <c r="Q247" i="5"/>
  <c r="Y246" i="5"/>
  <c r="Q246" i="5"/>
  <c r="Y245" i="5"/>
  <c r="Q245" i="5"/>
  <c r="Y244" i="5"/>
  <c r="Q244" i="5"/>
  <c r="Y243" i="5"/>
  <c r="Q243" i="5"/>
  <c r="Y242" i="5"/>
  <c r="Q242" i="5"/>
  <c r="Y241" i="5"/>
  <c r="Q241" i="5"/>
  <c r="Y240" i="5"/>
  <c r="Q240" i="5"/>
  <c r="Y239" i="5"/>
  <c r="Q239" i="5"/>
  <c r="Y238" i="5"/>
  <c r="Q238" i="5"/>
  <c r="Q237" i="5"/>
  <c r="Q234" i="5"/>
  <c r="Y232" i="5"/>
  <c r="Q232" i="5"/>
  <c r="Y231" i="5"/>
  <c r="Q231" i="5"/>
  <c r="Y230" i="5"/>
  <c r="Q230" i="5"/>
  <c r="Y229" i="5"/>
  <c r="Q229" i="5"/>
  <c r="Y228" i="5"/>
  <c r="Q228" i="5"/>
  <c r="Y227" i="5"/>
  <c r="Q227" i="5"/>
  <c r="Y226" i="5"/>
  <c r="Q226" i="5"/>
  <c r="Y225" i="5"/>
  <c r="Q225" i="5"/>
  <c r="Y224" i="5"/>
  <c r="Q224" i="5"/>
  <c r="Y223" i="5"/>
  <c r="Q223" i="5"/>
  <c r="Y222" i="5"/>
  <c r="Q222" i="5"/>
  <c r="Y221" i="5"/>
  <c r="Q221" i="5"/>
  <c r="Y220" i="5"/>
  <c r="Q220" i="5"/>
  <c r="W234" i="5"/>
  <c r="Q219" i="5"/>
  <c r="Q216" i="5"/>
  <c r="Y214" i="5"/>
  <c r="Q214" i="5"/>
  <c r="Y213" i="5"/>
  <c r="Q213" i="5"/>
  <c r="Y212" i="5"/>
  <c r="Q212" i="5"/>
  <c r="Y211" i="5"/>
  <c r="Q211" i="5"/>
  <c r="Y210" i="5"/>
  <c r="Q210" i="5"/>
  <c r="Y209" i="5"/>
  <c r="Q209" i="5"/>
  <c r="Y208" i="5"/>
  <c r="Q208" i="5"/>
  <c r="Y207" i="5"/>
  <c r="Q207" i="5"/>
  <c r="Y206" i="5"/>
  <c r="Q206" i="5"/>
  <c r="Y205" i="5"/>
  <c r="Q205" i="5"/>
  <c r="Y204" i="5"/>
  <c r="Q204" i="5"/>
  <c r="Y203" i="5"/>
  <c r="Q203" i="5"/>
  <c r="Y202" i="5"/>
  <c r="Q202" i="5"/>
  <c r="Y201" i="5"/>
  <c r="Q201" i="5"/>
  <c r="Y200" i="5"/>
  <c r="Q200" i="5"/>
  <c r="Y199" i="5"/>
  <c r="Q199" i="5"/>
  <c r="Q198" i="5"/>
  <c r="Q195" i="5"/>
  <c r="Y193" i="5"/>
  <c r="Q193" i="5"/>
  <c r="Y192" i="5"/>
  <c r="Q192" i="5"/>
  <c r="Y191" i="5"/>
  <c r="Q191" i="5"/>
  <c r="Y190" i="5"/>
  <c r="Q190" i="5"/>
  <c r="Y189" i="5"/>
  <c r="Q189" i="5"/>
  <c r="Y188" i="5"/>
  <c r="Q188" i="5"/>
  <c r="Y187" i="5"/>
  <c r="Q187" i="5"/>
  <c r="Y186" i="5"/>
  <c r="Q186" i="5"/>
  <c r="Y185" i="5"/>
  <c r="Q185" i="5"/>
  <c r="Y184" i="5"/>
  <c r="Q184" i="5"/>
  <c r="Y183" i="5"/>
  <c r="Q183" i="5"/>
  <c r="Y182" i="5"/>
  <c r="Q182" i="5"/>
  <c r="Y181" i="5"/>
  <c r="Q181" i="5"/>
  <c r="Y180" i="5"/>
  <c r="Q180" i="5"/>
  <c r="Q179" i="5"/>
  <c r="Q174" i="5"/>
  <c r="O166" i="5"/>
  <c r="M166" i="5"/>
  <c r="Q164" i="5"/>
  <c r="Q161" i="5"/>
  <c r="Q159" i="5"/>
  <c r="Q156" i="5"/>
  <c r="Q154" i="5"/>
  <c r="Q151" i="5"/>
  <c r="Q149" i="5"/>
  <c r="Q146" i="5"/>
  <c r="Q144" i="5"/>
  <c r="Q139" i="5"/>
  <c r="Q134" i="5"/>
  <c r="Q127" i="5"/>
  <c r="Y125" i="5"/>
  <c r="Q125" i="5"/>
  <c r="Y124" i="5"/>
  <c r="Q124" i="5"/>
  <c r="Y123" i="5"/>
  <c r="Q123" i="5"/>
  <c r="Y122" i="5"/>
  <c r="Q122" i="5"/>
  <c r="Y121" i="5"/>
  <c r="Q121" i="5"/>
  <c r="Y120" i="5"/>
  <c r="Q120" i="5"/>
  <c r="Y119" i="5"/>
  <c r="Q119" i="5"/>
  <c r="Y118" i="5"/>
  <c r="Q118" i="5"/>
  <c r="Y117" i="5"/>
  <c r="Y116" i="5"/>
  <c r="Y115" i="5"/>
  <c r="Y114" i="5"/>
  <c r="Y113" i="5"/>
  <c r="Y112" i="5"/>
  <c r="Y106" i="5"/>
  <c r="Y105" i="5"/>
  <c r="Y104" i="5"/>
  <c r="Y103" i="5"/>
  <c r="Y102" i="5"/>
  <c r="Y101" i="5"/>
  <c r="Y100" i="5"/>
  <c r="Y99" i="5"/>
  <c r="Y98" i="5"/>
  <c r="Y97" i="5"/>
  <c r="Y96" i="5"/>
  <c r="Y95" i="5"/>
  <c r="Y94" i="5"/>
  <c r="Y93" i="5"/>
  <c r="Y92" i="5"/>
  <c r="Q92" i="5"/>
  <c r="Y91" i="5"/>
  <c r="Y90" i="5"/>
  <c r="W108" i="5"/>
  <c r="Y84" i="5"/>
  <c r="Y83" i="5"/>
  <c r="Y82" i="5"/>
  <c r="Y81" i="5"/>
  <c r="Y80" i="5"/>
  <c r="Y79" i="5"/>
  <c r="Y78" i="5"/>
  <c r="Y77" i="5"/>
  <c r="Y76" i="5"/>
  <c r="Y75" i="5"/>
  <c r="Y74" i="5"/>
  <c r="W86" i="5"/>
  <c r="Y68" i="5"/>
  <c r="Y67" i="5"/>
  <c r="Y66" i="5"/>
  <c r="Y65" i="5"/>
  <c r="Y64" i="5"/>
  <c r="Y63" i="5"/>
  <c r="Y62" i="5"/>
  <c r="Y61" i="5"/>
  <c r="Y60" i="5"/>
  <c r="Y59" i="5"/>
  <c r="Y58" i="5"/>
  <c r="Y57" i="5"/>
  <c r="Y56" i="5"/>
  <c r="Y55" i="5"/>
  <c r="Y54" i="5"/>
  <c r="Y53" i="5"/>
  <c r="Y52" i="5"/>
  <c r="Y51" i="5"/>
  <c r="Y50" i="5"/>
  <c r="W70" i="5"/>
  <c r="K347" i="5"/>
  <c r="Y44" i="5"/>
  <c r="Y43" i="5"/>
  <c r="Y42" i="5"/>
  <c r="Y41" i="5"/>
  <c r="Y40" i="5"/>
  <c r="Y39" i="5"/>
  <c r="Y38" i="5"/>
  <c r="Y37" i="5"/>
  <c r="Y36" i="5"/>
  <c r="Y35" i="5"/>
  <c r="Y34" i="5"/>
  <c r="Y33" i="5"/>
  <c r="Y32" i="5"/>
  <c r="Y31" i="5"/>
  <c r="Y30" i="5"/>
  <c r="Y29" i="5"/>
  <c r="Y28" i="5"/>
  <c r="Y27" i="5"/>
  <c r="W46" i="5"/>
  <c r="Y18" i="5"/>
  <c r="Y17" i="5"/>
  <c r="Y16" i="5"/>
  <c r="O29" i="10" l="1"/>
  <c r="N29" i="10"/>
  <c r="G30" i="10"/>
  <c r="F30" i="10"/>
  <c r="K30" i="10"/>
  <c r="H29" i="10"/>
  <c r="C31" i="10"/>
  <c r="B32" i="10"/>
  <c r="Q166" i="5"/>
  <c r="O168" i="5"/>
  <c r="W129" i="5"/>
  <c r="Y20" i="5"/>
  <c r="Y139" i="5"/>
  <c r="Y141" i="5" s="1"/>
  <c r="W141" i="5"/>
  <c r="Y144" i="5"/>
  <c r="Y146" i="5" s="1"/>
  <c r="W146" i="5"/>
  <c r="Y154" i="5"/>
  <c r="W156" i="5"/>
  <c r="Y156" i="5" s="1"/>
  <c r="Y164" i="5"/>
  <c r="Y166" i="5" s="1"/>
  <c r="W166" i="5"/>
  <c r="Y174" i="5"/>
  <c r="Y176" i="5" s="1"/>
  <c r="W176" i="5"/>
  <c r="Y179" i="5"/>
  <c r="Y195" i="5" s="1"/>
  <c r="W195" i="5"/>
  <c r="Y256" i="5"/>
  <c r="Y272" i="5" s="1"/>
  <c r="W272" i="5"/>
  <c r="W20" i="5"/>
  <c r="Y149" i="5"/>
  <c r="Y151" i="5" s="1"/>
  <c r="W151" i="5"/>
  <c r="Y159" i="5"/>
  <c r="Y161" i="5" s="1"/>
  <c r="W161" i="5"/>
  <c r="Y198" i="5"/>
  <c r="Y216" i="5" s="1"/>
  <c r="W216" i="5"/>
  <c r="Y237" i="5"/>
  <c r="Y253" i="5" s="1"/>
  <c r="W253" i="5"/>
  <c r="M347" i="5"/>
  <c r="Y49" i="5"/>
  <c r="Y70" i="5" s="1"/>
  <c r="Q168" i="5"/>
  <c r="O347" i="5"/>
  <c r="K361" i="5"/>
  <c r="Q46" i="5"/>
  <c r="I361" i="5"/>
  <c r="Q20" i="5"/>
  <c r="Y26" i="5"/>
  <c r="Y46" i="5" s="1"/>
  <c r="Y73" i="5"/>
  <c r="Y86" i="5" s="1"/>
  <c r="Y89" i="5"/>
  <c r="Y108" i="5" s="1"/>
  <c r="Y111" i="5"/>
  <c r="Y127" i="5" s="1"/>
  <c r="Q136" i="5"/>
  <c r="Y134" i="5"/>
  <c r="Y136" i="5" s="1"/>
  <c r="Q176" i="5"/>
  <c r="Y219" i="5"/>
  <c r="Y234" i="5" s="1"/>
  <c r="Q290" i="5"/>
  <c r="W290" i="5"/>
  <c r="Y297" i="5"/>
  <c r="Y308" i="5" s="1"/>
  <c r="Q326" i="5"/>
  <c r="Y331" i="5"/>
  <c r="Y345" i="5" s="1"/>
  <c r="Q308" i="5"/>
  <c r="Y313" i="5"/>
  <c r="Y326" i="5" s="1"/>
  <c r="Q345" i="5"/>
  <c r="U48" i="3"/>
  <c r="U49" i="3"/>
  <c r="U50" i="3"/>
  <c r="U51" i="3"/>
  <c r="U47" i="3"/>
  <c r="S128" i="3"/>
  <c r="O128" i="3"/>
  <c r="K128" i="3"/>
  <c r="S126" i="3"/>
  <c r="O126" i="3"/>
  <c r="K126" i="3"/>
  <c r="S124" i="3"/>
  <c r="O124" i="3"/>
  <c r="K124" i="3"/>
  <c r="S115" i="3"/>
  <c r="O115" i="3"/>
  <c r="K115" i="3"/>
  <c r="S106" i="3"/>
  <c r="O106" i="3"/>
  <c r="K106" i="3"/>
  <c r="S98" i="3"/>
  <c r="O98" i="3"/>
  <c r="K98" i="3"/>
  <c r="S86" i="3"/>
  <c r="O86" i="3"/>
  <c r="K86" i="3"/>
  <c r="E86" i="3"/>
  <c r="S84" i="3"/>
  <c r="O84" i="3"/>
  <c r="K84" i="3"/>
  <c r="E84" i="3"/>
  <c r="S70" i="3"/>
  <c r="O70" i="3"/>
  <c r="K70" i="3"/>
  <c r="E70" i="3"/>
  <c r="S62" i="3"/>
  <c r="O62" i="3"/>
  <c r="K62" i="3"/>
  <c r="S52" i="3"/>
  <c r="Q52" i="3"/>
  <c r="O52" i="3"/>
  <c r="K52" i="3"/>
  <c r="S44" i="3"/>
  <c r="O44" i="3"/>
  <c r="K44" i="3"/>
  <c r="S36" i="3"/>
  <c r="O36" i="3"/>
  <c r="K36" i="3"/>
  <c r="S28" i="3"/>
  <c r="O28" i="3"/>
  <c r="K28" i="3"/>
  <c r="S20" i="3"/>
  <c r="O20" i="3"/>
  <c r="K20" i="3"/>
  <c r="E126" i="3"/>
  <c r="E124" i="3"/>
  <c r="E115" i="3"/>
  <c r="E106" i="3"/>
  <c r="E98" i="3"/>
  <c r="E72" i="3"/>
  <c r="E62" i="3"/>
  <c r="E52" i="3"/>
  <c r="E44" i="3"/>
  <c r="E36" i="3"/>
  <c r="E28" i="3"/>
  <c r="E20" i="3"/>
  <c r="C32" i="10" l="1"/>
  <c r="B33" i="10"/>
  <c r="F31" i="10"/>
  <c r="G31" i="10"/>
  <c r="K31" i="10"/>
  <c r="N30" i="10"/>
  <c r="P30" i="10" s="1"/>
  <c r="O30" i="10"/>
  <c r="H30" i="10"/>
  <c r="P29" i="10"/>
  <c r="Y129" i="5"/>
  <c r="Y290" i="5"/>
  <c r="Y292" i="5" s="1"/>
  <c r="W292" i="5"/>
  <c r="W168" i="5"/>
  <c r="Y168" i="5"/>
  <c r="Y347" i="5" s="1"/>
  <c r="O361" i="5"/>
  <c r="Q129" i="5"/>
  <c r="M361" i="5"/>
  <c r="Q347" i="5"/>
  <c r="E128" i="3"/>
  <c r="U52" i="3"/>
  <c r="H31" i="10" l="1"/>
  <c r="G32" i="10"/>
  <c r="F32" i="10"/>
  <c r="H32" i="10" s="1"/>
  <c r="K32" i="10"/>
  <c r="O31" i="10"/>
  <c r="N31" i="10"/>
  <c r="P31" i="10" s="1"/>
  <c r="C33" i="10"/>
  <c r="B34" i="10"/>
  <c r="W347" i="5"/>
  <c r="S119" i="3"/>
  <c r="S120" i="3"/>
  <c r="S121" i="3"/>
  <c r="S122" i="3"/>
  <c r="S123" i="3"/>
  <c r="S118" i="3"/>
  <c r="S110" i="3"/>
  <c r="S111" i="3"/>
  <c r="S112" i="3"/>
  <c r="S113" i="3"/>
  <c r="S114" i="3"/>
  <c r="S109" i="3"/>
  <c r="S102" i="3"/>
  <c r="S103" i="3"/>
  <c r="S104" i="3"/>
  <c r="S105" i="3"/>
  <c r="S101" i="3"/>
  <c r="S93" i="3"/>
  <c r="S94" i="3"/>
  <c r="S95" i="3"/>
  <c r="S96" i="3"/>
  <c r="S97" i="3"/>
  <c r="S92" i="3"/>
  <c r="S79" i="3"/>
  <c r="S80" i="3"/>
  <c r="S81" i="3"/>
  <c r="S82" i="3"/>
  <c r="S83" i="3"/>
  <c r="S78" i="3"/>
  <c r="S66" i="3"/>
  <c r="S67" i="3"/>
  <c r="S68" i="3"/>
  <c r="S69" i="3"/>
  <c r="S65" i="3"/>
  <c r="S61" i="3"/>
  <c r="S60" i="3"/>
  <c r="S59" i="3"/>
  <c r="S58" i="3"/>
  <c r="S57" i="3"/>
  <c r="S51" i="3"/>
  <c r="S47" i="3"/>
  <c r="S40" i="3"/>
  <c r="S39" i="3"/>
  <c r="S32" i="3"/>
  <c r="S33" i="3"/>
  <c r="S34" i="3"/>
  <c r="S35" i="3"/>
  <c r="S31" i="3"/>
  <c r="S24" i="3"/>
  <c r="S25" i="3"/>
  <c r="S26" i="3"/>
  <c r="S27" i="3"/>
  <c r="S23" i="3"/>
  <c r="S16" i="3"/>
  <c r="S17" i="3"/>
  <c r="S18" i="3"/>
  <c r="S19" i="3"/>
  <c r="S15" i="3"/>
  <c r="O122" i="3"/>
  <c r="O121" i="3"/>
  <c r="O120" i="3"/>
  <c r="Q120" i="3"/>
  <c r="Q109" i="3"/>
  <c r="O113" i="3"/>
  <c r="O112" i="3"/>
  <c r="O111" i="3"/>
  <c r="O104" i="3"/>
  <c r="O103" i="3"/>
  <c r="O119" i="3"/>
  <c r="O110" i="3"/>
  <c r="O102" i="3"/>
  <c r="O94" i="3"/>
  <c r="O95" i="3"/>
  <c r="O96" i="3"/>
  <c r="O93" i="3"/>
  <c r="O82" i="3"/>
  <c r="O79" i="3"/>
  <c r="O80" i="3"/>
  <c r="O78" i="3"/>
  <c r="Q57" i="3"/>
  <c r="Q47" i="3"/>
  <c r="Q39" i="3"/>
  <c r="Q31" i="3"/>
  <c r="O66" i="3"/>
  <c r="O67" i="3"/>
  <c r="O68" i="3"/>
  <c r="O65" i="3"/>
  <c r="O58" i="3"/>
  <c r="O59" i="3"/>
  <c r="O60" i="3"/>
  <c r="O57" i="3"/>
  <c r="O47" i="3"/>
  <c r="O40" i="3"/>
  <c r="O39" i="3"/>
  <c r="O34" i="3"/>
  <c r="O33" i="3"/>
  <c r="O32" i="3"/>
  <c r="O31" i="3"/>
  <c r="O24" i="3"/>
  <c r="O25" i="3"/>
  <c r="O26" i="3"/>
  <c r="O23" i="3"/>
  <c r="O16" i="3"/>
  <c r="O17" i="3"/>
  <c r="O18" i="3"/>
  <c r="O15" i="3"/>
  <c r="I119" i="3"/>
  <c r="Q119" i="3" s="1"/>
  <c r="I120" i="3"/>
  <c r="I121" i="3"/>
  <c r="Q121" i="3" s="1"/>
  <c r="I122" i="3"/>
  <c r="Q122" i="3" s="1"/>
  <c r="I123" i="3"/>
  <c r="Q123" i="3" s="1"/>
  <c r="I118" i="3"/>
  <c r="I110" i="3"/>
  <c r="Q110" i="3" s="1"/>
  <c r="I111" i="3"/>
  <c r="Q111" i="3" s="1"/>
  <c r="I112" i="3"/>
  <c r="Q112" i="3" s="1"/>
  <c r="I113" i="3"/>
  <c r="Q113" i="3" s="1"/>
  <c r="I114" i="3"/>
  <c r="Q114" i="3" s="1"/>
  <c r="I109" i="3"/>
  <c r="I115" i="3" s="1"/>
  <c r="I102" i="3"/>
  <c r="Q102" i="3" s="1"/>
  <c r="I103" i="3"/>
  <c r="Q103" i="3" s="1"/>
  <c r="I104" i="3"/>
  <c r="Q104" i="3" s="1"/>
  <c r="I105" i="3"/>
  <c r="Q105" i="3" s="1"/>
  <c r="I101" i="3"/>
  <c r="I93" i="3"/>
  <c r="Q93" i="3" s="1"/>
  <c r="I94" i="3"/>
  <c r="Q94" i="3" s="1"/>
  <c r="I95" i="3"/>
  <c r="I96" i="3"/>
  <c r="Q96" i="3" s="1"/>
  <c r="I97" i="3"/>
  <c r="Q97" i="3" s="1"/>
  <c r="I92" i="3"/>
  <c r="I79" i="3"/>
  <c r="Q79" i="3" s="1"/>
  <c r="I80" i="3"/>
  <c r="Q80" i="3" s="1"/>
  <c r="I81" i="3"/>
  <c r="Q81" i="3" s="1"/>
  <c r="I82" i="3"/>
  <c r="Q82" i="3" s="1"/>
  <c r="I83" i="3"/>
  <c r="Q83" i="3" s="1"/>
  <c r="I78" i="3"/>
  <c r="I84" i="3" s="1"/>
  <c r="I86" i="3" s="1"/>
  <c r="I66" i="3"/>
  <c r="Q66" i="3" s="1"/>
  <c r="I67" i="3"/>
  <c r="Q67" i="3" s="1"/>
  <c r="I68" i="3"/>
  <c r="Q68" i="3" s="1"/>
  <c r="I69" i="3"/>
  <c r="Q69" i="3" s="1"/>
  <c r="I65" i="3"/>
  <c r="I58" i="3"/>
  <c r="Q58" i="3" s="1"/>
  <c r="I59" i="3"/>
  <c r="Q59" i="3" s="1"/>
  <c r="I60" i="3"/>
  <c r="Q60" i="3" s="1"/>
  <c r="I61" i="3"/>
  <c r="Q61" i="3" s="1"/>
  <c r="I57" i="3"/>
  <c r="I62" i="3" s="1"/>
  <c r="I51" i="3"/>
  <c r="I47" i="3"/>
  <c r="I40" i="3"/>
  <c r="Q40" i="3" s="1"/>
  <c r="I39" i="3"/>
  <c r="I32" i="3"/>
  <c r="Q32" i="3" s="1"/>
  <c r="I33" i="3"/>
  <c r="Q33" i="3" s="1"/>
  <c r="I34" i="3"/>
  <c r="Q34" i="3" s="1"/>
  <c r="I35" i="3"/>
  <c r="Q35" i="3" s="1"/>
  <c r="I31" i="3"/>
  <c r="I36" i="3" s="1"/>
  <c r="I24" i="3"/>
  <c r="Q24" i="3" s="1"/>
  <c r="I25" i="3"/>
  <c r="Q25" i="3" s="1"/>
  <c r="I26" i="3"/>
  <c r="Q26" i="3" s="1"/>
  <c r="I27" i="3"/>
  <c r="Q27" i="3" s="1"/>
  <c r="I23" i="3"/>
  <c r="I28" i="3" s="1"/>
  <c r="I16" i="3"/>
  <c r="Q16" i="3" s="1"/>
  <c r="I17" i="3"/>
  <c r="Q17" i="3" s="1"/>
  <c r="I18" i="3"/>
  <c r="Q18" i="3" s="1"/>
  <c r="I19" i="3"/>
  <c r="Q19" i="3" s="1"/>
  <c r="I15" i="3"/>
  <c r="I20" i="3" s="1"/>
  <c r="F33" i="10" l="1"/>
  <c r="G33" i="10"/>
  <c r="N32" i="10"/>
  <c r="O32" i="10"/>
  <c r="C34" i="10"/>
  <c r="B35" i="10"/>
  <c r="K33" i="10"/>
  <c r="K34" i="10"/>
  <c r="I124" i="3"/>
  <c r="Q118" i="3"/>
  <c r="Q124" i="3" s="1"/>
  <c r="U124" i="3" s="1"/>
  <c r="Q115" i="3"/>
  <c r="U115" i="3" s="1"/>
  <c r="U110" i="3" s="1"/>
  <c r="U112" i="3"/>
  <c r="U111" i="3"/>
  <c r="U109" i="3"/>
  <c r="I106" i="3"/>
  <c r="Q101" i="3"/>
  <c r="Q106" i="3" s="1"/>
  <c r="U106" i="3" s="1"/>
  <c r="I98" i="3"/>
  <c r="I126" i="3" s="1"/>
  <c r="Q95" i="3"/>
  <c r="I128" i="3"/>
  <c r="Q92" i="3"/>
  <c r="Q98" i="3" s="1"/>
  <c r="Q78" i="3"/>
  <c r="Q84" i="3" s="1"/>
  <c r="I70" i="3"/>
  <c r="Q65" i="3"/>
  <c r="Q70" i="3" s="1"/>
  <c r="U70" i="3" s="1"/>
  <c r="Q62" i="3"/>
  <c r="U62" i="3" s="1"/>
  <c r="U58" i="3" s="1"/>
  <c r="U60" i="3"/>
  <c r="U59" i="3"/>
  <c r="Q44" i="3"/>
  <c r="U44" i="3" s="1"/>
  <c r="U43" i="3" s="1"/>
  <c r="I44" i="3"/>
  <c r="U41" i="3"/>
  <c r="U40" i="3"/>
  <c r="U39" i="3"/>
  <c r="Q36" i="3"/>
  <c r="U36" i="3" s="1"/>
  <c r="U33" i="3" s="1"/>
  <c r="U35" i="3"/>
  <c r="U34" i="3"/>
  <c r="Q23" i="3"/>
  <c r="Q28" i="3" s="1"/>
  <c r="U28" i="3" s="1"/>
  <c r="Q15" i="3"/>
  <c r="Q20" i="3" s="1"/>
  <c r="U20" i="3" s="1"/>
  <c r="O33" i="10" l="1"/>
  <c r="N33" i="10"/>
  <c r="P33" i="10" s="1"/>
  <c r="G34" i="10"/>
  <c r="F34" i="10"/>
  <c r="H34" i="10" s="1"/>
  <c r="P32" i="10"/>
  <c r="N34" i="10"/>
  <c r="P34" i="10" s="1"/>
  <c r="O34" i="10"/>
  <c r="C35" i="10"/>
  <c r="B36" i="10"/>
  <c r="H33" i="10"/>
  <c r="U120" i="3"/>
  <c r="U122" i="3"/>
  <c r="U118" i="3"/>
  <c r="U119" i="3"/>
  <c r="U121" i="3"/>
  <c r="U123" i="3"/>
  <c r="U113" i="3"/>
  <c r="U114" i="3"/>
  <c r="U102" i="3"/>
  <c r="U104" i="3"/>
  <c r="U101" i="3"/>
  <c r="U103" i="3"/>
  <c r="U105" i="3"/>
  <c r="Q126" i="3"/>
  <c r="U98" i="3"/>
  <c r="Q86" i="3"/>
  <c r="Q128" i="3" s="1"/>
  <c r="U84" i="3"/>
  <c r="U66" i="3"/>
  <c r="U68" i="3"/>
  <c r="U65" i="3"/>
  <c r="U67" i="3"/>
  <c r="U69" i="3"/>
  <c r="U61" i="3"/>
  <c r="U57" i="3"/>
  <c r="U42" i="3"/>
  <c r="U31" i="3"/>
  <c r="U32" i="3"/>
  <c r="U24" i="3"/>
  <c r="U26" i="3"/>
  <c r="U23" i="3"/>
  <c r="U25" i="3"/>
  <c r="U27" i="3"/>
  <c r="U17" i="3"/>
  <c r="U19" i="3"/>
  <c r="U16" i="3"/>
  <c r="U18" i="3"/>
  <c r="U15" i="3"/>
  <c r="Q33" i="4"/>
  <c r="Q32" i="4"/>
  <c r="Q31" i="4"/>
  <c r="Q30" i="4"/>
  <c r="Q29" i="4"/>
  <c r="Q28" i="4"/>
  <c r="Q26" i="4"/>
  <c r="Q24" i="4"/>
  <c r="Q23" i="4"/>
  <c r="Q22" i="4"/>
  <c r="Q21" i="4"/>
  <c r="Q20" i="4"/>
  <c r="Q19" i="4"/>
  <c r="Q17" i="4"/>
  <c r="Q15" i="4"/>
  <c r="Q14" i="4"/>
  <c r="Q13" i="4"/>
  <c r="O15" i="4"/>
  <c r="O14" i="4"/>
  <c r="O13" i="4"/>
  <c r="O10" i="4"/>
  <c r="Q10" i="4" s="1"/>
  <c r="Q9" i="4"/>
  <c r="O35" i="4"/>
  <c r="O33" i="4"/>
  <c r="O32" i="4"/>
  <c r="O31" i="4"/>
  <c r="O30" i="4"/>
  <c r="O29" i="4"/>
  <c r="O28" i="4"/>
  <c r="O26" i="4"/>
  <c r="O24" i="4"/>
  <c r="O23" i="4"/>
  <c r="O22" i="4"/>
  <c r="O21" i="4"/>
  <c r="O20" i="4"/>
  <c r="O19" i="4"/>
  <c r="O9" i="4"/>
  <c r="F35" i="10" l="1"/>
  <c r="G35" i="10"/>
  <c r="C36" i="10"/>
  <c r="B37" i="10"/>
  <c r="K35" i="10"/>
  <c r="K36" i="10"/>
  <c r="U93" i="3"/>
  <c r="U95" i="3"/>
  <c r="U97" i="3"/>
  <c r="U94" i="3"/>
  <c r="U96" i="3"/>
  <c r="U92" i="3"/>
  <c r="U79" i="3"/>
  <c r="U81" i="3"/>
  <c r="U83" i="3"/>
  <c r="U80" i="3"/>
  <c r="U82" i="3"/>
  <c r="U78" i="3"/>
  <c r="O17" i="4"/>
  <c r="I35" i="4"/>
  <c r="I26" i="4"/>
  <c r="I17" i="4"/>
  <c r="N36" i="10" l="1"/>
  <c r="O36" i="10"/>
  <c r="O35" i="10"/>
  <c r="N35" i="10"/>
  <c r="P35" i="10" s="1"/>
  <c r="G36" i="10"/>
  <c r="F36" i="10"/>
  <c r="H36" i="10" s="1"/>
  <c r="K37" i="10"/>
  <c r="C37" i="10"/>
  <c r="B38" i="10"/>
  <c r="H35" i="10"/>
  <c r="C38" i="10" l="1"/>
  <c r="B39" i="10"/>
  <c r="O37" i="10"/>
  <c r="N37" i="10"/>
  <c r="P37" i="10" s="1"/>
  <c r="F37" i="10"/>
  <c r="G37" i="10"/>
  <c r="K38" i="10"/>
  <c r="P36" i="10"/>
  <c r="N38" i="10" l="1"/>
  <c r="P38" i="10" s="1"/>
  <c r="O38" i="10"/>
  <c r="C39" i="10"/>
  <c r="B40" i="10"/>
  <c r="H37" i="10"/>
  <c r="G38" i="10"/>
  <c r="F38" i="10"/>
  <c r="H38" i="10" s="1"/>
  <c r="W343" i="1"/>
  <c r="Y343" i="1" s="1"/>
  <c r="W342" i="1"/>
  <c r="Y342" i="1" s="1"/>
  <c r="W341" i="1"/>
  <c r="Y341" i="1" s="1"/>
  <c r="W340" i="1"/>
  <c r="Y340" i="1" s="1"/>
  <c r="W339" i="1"/>
  <c r="Y339" i="1" s="1"/>
  <c r="W338" i="1"/>
  <c r="Y338" i="1" s="1"/>
  <c r="W337" i="1"/>
  <c r="Y337" i="1" s="1"/>
  <c r="W336" i="1"/>
  <c r="Y336" i="1" s="1"/>
  <c r="W335" i="1"/>
  <c r="Y335" i="1" s="1"/>
  <c r="W334" i="1"/>
  <c r="Y334" i="1" s="1"/>
  <c r="W333" i="1"/>
  <c r="Y333" i="1" s="1"/>
  <c r="W332" i="1"/>
  <c r="Y332" i="1" s="1"/>
  <c r="W331" i="1"/>
  <c r="W324" i="1"/>
  <c r="Y324" i="1" s="1"/>
  <c r="W323" i="1"/>
  <c r="Y323" i="1" s="1"/>
  <c r="W322" i="1"/>
  <c r="Y322" i="1" s="1"/>
  <c r="W321" i="1"/>
  <c r="Y321" i="1" s="1"/>
  <c r="W320" i="1"/>
  <c r="Y320" i="1" s="1"/>
  <c r="W319" i="1"/>
  <c r="Y319" i="1" s="1"/>
  <c r="W318" i="1"/>
  <c r="Y318" i="1" s="1"/>
  <c r="W317" i="1"/>
  <c r="Y317" i="1" s="1"/>
  <c r="W316" i="1"/>
  <c r="Y316" i="1" s="1"/>
  <c r="W315" i="1"/>
  <c r="Y315" i="1" s="1"/>
  <c r="W314" i="1"/>
  <c r="Y314" i="1" s="1"/>
  <c r="W313" i="1"/>
  <c r="W306" i="1"/>
  <c r="Y306" i="1" s="1"/>
  <c r="W305" i="1"/>
  <c r="Y305" i="1" s="1"/>
  <c r="W304" i="1"/>
  <c r="Y304" i="1" s="1"/>
  <c r="W303" i="1"/>
  <c r="Y303" i="1" s="1"/>
  <c r="W302" i="1"/>
  <c r="Y302" i="1" s="1"/>
  <c r="W301" i="1"/>
  <c r="Y301" i="1" s="1"/>
  <c r="W300" i="1"/>
  <c r="Y300" i="1" s="1"/>
  <c r="W299" i="1"/>
  <c r="Y299" i="1" s="1"/>
  <c r="W298" i="1"/>
  <c r="Y298" i="1" s="1"/>
  <c r="W297" i="1"/>
  <c r="W288" i="1"/>
  <c r="Y288" i="1" s="1"/>
  <c r="W287" i="1"/>
  <c r="Y287" i="1" s="1"/>
  <c r="W286" i="1"/>
  <c r="Y286" i="1" s="1"/>
  <c r="W285" i="1"/>
  <c r="Y285" i="1" s="1"/>
  <c r="W284" i="1"/>
  <c r="Y284" i="1" s="1"/>
  <c r="W283" i="1"/>
  <c r="Y283" i="1" s="1"/>
  <c r="W282" i="1"/>
  <c r="Y282" i="1" s="1"/>
  <c r="W281" i="1"/>
  <c r="Y281" i="1" s="1"/>
  <c r="W280" i="1"/>
  <c r="Y280" i="1" s="1"/>
  <c r="W279" i="1"/>
  <c r="Y279" i="1" s="1"/>
  <c r="W278" i="1"/>
  <c r="Y278" i="1" s="1"/>
  <c r="W277" i="1"/>
  <c r="Y277" i="1" s="1"/>
  <c r="W276" i="1"/>
  <c r="Y276" i="1" s="1"/>
  <c r="W275" i="1"/>
  <c r="W270" i="1"/>
  <c r="Y270" i="1" s="1"/>
  <c r="W269" i="1"/>
  <c r="Y269" i="1" s="1"/>
  <c r="W268" i="1"/>
  <c r="Y268" i="1" s="1"/>
  <c r="W267" i="1"/>
  <c r="Y267" i="1" s="1"/>
  <c r="W266" i="1"/>
  <c r="Y266" i="1" s="1"/>
  <c r="W265" i="1"/>
  <c r="Y265" i="1" s="1"/>
  <c r="W264" i="1"/>
  <c r="Y264" i="1" s="1"/>
  <c r="W263" i="1"/>
  <c r="Y263" i="1" s="1"/>
  <c r="W262" i="1"/>
  <c r="Y262" i="1" s="1"/>
  <c r="W261" i="1"/>
  <c r="Y261" i="1" s="1"/>
  <c r="W260" i="1"/>
  <c r="Y260" i="1" s="1"/>
  <c r="W259" i="1"/>
  <c r="Y259" i="1" s="1"/>
  <c r="W258" i="1"/>
  <c r="Y258" i="1" s="1"/>
  <c r="W257" i="1"/>
  <c r="Y257" i="1" s="1"/>
  <c r="W256" i="1"/>
  <c r="W251" i="1"/>
  <c r="Y251" i="1" s="1"/>
  <c r="W250" i="1"/>
  <c r="Y250" i="1" s="1"/>
  <c r="W249" i="1"/>
  <c r="Y249" i="1" s="1"/>
  <c r="W248" i="1"/>
  <c r="Y248" i="1" s="1"/>
  <c r="W247" i="1"/>
  <c r="Y247" i="1" s="1"/>
  <c r="W246" i="1"/>
  <c r="Y246" i="1" s="1"/>
  <c r="W245" i="1"/>
  <c r="Y245" i="1" s="1"/>
  <c r="W244" i="1"/>
  <c r="Y244" i="1" s="1"/>
  <c r="W243" i="1"/>
  <c r="Y243" i="1" s="1"/>
  <c r="W242" i="1"/>
  <c r="Y242" i="1" s="1"/>
  <c r="W241" i="1"/>
  <c r="Y241" i="1" s="1"/>
  <c r="W240" i="1"/>
  <c r="Y240" i="1" s="1"/>
  <c r="W239" i="1"/>
  <c r="Y239" i="1" s="1"/>
  <c r="W238" i="1"/>
  <c r="Y238" i="1" s="1"/>
  <c r="W237" i="1"/>
  <c r="W232" i="1"/>
  <c r="Y232" i="1" s="1"/>
  <c r="W231" i="1"/>
  <c r="Y231" i="1" s="1"/>
  <c r="W230" i="1"/>
  <c r="Y230" i="1" s="1"/>
  <c r="W229" i="1"/>
  <c r="Y229" i="1" s="1"/>
  <c r="W228" i="1"/>
  <c r="Y228" i="1" s="1"/>
  <c r="W227" i="1"/>
  <c r="Y227" i="1" s="1"/>
  <c r="W226" i="1"/>
  <c r="Y226" i="1" s="1"/>
  <c r="W225" i="1"/>
  <c r="Y225" i="1" s="1"/>
  <c r="W224" i="1"/>
  <c r="Y224" i="1" s="1"/>
  <c r="W223" i="1"/>
  <c r="Y223" i="1" s="1"/>
  <c r="W222" i="1"/>
  <c r="Y222" i="1" s="1"/>
  <c r="W221" i="1"/>
  <c r="Y221" i="1" s="1"/>
  <c r="W220" i="1"/>
  <c r="Y220" i="1" s="1"/>
  <c r="W219" i="1"/>
  <c r="W214" i="1"/>
  <c r="Y214" i="1" s="1"/>
  <c r="W213" i="1"/>
  <c r="Y213" i="1" s="1"/>
  <c r="W212" i="1"/>
  <c r="Y212" i="1" s="1"/>
  <c r="W211" i="1"/>
  <c r="Y211" i="1" s="1"/>
  <c r="W210" i="1"/>
  <c r="Y210" i="1" s="1"/>
  <c r="W209" i="1"/>
  <c r="Y209" i="1" s="1"/>
  <c r="W208" i="1"/>
  <c r="Y208" i="1" s="1"/>
  <c r="W207" i="1"/>
  <c r="Y207" i="1" s="1"/>
  <c r="W206" i="1"/>
  <c r="Y206" i="1" s="1"/>
  <c r="W205" i="1"/>
  <c r="Y205" i="1" s="1"/>
  <c r="W204" i="1"/>
  <c r="Y204" i="1" s="1"/>
  <c r="W203" i="1"/>
  <c r="Y203" i="1" s="1"/>
  <c r="W202" i="1"/>
  <c r="Y202" i="1" s="1"/>
  <c r="W201" i="1"/>
  <c r="Y201" i="1" s="1"/>
  <c r="W200" i="1"/>
  <c r="Y200" i="1" s="1"/>
  <c r="W199" i="1"/>
  <c r="Y199" i="1" s="1"/>
  <c r="W198" i="1"/>
  <c r="Y198" i="1" s="1"/>
  <c r="W193" i="1"/>
  <c r="Y193" i="1" s="1"/>
  <c r="W192" i="1"/>
  <c r="Y192" i="1" s="1"/>
  <c r="W191" i="1"/>
  <c r="Y191" i="1" s="1"/>
  <c r="W190" i="1"/>
  <c r="Y190" i="1" s="1"/>
  <c r="W189" i="1"/>
  <c r="Y189" i="1" s="1"/>
  <c r="W188" i="1"/>
  <c r="Y188" i="1" s="1"/>
  <c r="W187" i="1"/>
  <c r="Y187" i="1" s="1"/>
  <c r="W186" i="1"/>
  <c r="Y186" i="1" s="1"/>
  <c r="W185" i="1"/>
  <c r="Y185" i="1" s="1"/>
  <c r="W184" i="1"/>
  <c r="Y184" i="1" s="1"/>
  <c r="W183" i="1"/>
  <c r="Y183" i="1" s="1"/>
  <c r="W182" i="1"/>
  <c r="Y182" i="1" s="1"/>
  <c r="W181" i="1"/>
  <c r="Y181" i="1" s="1"/>
  <c r="W180" i="1"/>
  <c r="Y180" i="1" s="1"/>
  <c r="W179" i="1"/>
  <c r="Y179" i="1" s="1"/>
  <c r="W174" i="1"/>
  <c r="W164" i="1"/>
  <c r="Y164" i="1" s="1"/>
  <c r="W159" i="1"/>
  <c r="Y159" i="1" s="1"/>
  <c r="W154" i="1"/>
  <c r="Y154" i="1" s="1"/>
  <c r="W149" i="1"/>
  <c r="Y149" i="1" s="1"/>
  <c r="W144" i="1"/>
  <c r="Y144" i="1" s="1"/>
  <c r="W139" i="1"/>
  <c r="Y139" i="1" s="1"/>
  <c r="W134" i="1"/>
  <c r="Y134" i="1" s="1"/>
  <c r="W125" i="1"/>
  <c r="Y125" i="1" s="1"/>
  <c r="W124" i="1"/>
  <c r="Y124" i="1" s="1"/>
  <c r="W123" i="1"/>
  <c r="Y123" i="1" s="1"/>
  <c r="W122" i="1"/>
  <c r="Y122" i="1" s="1"/>
  <c r="W121" i="1"/>
  <c r="Y121" i="1" s="1"/>
  <c r="W120" i="1"/>
  <c r="Y120" i="1" s="1"/>
  <c r="W119" i="1"/>
  <c r="Y119" i="1" s="1"/>
  <c r="W118" i="1"/>
  <c r="Y118" i="1" s="1"/>
  <c r="W117" i="1"/>
  <c r="Y117" i="1" s="1"/>
  <c r="W116" i="1"/>
  <c r="Y116" i="1" s="1"/>
  <c r="W115" i="1"/>
  <c r="Y115" i="1" s="1"/>
  <c r="W114" i="1"/>
  <c r="Y114" i="1" s="1"/>
  <c r="W113" i="1"/>
  <c r="Y113" i="1" s="1"/>
  <c r="W112" i="1"/>
  <c r="Y112" i="1" s="1"/>
  <c r="W111" i="1"/>
  <c r="Y111" i="1" s="1"/>
  <c r="W106" i="1"/>
  <c r="Y106" i="1" s="1"/>
  <c r="W105" i="1"/>
  <c r="Y105" i="1" s="1"/>
  <c r="W104" i="1"/>
  <c r="Y104" i="1" s="1"/>
  <c r="W103" i="1"/>
  <c r="Y103" i="1" s="1"/>
  <c r="W102" i="1"/>
  <c r="Y102" i="1" s="1"/>
  <c r="W101" i="1"/>
  <c r="Y101" i="1" s="1"/>
  <c r="W100" i="1"/>
  <c r="Y100" i="1" s="1"/>
  <c r="W99" i="1"/>
  <c r="Y99" i="1" s="1"/>
  <c r="W98" i="1"/>
  <c r="Y98" i="1" s="1"/>
  <c r="W97" i="1"/>
  <c r="Y97" i="1" s="1"/>
  <c r="W96" i="1"/>
  <c r="Y96" i="1" s="1"/>
  <c r="W95" i="1"/>
  <c r="Y95" i="1" s="1"/>
  <c r="W94" i="1"/>
  <c r="Y94" i="1" s="1"/>
  <c r="W93" i="1"/>
  <c r="Y93" i="1" s="1"/>
  <c r="W92" i="1"/>
  <c r="Y92" i="1" s="1"/>
  <c r="W91" i="1"/>
  <c r="Y91" i="1" s="1"/>
  <c r="W90" i="1"/>
  <c r="Y90" i="1" s="1"/>
  <c r="W89" i="1"/>
  <c r="Y89" i="1" s="1"/>
  <c r="W84" i="1"/>
  <c r="Y84" i="1" s="1"/>
  <c r="W83" i="1"/>
  <c r="Y83" i="1" s="1"/>
  <c r="W82" i="1"/>
  <c r="Y82" i="1" s="1"/>
  <c r="W81" i="1"/>
  <c r="Y81" i="1" s="1"/>
  <c r="W80" i="1"/>
  <c r="Y80" i="1" s="1"/>
  <c r="W79" i="1"/>
  <c r="Y79" i="1" s="1"/>
  <c r="W78" i="1"/>
  <c r="Y78" i="1" s="1"/>
  <c r="W77" i="1"/>
  <c r="Y77" i="1" s="1"/>
  <c r="W76" i="1"/>
  <c r="Y76" i="1" s="1"/>
  <c r="W75" i="1"/>
  <c r="Y75" i="1" s="1"/>
  <c r="W74" i="1"/>
  <c r="Y74" i="1" s="1"/>
  <c r="W73" i="1"/>
  <c r="Y73" i="1" s="1"/>
  <c r="W68" i="1"/>
  <c r="Y68" i="1" s="1"/>
  <c r="W67" i="1"/>
  <c r="Y67" i="1" s="1"/>
  <c r="W66" i="1"/>
  <c r="Y66" i="1" s="1"/>
  <c r="W65" i="1"/>
  <c r="Y65" i="1" s="1"/>
  <c r="W64" i="1"/>
  <c r="Y64" i="1" s="1"/>
  <c r="W63" i="1"/>
  <c r="Y63" i="1" s="1"/>
  <c r="W62" i="1"/>
  <c r="Y62" i="1" s="1"/>
  <c r="W61" i="1"/>
  <c r="Y61" i="1" s="1"/>
  <c r="W60" i="1"/>
  <c r="Y60" i="1" s="1"/>
  <c r="W59" i="1"/>
  <c r="Y59" i="1" s="1"/>
  <c r="W58" i="1"/>
  <c r="Y58" i="1" s="1"/>
  <c r="W57" i="1"/>
  <c r="Y57" i="1" s="1"/>
  <c r="W56" i="1"/>
  <c r="Y56" i="1" s="1"/>
  <c r="W55" i="1"/>
  <c r="Y55" i="1" s="1"/>
  <c r="W54" i="1"/>
  <c r="Y54" i="1" s="1"/>
  <c r="W53" i="1"/>
  <c r="Y53" i="1" s="1"/>
  <c r="W52" i="1"/>
  <c r="Y52" i="1" s="1"/>
  <c r="W51" i="1"/>
  <c r="Y51" i="1" s="1"/>
  <c r="W50" i="1"/>
  <c r="Y50" i="1" s="1"/>
  <c r="W49" i="1"/>
  <c r="Y49" i="1" s="1"/>
  <c r="W44" i="1"/>
  <c r="Y44" i="1" s="1"/>
  <c r="W43" i="1"/>
  <c r="Y43" i="1" s="1"/>
  <c r="W42" i="1"/>
  <c r="Y42" i="1" s="1"/>
  <c r="W41" i="1"/>
  <c r="Y41" i="1" s="1"/>
  <c r="W40" i="1"/>
  <c r="Y40" i="1" s="1"/>
  <c r="W39" i="1"/>
  <c r="Y39" i="1" s="1"/>
  <c r="W38" i="1"/>
  <c r="Y38" i="1" s="1"/>
  <c r="W37" i="1"/>
  <c r="Y37" i="1" s="1"/>
  <c r="W36" i="1"/>
  <c r="Y36" i="1" s="1"/>
  <c r="W35" i="1"/>
  <c r="Y35" i="1" s="1"/>
  <c r="W34" i="1"/>
  <c r="Y34" i="1" s="1"/>
  <c r="W33" i="1"/>
  <c r="Y33" i="1" s="1"/>
  <c r="W32" i="1"/>
  <c r="Y32" i="1" s="1"/>
  <c r="W31" i="1"/>
  <c r="Y31" i="1" s="1"/>
  <c r="W30" i="1"/>
  <c r="Y30" i="1" s="1"/>
  <c r="W29" i="1"/>
  <c r="Y29" i="1" s="1"/>
  <c r="W28" i="1"/>
  <c r="Y28" i="1" s="1"/>
  <c r="W27" i="1"/>
  <c r="Y27" i="1" s="1"/>
  <c r="W26" i="1"/>
  <c r="Y26" i="1" s="1"/>
  <c r="W17" i="1"/>
  <c r="Y17" i="1" s="1"/>
  <c r="W18" i="1"/>
  <c r="Y18" i="1" s="1"/>
  <c r="W16" i="1"/>
  <c r="Y16" i="1" s="1"/>
  <c r="K40" i="10" l="1"/>
  <c r="C40" i="10"/>
  <c r="B41" i="10"/>
  <c r="F39" i="10"/>
  <c r="G39" i="10"/>
  <c r="K39" i="10"/>
  <c r="Y174" i="1"/>
  <c r="W176" i="1"/>
  <c r="Y219" i="1"/>
  <c r="W234" i="1"/>
  <c r="Y237" i="1"/>
  <c r="W253" i="1"/>
  <c r="Y256" i="1"/>
  <c r="W272" i="1"/>
  <c r="Y275" i="1"/>
  <c r="W290" i="1"/>
  <c r="Y297" i="1"/>
  <c r="W308" i="1"/>
  <c r="Y313" i="1"/>
  <c r="W326" i="1"/>
  <c r="Y331" i="1"/>
  <c r="W345" i="1"/>
  <c r="W20" i="1"/>
  <c r="W46" i="1"/>
  <c r="W129" i="1" s="1"/>
  <c r="W70" i="1"/>
  <c r="W86" i="1"/>
  <c r="W108" i="1"/>
  <c r="W127" i="1"/>
  <c r="W136" i="1"/>
  <c r="W168" i="1" s="1"/>
  <c r="W141" i="1"/>
  <c r="W146" i="1"/>
  <c r="W151" i="1"/>
  <c r="W156" i="1"/>
  <c r="W161" i="1"/>
  <c r="W166" i="1"/>
  <c r="W195" i="1"/>
  <c r="W216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06" i="1"/>
  <c r="Q305" i="1"/>
  <c r="Q304" i="1"/>
  <c r="Q303" i="1"/>
  <c r="Q302" i="1"/>
  <c r="Q301" i="1"/>
  <c r="Q300" i="1"/>
  <c r="Q299" i="1"/>
  <c r="Q298" i="1"/>
  <c r="Q297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4" i="1"/>
  <c r="Q164" i="1"/>
  <c r="Q159" i="1"/>
  <c r="Q154" i="1"/>
  <c r="Q149" i="1"/>
  <c r="Q144" i="1"/>
  <c r="Q139" i="1"/>
  <c r="Q134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4" i="1"/>
  <c r="Q83" i="1"/>
  <c r="Q82" i="1"/>
  <c r="Q81" i="1"/>
  <c r="Q80" i="1"/>
  <c r="Q79" i="1"/>
  <c r="Q78" i="1"/>
  <c r="Q77" i="1"/>
  <c r="Q76" i="1"/>
  <c r="Q75" i="1"/>
  <c r="Q74" i="1"/>
  <c r="Q73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18" i="1"/>
  <c r="Q17" i="1"/>
  <c r="Q16" i="1"/>
  <c r="S343" i="1"/>
  <c r="Q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06" i="1"/>
  <c r="S305" i="1"/>
  <c r="S304" i="1"/>
  <c r="S303" i="1"/>
  <c r="S302" i="1"/>
  <c r="S301" i="1"/>
  <c r="S300" i="1"/>
  <c r="S299" i="1"/>
  <c r="S298" i="1"/>
  <c r="S297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4" i="1"/>
  <c r="S164" i="1"/>
  <c r="S159" i="1"/>
  <c r="S154" i="1"/>
  <c r="S149" i="1"/>
  <c r="S144" i="1"/>
  <c r="S139" i="1"/>
  <c r="S134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4" i="1"/>
  <c r="S83" i="1"/>
  <c r="S82" i="1"/>
  <c r="S81" i="1"/>
  <c r="S80" i="1"/>
  <c r="S79" i="1"/>
  <c r="S78" i="1"/>
  <c r="S77" i="1"/>
  <c r="S76" i="1"/>
  <c r="S75" i="1"/>
  <c r="S74" i="1"/>
  <c r="S73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18" i="1"/>
  <c r="S17" i="1"/>
  <c r="S16" i="1"/>
  <c r="H39" i="10" l="1"/>
  <c r="G40" i="10"/>
  <c r="F40" i="10"/>
  <c r="H40" i="10" s="1"/>
  <c r="O39" i="10"/>
  <c r="N39" i="10"/>
  <c r="C41" i="10"/>
  <c r="B42" i="10"/>
  <c r="N40" i="10"/>
  <c r="P40" i="10" s="1"/>
  <c r="O40" i="10"/>
  <c r="W292" i="1"/>
  <c r="W347" i="1" s="1"/>
  <c r="M20" i="1"/>
  <c r="I20" i="1"/>
  <c r="O20" i="1"/>
  <c r="Y20" i="1" s="1"/>
  <c r="K20" i="1"/>
  <c r="F41" i="10" l="1"/>
  <c r="G41" i="10"/>
  <c r="K41" i="10"/>
  <c r="C42" i="10"/>
  <c r="B43" i="10"/>
  <c r="P39" i="10"/>
  <c r="Q20" i="1"/>
  <c r="G42" i="10" l="1"/>
  <c r="F42" i="10"/>
  <c r="H41" i="10"/>
  <c r="K42" i="10"/>
  <c r="C43" i="10"/>
  <c r="B44" i="10"/>
  <c r="O41" i="10"/>
  <c r="N41" i="10"/>
  <c r="P41" i="10" s="1"/>
  <c r="K43" i="10"/>
  <c r="M166" i="1"/>
  <c r="M161" i="1"/>
  <c r="M156" i="1"/>
  <c r="I156" i="1"/>
  <c r="M151" i="1"/>
  <c r="I151" i="1"/>
  <c r="M146" i="1"/>
  <c r="I146" i="1"/>
  <c r="M141" i="1"/>
  <c r="I141" i="1"/>
  <c r="B45" i="10" l="1"/>
  <c r="C44" i="10"/>
  <c r="N42" i="10"/>
  <c r="P42" i="10" s="1"/>
  <c r="O42" i="10"/>
  <c r="O43" i="10"/>
  <c r="N43" i="10"/>
  <c r="F43" i="10"/>
  <c r="H43" i="10" s="1"/>
  <c r="G43" i="10"/>
  <c r="H42" i="10"/>
  <c r="K151" i="1"/>
  <c r="O156" i="1"/>
  <c r="Y156" i="1" s="1"/>
  <c r="K156" i="1"/>
  <c r="O141" i="1"/>
  <c r="Y141" i="1" s="1"/>
  <c r="O326" i="1"/>
  <c r="Y326" i="1" s="1"/>
  <c r="K146" i="1"/>
  <c r="O151" i="1"/>
  <c r="Y151" i="1" s="1"/>
  <c r="O166" i="1"/>
  <c r="Y166" i="1" s="1"/>
  <c r="K141" i="1"/>
  <c r="O146" i="1"/>
  <c r="Y146" i="1" s="1"/>
  <c r="O161" i="1"/>
  <c r="Y161" i="1" s="1"/>
  <c r="O253" i="1"/>
  <c r="Y253" i="1" s="1"/>
  <c r="O290" i="1"/>
  <c r="Y290" i="1" s="1"/>
  <c r="M195" i="1"/>
  <c r="O195" i="1"/>
  <c r="Y195" i="1" s="1"/>
  <c r="M272" i="1"/>
  <c r="I234" i="1"/>
  <c r="I253" i="1"/>
  <c r="I290" i="1"/>
  <c r="I195" i="1"/>
  <c r="O234" i="1"/>
  <c r="Y234" i="1" s="1"/>
  <c r="O272" i="1"/>
  <c r="Y272" i="1" s="1"/>
  <c r="K195" i="1"/>
  <c r="K253" i="1"/>
  <c r="K234" i="1"/>
  <c r="K272" i="1"/>
  <c r="M234" i="1"/>
  <c r="M253" i="1"/>
  <c r="K290" i="1"/>
  <c r="K216" i="1"/>
  <c r="I272" i="1"/>
  <c r="M326" i="1"/>
  <c r="O108" i="1"/>
  <c r="Y108" i="1" s="1"/>
  <c r="I216" i="1"/>
  <c r="M308" i="1"/>
  <c r="K86" i="1"/>
  <c r="I326" i="1"/>
  <c r="I70" i="1"/>
  <c r="I127" i="1"/>
  <c r="I161" i="1"/>
  <c r="I166" i="1"/>
  <c r="K161" i="1"/>
  <c r="K166" i="1"/>
  <c r="O308" i="1"/>
  <c r="Y308" i="1" s="1"/>
  <c r="K326" i="1"/>
  <c r="K345" i="1"/>
  <c r="M86" i="1"/>
  <c r="I308" i="1"/>
  <c r="M345" i="1"/>
  <c r="O86" i="1"/>
  <c r="Y86" i="1" s="1"/>
  <c r="K308" i="1"/>
  <c r="O345" i="1"/>
  <c r="Y345" i="1" s="1"/>
  <c r="K127" i="1"/>
  <c r="M70" i="1"/>
  <c r="M127" i="1"/>
  <c r="M216" i="1"/>
  <c r="O70" i="1"/>
  <c r="Y70" i="1" s="1"/>
  <c r="K108" i="1"/>
  <c r="O127" i="1"/>
  <c r="Y127" i="1" s="1"/>
  <c r="O216" i="1"/>
  <c r="Y216" i="1" s="1"/>
  <c r="M290" i="1"/>
  <c r="I359" i="1"/>
  <c r="K70" i="1"/>
  <c r="I108" i="1"/>
  <c r="I86" i="1"/>
  <c r="M108" i="1"/>
  <c r="I345" i="1"/>
  <c r="K46" i="1"/>
  <c r="I136" i="1"/>
  <c r="K176" i="1"/>
  <c r="M46" i="1"/>
  <c r="I46" i="1"/>
  <c r="K136" i="1"/>
  <c r="M176" i="1"/>
  <c r="O136" i="1"/>
  <c r="Y136" i="1" s="1"/>
  <c r="O46" i="1"/>
  <c r="Y46" i="1" s="1"/>
  <c r="I176" i="1"/>
  <c r="M136" i="1"/>
  <c r="M168" i="1" s="1"/>
  <c r="O176" i="1"/>
  <c r="P43" i="10" l="1"/>
  <c r="F44" i="10"/>
  <c r="G44" i="10"/>
  <c r="K44" i="10"/>
  <c r="C45" i="10"/>
  <c r="B46" i="10"/>
  <c r="Q166" i="1"/>
  <c r="S166" i="1"/>
  <c r="Q176" i="1"/>
  <c r="S176" i="1"/>
  <c r="Q272" i="1"/>
  <c r="S272" i="1"/>
  <c r="Q234" i="1"/>
  <c r="S234" i="1"/>
  <c r="Q290" i="1"/>
  <c r="S290" i="1"/>
  <c r="S161" i="1"/>
  <c r="Q161" i="1"/>
  <c r="Q151" i="1"/>
  <c r="S151" i="1"/>
  <c r="Q46" i="1"/>
  <c r="S46" i="1"/>
  <c r="S141" i="1"/>
  <c r="Q141" i="1"/>
  <c r="Q127" i="1"/>
  <c r="S127" i="1"/>
  <c r="Q86" i="1"/>
  <c r="S86" i="1"/>
  <c r="S146" i="1"/>
  <c r="Q146" i="1"/>
  <c r="Q156" i="1"/>
  <c r="S156" i="1"/>
  <c r="Q195" i="1"/>
  <c r="S195" i="1"/>
  <c r="Q216" i="1"/>
  <c r="S216" i="1"/>
  <c r="Q253" i="1"/>
  <c r="S253" i="1"/>
  <c r="Q136" i="1"/>
  <c r="S136" i="1"/>
  <c r="Q70" i="1"/>
  <c r="S70" i="1"/>
  <c r="Q108" i="1"/>
  <c r="S108" i="1"/>
  <c r="Q345" i="1"/>
  <c r="Q308" i="1"/>
  <c r="Q326" i="1"/>
  <c r="M129" i="1"/>
  <c r="K129" i="1"/>
  <c r="O168" i="1"/>
  <c r="Y168" i="1" s="1"/>
  <c r="K168" i="1"/>
  <c r="I129" i="1"/>
  <c r="I292" i="1"/>
  <c r="I168" i="1"/>
  <c r="K292" i="1"/>
  <c r="M292" i="1"/>
  <c r="O292" i="1"/>
  <c r="Y292" i="1" s="1"/>
  <c r="O129" i="1"/>
  <c r="Y129" i="1" s="1"/>
  <c r="C46" i="10" l="1"/>
  <c r="B47" i="10"/>
  <c r="F45" i="10"/>
  <c r="G45" i="10"/>
  <c r="K45" i="10"/>
  <c r="K46" i="10"/>
  <c r="H44" i="10"/>
  <c r="N44" i="10"/>
  <c r="P44" i="10" s="1"/>
  <c r="O44" i="10"/>
  <c r="Q292" i="1"/>
  <c r="Q129" i="1"/>
  <c r="Q168" i="1"/>
  <c r="K347" i="1"/>
  <c r="K361" i="1" s="1"/>
  <c r="M347" i="1"/>
  <c r="M361" i="1" s="1"/>
  <c r="O347" i="1"/>
  <c r="Y347" i="1" s="1"/>
  <c r="N46" i="10" l="1"/>
  <c r="P46" i="10" s="1"/>
  <c r="O46" i="10"/>
  <c r="H45" i="10"/>
  <c r="G46" i="10"/>
  <c r="F46" i="10"/>
  <c r="H46" i="10" s="1"/>
  <c r="O45" i="10"/>
  <c r="N45" i="10"/>
  <c r="K47" i="10"/>
  <c r="C47" i="10"/>
  <c r="B48" i="10"/>
  <c r="O361" i="1"/>
  <c r="Q347" i="1"/>
  <c r="I361" i="1"/>
  <c r="C48" i="10" l="1"/>
  <c r="B49" i="10"/>
  <c r="O47" i="10"/>
  <c r="N47" i="10"/>
  <c r="F47" i="10"/>
  <c r="G47" i="10"/>
  <c r="P45" i="10"/>
  <c r="K48" i="10"/>
  <c r="N48" i="10" l="1"/>
  <c r="P48" i="10" s="1"/>
  <c r="O48" i="10"/>
  <c r="H47" i="10"/>
  <c r="G48" i="10"/>
  <c r="F48" i="10"/>
  <c r="H48" i="10" s="1"/>
  <c r="P47" i="10"/>
  <c r="C49" i="10"/>
  <c r="B50" i="10"/>
  <c r="F49" i="10" l="1"/>
  <c r="G49" i="10"/>
  <c r="C50" i="10"/>
  <c r="B51" i="10"/>
  <c r="K50" i="10"/>
  <c r="K49" i="10"/>
  <c r="O49" i="10" l="1"/>
  <c r="N49" i="10"/>
  <c r="C51" i="10"/>
  <c r="B52" i="10"/>
  <c r="H49" i="10"/>
  <c r="N50" i="10"/>
  <c r="O50" i="10"/>
  <c r="G50" i="10"/>
  <c r="F50" i="10"/>
  <c r="H50" i="10" s="1"/>
  <c r="K51" i="10"/>
  <c r="O51" i="10" l="1"/>
  <c r="N51" i="10"/>
  <c r="F51" i="10"/>
  <c r="G51" i="10"/>
  <c r="P50" i="10"/>
  <c r="C52" i="10"/>
  <c r="B53" i="10"/>
  <c r="P49" i="10"/>
  <c r="H51" i="10" l="1"/>
  <c r="G52" i="10"/>
  <c r="F52" i="10"/>
  <c r="H52" i="10" s="1"/>
  <c r="K52" i="10"/>
  <c r="P51" i="10"/>
  <c r="C53" i="10"/>
  <c r="B54" i="10"/>
  <c r="F53" i="10" l="1"/>
  <c r="G53" i="10"/>
  <c r="K53" i="10"/>
  <c r="C54" i="10"/>
  <c r="B55" i="10"/>
  <c r="N52" i="10"/>
  <c r="P52" i="10" s="1"/>
  <c r="O52" i="10"/>
  <c r="G54" i="10" l="1"/>
  <c r="F54" i="10"/>
  <c r="O53" i="10"/>
  <c r="N53" i="10"/>
  <c r="P53" i="10" s="1"/>
  <c r="C55" i="10"/>
  <c r="B56" i="10"/>
  <c r="K54" i="10"/>
  <c r="H53" i="10"/>
  <c r="F55" i="10" l="1"/>
  <c r="G55" i="10"/>
  <c r="C56" i="10"/>
  <c r="B57" i="10"/>
  <c r="K55" i="10"/>
  <c r="H54" i="10"/>
  <c r="N54" i="10"/>
  <c r="O54" i="10"/>
  <c r="K56" i="10"/>
  <c r="C57" i="10" l="1"/>
  <c r="B58" i="10"/>
  <c r="N56" i="10"/>
  <c r="P56" i="10" s="1"/>
  <c r="O56" i="10"/>
  <c r="P54" i="10"/>
  <c r="O55" i="10"/>
  <c r="N55" i="10"/>
  <c r="P55" i="10" s="1"/>
  <c r="G56" i="10"/>
  <c r="F56" i="10"/>
  <c r="H56" i="10" s="1"/>
  <c r="K57" i="10"/>
  <c r="H55" i="10"/>
  <c r="F57" i="10" l="1"/>
  <c r="G57" i="10"/>
  <c r="C58" i="10"/>
  <c r="B59" i="10"/>
  <c r="O57" i="10"/>
  <c r="N57" i="10"/>
  <c r="G58" i="10" l="1"/>
  <c r="F58" i="10"/>
  <c r="H57" i="10"/>
  <c r="P57" i="10"/>
  <c r="C59" i="10"/>
  <c r="B60" i="10"/>
  <c r="K58" i="10"/>
  <c r="K59" i="10"/>
  <c r="C60" i="10" l="1"/>
  <c r="B61" i="10"/>
  <c r="N58" i="10"/>
  <c r="P58" i="10" s="1"/>
  <c r="O58" i="10"/>
  <c r="F59" i="10"/>
  <c r="G59" i="10"/>
  <c r="H58" i="10"/>
  <c r="O59" i="10"/>
  <c r="N59" i="10"/>
  <c r="H59" i="10" l="1"/>
  <c r="G60" i="10"/>
  <c r="F60" i="10"/>
  <c r="H60" i="10" s="1"/>
  <c r="K60" i="10"/>
  <c r="P59" i="10"/>
  <c r="K61" i="10"/>
  <c r="C61" i="10"/>
  <c r="B62" i="10"/>
  <c r="O61" i="10" l="1"/>
  <c r="N61" i="10"/>
  <c r="F61" i="10"/>
  <c r="G61" i="10"/>
  <c r="C62" i="10"/>
  <c r="B63" i="10"/>
  <c r="N60" i="10"/>
  <c r="P60" i="10" s="1"/>
  <c r="O60" i="10"/>
  <c r="G62" i="10" l="1"/>
  <c r="F62" i="10"/>
  <c r="H61" i="10"/>
  <c r="C63" i="10"/>
  <c r="B64" i="10"/>
  <c r="K62" i="10"/>
  <c r="P61" i="10"/>
  <c r="N62" i="10" l="1"/>
  <c r="P62" i="10" s="1"/>
  <c r="O62" i="10"/>
  <c r="F63" i="10"/>
  <c r="G63" i="10"/>
  <c r="K63" i="10"/>
  <c r="C64" i="10"/>
  <c r="B65" i="10"/>
  <c r="H62" i="10"/>
  <c r="C65" i="10" l="1"/>
  <c r="B66" i="10"/>
  <c r="H63" i="10"/>
  <c r="G64" i="10"/>
  <c r="F64" i="10"/>
  <c r="H64" i="10" s="1"/>
  <c r="K64" i="10"/>
  <c r="O63" i="10"/>
  <c r="N63" i="10"/>
  <c r="I15" i="8"/>
  <c r="N64" i="10" l="1"/>
  <c r="P64" i="10" s="1"/>
  <c r="O64" i="10"/>
  <c r="F65" i="10"/>
  <c r="G65" i="10"/>
  <c r="P63" i="10"/>
  <c r="K65" i="10"/>
  <c r="C66" i="10"/>
  <c r="B67" i="10"/>
  <c r="I17" i="8"/>
  <c r="I19" i="8" s="1"/>
  <c r="G66" i="10" l="1"/>
  <c r="F66" i="10"/>
  <c r="O65" i="10"/>
  <c r="N65" i="10"/>
  <c r="P65" i="10" s="1"/>
  <c r="H65" i="10"/>
  <c r="C67" i="10"/>
  <c r="K67" i="10" s="1"/>
  <c r="B68" i="10"/>
  <c r="K66" i="10"/>
  <c r="O67" i="10" l="1"/>
  <c r="N67" i="10"/>
  <c r="N66" i="10"/>
  <c r="P66" i="10" s="1"/>
  <c r="O66" i="10"/>
  <c r="K68" i="10"/>
  <c r="C68" i="10"/>
  <c r="B69" i="10"/>
  <c r="H66" i="10"/>
  <c r="F67" i="10"/>
  <c r="G67" i="10"/>
  <c r="C69" i="10" l="1"/>
  <c r="B70" i="10"/>
  <c r="G68" i="10"/>
  <c r="F68" i="10"/>
  <c r="P67" i="10"/>
  <c r="H67" i="10"/>
  <c r="N68" i="10"/>
  <c r="O68" i="10"/>
  <c r="F69" i="10" l="1"/>
  <c r="G69" i="10"/>
  <c r="K69" i="10"/>
  <c r="P68" i="10"/>
  <c r="H68" i="10"/>
  <c r="C70" i="10"/>
  <c r="B71" i="10"/>
  <c r="H69" i="10" l="1"/>
  <c r="C71" i="10"/>
  <c r="B72" i="10"/>
  <c r="O69" i="10"/>
  <c r="N69" i="10"/>
  <c r="G70" i="10"/>
  <c r="F70" i="10"/>
  <c r="K70" i="10"/>
  <c r="F71" i="10" l="1"/>
  <c r="G71" i="10"/>
  <c r="K71" i="10"/>
  <c r="N70" i="10"/>
  <c r="P70" i="10" s="1"/>
  <c r="O70" i="10"/>
  <c r="H70" i="10"/>
  <c r="P69" i="10"/>
  <c r="C72" i="10"/>
  <c r="B73" i="10"/>
  <c r="G72" i="10" l="1"/>
  <c r="F72" i="10"/>
  <c r="K72" i="10"/>
  <c r="H71" i="10"/>
  <c r="C73" i="10"/>
  <c r="B74" i="10"/>
  <c r="O71" i="10"/>
  <c r="N71" i="10"/>
  <c r="P71" i="10" s="1"/>
  <c r="K73" i="10"/>
  <c r="O73" i="10" l="1"/>
  <c r="N73" i="10"/>
  <c r="F73" i="10"/>
  <c r="G73" i="10"/>
  <c r="N72" i="10"/>
  <c r="O72" i="10"/>
  <c r="H72" i="10"/>
  <c r="C74" i="10"/>
  <c r="B75" i="10"/>
  <c r="G74" i="10" l="1"/>
  <c r="F74" i="10"/>
  <c r="K74" i="10"/>
  <c r="H73" i="10"/>
  <c r="C75" i="10"/>
  <c r="B76" i="10"/>
  <c r="P72" i="10"/>
  <c r="K75" i="10"/>
  <c r="P73" i="10"/>
  <c r="O75" i="10" l="1"/>
  <c r="N75" i="10"/>
  <c r="C76" i="10"/>
  <c r="B77" i="10"/>
  <c r="F75" i="10"/>
  <c r="H75" i="10" s="1"/>
  <c r="G75" i="10"/>
  <c r="N74" i="10"/>
  <c r="O74" i="10"/>
  <c r="H74" i="10"/>
  <c r="G76" i="10" l="1"/>
  <c r="F76" i="10"/>
  <c r="K76" i="10"/>
  <c r="P74" i="10"/>
  <c r="C77" i="10"/>
  <c r="B78" i="10"/>
  <c r="P75" i="10"/>
  <c r="F77" i="10" l="1"/>
  <c r="H77" i="10" s="1"/>
  <c r="G77" i="10"/>
  <c r="C78" i="10"/>
  <c r="B79" i="10"/>
  <c r="K77" i="10"/>
  <c r="N76" i="10"/>
  <c r="O76" i="10"/>
  <c r="H76" i="10"/>
  <c r="G78" i="10" l="1"/>
  <c r="F78" i="10"/>
  <c r="P76" i="10"/>
  <c r="C79" i="10"/>
  <c r="B80" i="10"/>
  <c r="K78" i="10"/>
  <c r="N77" i="10"/>
  <c r="P77" i="10" s="1"/>
  <c r="O77" i="10"/>
  <c r="C80" i="10" l="1"/>
  <c r="B81" i="10"/>
  <c r="N78" i="10"/>
  <c r="P78" i="10" s="1"/>
  <c r="O78" i="10"/>
  <c r="F79" i="10"/>
  <c r="G79" i="10"/>
  <c r="K79" i="10"/>
  <c r="H78" i="10"/>
  <c r="H79" i="10" l="1"/>
  <c r="G80" i="10"/>
  <c r="F80" i="10"/>
  <c r="H80" i="10" s="1"/>
  <c r="K80" i="10"/>
  <c r="O79" i="10"/>
  <c r="N79" i="10"/>
  <c r="P79" i="10" s="1"/>
  <c r="C81" i="10"/>
  <c r="B82" i="10"/>
  <c r="K82" i="10" l="1"/>
  <c r="C82" i="10"/>
  <c r="B83" i="10"/>
  <c r="K81" i="10"/>
  <c r="F81" i="10"/>
  <c r="G81" i="10"/>
  <c r="N80" i="10"/>
  <c r="O80" i="10"/>
  <c r="H81" i="10" l="1"/>
  <c r="C83" i="10"/>
  <c r="B84" i="10"/>
  <c r="N82" i="10"/>
  <c r="O82" i="10"/>
  <c r="P80" i="10"/>
  <c r="O81" i="10"/>
  <c r="N81" i="10"/>
  <c r="G82" i="10"/>
  <c r="F82" i="10"/>
  <c r="H82" i="10" l="1"/>
  <c r="P81" i="10"/>
  <c r="P82" i="10"/>
  <c r="F83" i="10"/>
  <c r="G83" i="10"/>
  <c r="K83" i="10"/>
  <c r="C84" i="10"/>
  <c r="B85" i="10"/>
  <c r="C85" i="10" l="1"/>
  <c r="B86" i="10"/>
  <c r="G84" i="10"/>
  <c r="F84" i="10"/>
  <c r="K84" i="10"/>
  <c r="H83" i="10"/>
  <c r="O83" i="10"/>
  <c r="N83" i="10"/>
  <c r="P83" i="10" s="1"/>
  <c r="F85" i="10" l="1"/>
  <c r="G85" i="10"/>
  <c r="K85" i="10"/>
  <c r="N84" i="10"/>
  <c r="P84" i="10" s="1"/>
  <c r="O84" i="10"/>
  <c r="H84" i="10"/>
  <c r="C86" i="10"/>
  <c r="B87" i="10"/>
  <c r="H85" i="10" l="1"/>
  <c r="G86" i="10"/>
  <c r="F86" i="10"/>
  <c r="H86" i="10" s="1"/>
  <c r="K86" i="10"/>
  <c r="O85" i="10"/>
  <c r="N85" i="10"/>
  <c r="P85" i="10" s="1"/>
  <c r="C87" i="10"/>
  <c r="B88" i="10"/>
  <c r="F87" i="10" l="1"/>
  <c r="G87" i="10"/>
  <c r="N86" i="10"/>
  <c r="O86" i="10"/>
  <c r="C88" i="10"/>
  <c r="B89" i="10"/>
  <c r="K87" i="10"/>
  <c r="K88" i="10"/>
  <c r="N88" i="10" l="1"/>
  <c r="P88" i="10" s="1"/>
  <c r="O88" i="10"/>
  <c r="C89" i="10"/>
  <c r="B90" i="10"/>
  <c r="H87" i="10"/>
  <c r="O87" i="10"/>
  <c r="N87" i="10"/>
  <c r="P87" i="10" s="1"/>
  <c r="G88" i="10"/>
  <c r="F88" i="10"/>
  <c r="H88" i="10" s="1"/>
  <c r="P86" i="10"/>
  <c r="F89" i="10" l="1"/>
  <c r="G89" i="10"/>
  <c r="K89" i="10"/>
  <c r="K90" i="10"/>
  <c r="C90" i="10"/>
  <c r="B91" i="10"/>
  <c r="C91" i="10" l="1"/>
  <c r="B92" i="10"/>
  <c r="N90" i="10"/>
  <c r="P90" i="10" s="1"/>
  <c r="O90" i="10"/>
  <c r="H89" i="10"/>
  <c r="G90" i="10"/>
  <c r="F90" i="10"/>
  <c r="H90" i="10" s="1"/>
  <c r="O89" i="10"/>
  <c r="N89" i="10"/>
  <c r="K91" i="10"/>
  <c r="O91" i="10" l="1"/>
  <c r="N91" i="10"/>
  <c r="F91" i="10"/>
  <c r="G91" i="10"/>
  <c r="P89" i="10"/>
  <c r="K92" i="10"/>
  <c r="C92" i="10"/>
  <c r="B93" i="10"/>
  <c r="C93" i="10" l="1"/>
  <c r="B94" i="10"/>
  <c r="N92" i="10"/>
  <c r="P92" i="10" s="1"/>
  <c r="O92" i="10"/>
  <c r="H91" i="10"/>
  <c r="G92" i="10"/>
  <c r="F92" i="10"/>
  <c r="H92" i="10" s="1"/>
  <c r="K93" i="10"/>
  <c r="P91" i="10"/>
  <c r="O93" i="10" l="1"/>
  <c r="N93" i="10"/>
  <c r="F93" i="10"/>
  <c r="G93" i="10"/>
  <c r="C94" i="10"/>
  <c r="B95" i="10"/>
  <c r="G94" i="10" l="1"/>
  <c r="F94" i="10"/>
  <c r="H93" i="10"/>
  <c r="C95" i="10"/>
  <c r="B96" i="10"/>
  <c r="K94" i="10"/>
  <c r="P93" i="10"/>
  <c r="N94" i="10" l="1"/>
  <c r="P94" i="10" s="1"/>
  <c r="O94" i="10"/>
  <c r="F95" i="10"/>
  <c r="G95" i="10"/>
  <c r="K95" i="10"/>
  <c r="C96" i="10"/>
  <c r="B97" i="10"/>
  <c r="H94" i="10"/>
  <c r="O95" i="10" l="1"/>
  <c r="N95" i="10"/>
  <c r="H95" i="10"/>
  <c r="G96" i="10"/>
  <c r="F96" i="10"/>
  <c r="H96" i="10" s="1"/>
  <c r="K96" i="10"/>
  <c r="C97" i="10"/>
  <c r="B98" i="10"/>
  <c r="F97" i="10" l="1"/>
  <c r="G97" i="10"/>
  <c r="C98" i="10"/>
  <c r="B99" i="10"/>
  <c r="K97" i="10"/>
  <c r="K98" i="10"/>
  <c r="P95" i="10"/>
  <c r="N96" i="10"/>
  <c r="P96" i="10" s="1"/>
  <c r="O96" i="10"/>
  <c r="N98" i="10" l="1"/>
  <c r="P98" i="10" s="1"/>
  <c r="O98" i="10"/>
  <c r="C99" i="10"/>
  <c r="B100" i="10"/>
  <c r="H97" i="10"/>
  <c r="O97" i="10"/>
  <c r="N97" i="10"/>
  <c r="P97" i="10" s="1"/>
  <c r="G98" i="10"/>
  <c r="F98" i="10"/>
  <c r="H98" i="10" s="1"/>
  <c r="K99" i="10"/>
  <c r="F99" i="10" l="1"/>
  <c r="G99" i="10"/>
  <c r="C100" i="10"/>
  <c r="B101" i="10"/>
  <c r="O99" i="10"/>
  <c r="N99" i="10"/>
  <c r="G100" i="10" l="1"/>
  <c r="F100" i="10"/>
  <c r="H99" i="10"/>
  <c r="P99" i="10"/>
  <c r="C101" i="10"/>
  <c r="B102" i="10"/>
  <c r="K100" i="10"/>
  <c r="K101" i="10"/>
  <c r="C102" i="10" l="1"/>
  <c r="B103" i="10"/>
  <c r="N100" i="10"/>
  <c r="P100" i="10" s="1"/>
  <c r="O100" i="10"/>
  <c r="F101" i="10"/>
  <c r="H101" i="10" s="1"/>
  <c r="G101" i="10"/>
  <c r="H100" i="10"/>
  <c r="O101" i="10"/>
  <c r="N101" i="10"/>
  <c r="G102" i="10" l="1"/>
  <c r="F102" i="10"/>
  <c r="K102" i="10"/>
  <c r="P101" i="10"/>
  <c r="C103" i="10"/>
  <c r="B104" i="10"/>
  <c r="F103" i="10" l="1"/>
  <c r="G103" i="10"/>
  <c r="C104" i="10"/>
  <c r="B105" i="10"/>
  <c r="K103" i="10"/>
  <c r="N102" i="10"/>
  <c r="O102" i="10"/>
  <c r="H102" i="10"/>
  <c r="G104" i="10" l="1"/>
  <c r="F104" i="10"/>
  <c r="H103" i="10"/>
  <c r="P102" i="10"/>
  <c r="C105" i="10"/>
  <c r="B106" i="10"/>
  <c r="K104" i="10"/>
  <c r="K105" i="10"/>
  <c r="O103" i="10"/>
  <c r="N103" i="10"/>
  <c r="P103" i="10" s="1"/>
  <c r="O105" i="10" l="1"/>
  <c r="N105" i="10"/>
  <c r="N104" i="10"/>
  <c r="P104" i="10" s="1"/>
  <c r="O104" i="10"/>
  <c r="F105" i="10"/>
  <c r="H105" i="10" s="1"/>
  <c r="G105" i="10"/>
  <c r="H104" i="10"/>
  <c r="C106" i="10"/>
  <c r="B107" i="10"/>
  <c r="G106" i="10" l="1"/>
  <c r="F106" i="10"/>
  <c r="K106" i="10"/>
  <c r="C107" i="10"/>
  <c r="B108" i="10"/>
  <c r="K107" i="10"/>
  <c r="P105" i="10"/>
  <c r="O107" i="10" l="1"/>
  <c r="N107" i="10"/>
  <c r="F107" i="10"/>
  <c r="G107" i="10"/>
  <c r="C108" i="10"/>
  <c r="B109" i="10"/>
  <c r="N106" i="10"/>
  <c r="P106" i="10" s="1"/>
  <c r="O106" i="10"/>
  <c r="H106" i="10"/>
  <c r="G108" i="10" l="1"/>
  <c r="F108" i="10"/>
  <c r="H107" i="10"/>
  <c r="C109" i="10"/>
  <c r="B110" i="10"/>
  <c r="K108" i="10"/>
  <c r="P107" i="10"/>
  <c r="N108" i="10" l="1"/>
  <c r="P108" i="10" s="1"/>
  <c r="O108" i="10"/>
  <c r="F109" i="10"/>
  <c r="G109" i="10"/>
  <c r="K109" i="10"/>
  <c r="C110" i="10"/>
  <c r="B111" i="10"/>
  <c r="H108" i="10"/>
  <c r="O109" i="10" l="1"/>
  <c r="N109" i="10"/>
  <c r="H109" i="10"/>
  <c r="G110" i="10"/>
  <c r="F110" i="10"/>
  <c r="H110" i="10" s="1"/>
  <c r="K110" i="10"/>
  <c r="C111" i="10"/>
  <c r="B112" i="10"/>
  <c r="F111" i="10" l="1"/>
  <c r="H111" i="10" s="1"/>
  <c r="G111" i="10"/>
  <c r="C112" i="10"/>
  <c r="B113" i="10"/>
  <c r="K111" i="10"/>
  <c r="K112" i="10"/>
  <c r="P109" i="10"/>
  <c r="N110" i="10"/>
  <c r="P110" i="10" s="1"/>
  <c r="O110" i="10"/>
  <c r="C113" i="10" l="1"/>
  <c r="B114" i="10"/>
  <c r="O111" i="10"/>
  <c r="N111" i="10"/>
  <c r="G112" i="10"/>
  <c r="F112" i="10"/>
  <c r="N112" i="10"/>
  <c r="O112" i="10"/>
  <c r="F113" i="10" l="1"/>
  <c r="G113" i="10"/>
  <c r="K113" i="10"/>
  <c r="P112" i="10"/>
  <c r="H112" i="10"/>
  <c r="P111" i="10"/>
  <c r="C114" i="10"/>
  <c r="B115" i="10"/>
  <c r="C115" i="10" l="1"/>
  <c r="B116" i="10"/>
  <c r="H113" i="10"/>
  <c r="G114" i="10"/>
  <c r="F114" i="10"/>
  <c r="H114" i="10" s="1"/>
  <c r="K114" i="10"/>
  <c r="O113" i="10"/>
  <c r="N113" i="10"/>
  <c r="P113" i="10" s="1"/>
  <c r="F115" i="10" l="1"/>
  <c r="G115" i="10"/>
  <c r="K115" i="10"/>
  <c r="K116" i="10"/>
  <c r="C116" i="10"/>
  <c r="B117" i="10"/>
  <c r="N114" i="10"/>
  <c r="O114" i="10"/>
  <c r="C117" i="10" l="1"/>
  <c r="B118" i="10"/>
  <c r="N116" i="10"/>
  <c r="P116" i="10" s="1"/>
  <c r="O116" i="10"/>
  <c r="H115" i="10"/>
  <c r="P114" i="10"/>
  <c r="G116" i="10"/>
  <c r="F116" i="10"/>
  <c r="O115" i="10"/>
  <c r="N115" i="10"/>
  <c r="P115" i="10" s="1"/>
  <c r="F117" i="10" l="1"/>
  <c r="G117" i="10"/>
  <c r="K117" i="10"/>
  <c r="H116" i="10"/>
  <c r="C118" i="10"/>
  <c r="B119" i="10"/>
  <c r="C119" i="10" l="1"/>
  <c r="B120" i="10"/>
  <c r="H117" i="10"/>
  <c r="G118" i="10"/>
  <c r="F118" i="10"/>
  <c r="H118" i="10" s="1"/>
  <c r="K118" i="10"/>
  <c r="O117" i="10"/>
  <c r="N117" i="10"/>
  <c r="P117" i="10" s="1"/>
  <c r="F119" i="10" l="1"/>
  <c r="G119" i="10"/>
  <c r="K119" i="10"/>
  <c r="K120" i="10"/>
  <c r="C120" i="10"/>
  <c r="B121" i="10"/>
  <c r="N118" i="10"/>
  <c r="O118" i="10"/>
  <c r="C121" i="10" l="1"/>
  <c r="B122" i="10"/>
  <c r="N120" i="10"/>
  <c r="P120" i="10" s="1"/>
  <c r="O120" i="10"/>
  <c r="H119" i="10"/>
  <c r="P118" i="10"/>
  <c r="G120" i="10"/>
  <c r="F120" i="10"/>
  <c r="O119" i="10"/>
  <c r="N119" i="10"/>
  <c r="P119" i="10" s="1"/>
  <c r="F121" i="10" l="1"/>
  <c r="G121" i="10"/>
  <c r="K121" i="10"/>
  <c r="H120" i="10"/>
  <c r="C122" i="10"/>
  <c r="B123" i="10"/>
  <c r="C123" i="10" l="1"/>
  <c r="B124" i="10"/>
  <c r="H121" i="10"/>
  <c r="G122" i="10"/>
  <c r="F122" i="10"/>
  <c r="H122" i="10" s="1"/>
  <c r="K122" i="10"/>
  <c r="O121" i="10"/>
  <c r="N121" i="10"/>
  <c r="P121" i="10" s="1"/>
  <c r="N122" i="10" l="1"/>
  <c r="P122" i="10" s="1"/>
  <c r="O122" i="10"/>
  <c r="F123" i="10"/>
  <c r="G123" i="10"/>
  <c r="K123" i="10"/>
  <c r="K124" i="10"/>
  <c r="C124" i="10"/>
  <c r="B125" i="10"/>
  <c r="C125" i="10" l="1"/>
  <c r="C131" i="10"/>
  <c r="B127" i="10"/>
  <c r="H123" i="10"/>
  <c r="G124" i="10"/>
  <c r="F124" i="10"/>
  <c r="O123" i="10"/>
  <c r="N123" i="10"/>
  <c r="K125" i="10"/>
  <c r="N124" i="10"/>
  <c r="O124" i="10"/>
  <c r="O125" i="10" l="1"/>
  <c r="N125" i="10"/>
  <c r="F125" i="10"/>
  <c r="H125" i="10" s="1"/>
  <c r="G125" i="10"/>
  <c r="C127" i="10"/>
  <c r="P124" i="10"/>
  <c r="P123" i="10"/>
  <c r="H124" i="10"/>
  <c r="G127" i="10" l="1"/>
  <c r="F127" i="10"/>
  <c r="P125" i="10"/>
  <c r="H127" i="10" l="1"/>
  <c r="R16" i="10" l="1"/>
  <c r="R14" i="10"/>
  <c r="R15" i="10"/>
  <c r="R17" i="10"/>
  <c r="R19" i="10"/>
  <c r="R21" i="10"/>
  <c r="R23" i="10"/>
  <c r="R25" i="10"/>
  <c r="R27" i="10"/>
  <c r="R29" i="10"/>
  <c r="R31" i="10"/>
  <c r="R33" i="10"/>
  <c r="R35" i="10"/>
  <c r="R37" i="10"/>
  <c r="R39" i="10"/>
  <c r="R41" i="10"/>
  <c r="R18" i="10"/>
  <c r="R20" i="10"/>
  <c r="R22" i="10"/>
  <c r="R24" i="10"/>
  <c r="R26" i="10"/>
  <c r="R28" i="10"/>
  <c r="R30" i="10"/>
  <c r="R32" i="10"/>
  <c r="R34" i="10"/>
  <c r="R36" i="10"/>
  <c r="R38" i="10"/>
  <c r="R40" i="10"/>
  <c r="R42" i="10"/>
  <c r="R43" i="10"/>
  <c r="R45" i="10"/>
  <c r="R47" i="10"/>
  <c r="R49" i="10"/>
  <c r="R51" i="10"/>
  <c r="R53" i="10"/>
  <c r="R55" i="10"/>
  <c r="R57" i="10"/>
  <c r="R59" i="10"/>
  <c r="R61" i="10"/>
  <c r="R63" i="10"/>
  <c r="R65" i="10"/>
  <c r="R67" i="10"/>
  <c r="R69" i="10"/>
  <c r="R71" i="10"/>
  <c r="R73" i="10"/>
  <c r="R75" i="10"/>
  <c r="R44" i="10"/>
  <c r="R46" i="10"/>
  <c r="R48" i="10"/>
  <c r="R50" i="10"/>
  <c r="R52" i="10"/>
  <c r="R54" i="10"/>
  <c r="R56" i="10"/>
  <c r="R58" i="10"/>
  <c r="R60" i="10"/>
  <c r="R62" i="10"/>
  <c r="R64" i="10"/>
  <c r="R66" i="10"/>
  <c r="R68" i="10"/>
  <c r="R70" i="10"/>
  <c r="R72" i="10"/>
  <c r="R74" i="10"/>
  <c r="R76" i="10"/>
  <c r="R79" i="10"/>
  <c r="R81" i="10"/>
  <c r="R83" i="10"/>
  <c r="R85" i="10"/>
  <c r="R87" i="10"/>
  <c r="R89" i="10"/>
  <c r="R91" i="10"/>
  <c r="R93" i="10"/>
  <c r="R95" i="10"/>
  <c r="R97" i="10"/>
  <c r="R99" i="10"/>
  <c r="R101" i="10"/>
  <c r="R103" i="10"/>
  <c r="R105" i="10"/>
  <c r="R107" i="10"/>
  <c r="R109" i="10"/>
  <c r="R77" i="10"/>
  <c r="R78" i="10"/>
  <c r="R80" i="10"/>
  <c r="R82" i="10"/>
  <c r="R84" i="10"/>
  <c r="R86" i="10"/>
  <c r="R88" i="10"/>
  <c r="R90" i="10"/>
  <c r="R92" i="10"/>
  <c r="R94" i="10"/>
  <c r="R96" i="10"/>
  <c r="R98" i="10"/>
  <c r="R100" i="10"/>
  <c r="R102" i="10"/>
  <c r="R104" i="10"/>
  <c r="R106" i="10"/>
  <c r="R108" i="10"/>
  <c r="R110" i="10"/>
  <c r="R111" i="10"/>
  <c r="R113" i="10"/>
  <c r="R115" i="10"/>
  <c r="R117" i="10"/>
  <c r="R119" i="10"/>
  <c r="R121" i="10"/>
  <c r="R123" i="10"/>
  <c r="R125" i="10"/>
  <c r="R112" i="10"/>
  <c r="R114" i="10"/>
  <c r="R116" i="10"/>
  <c r="R118" i="10"/>
  <c r="R120" i="10"/>
  <c r="R122" i="10"/>
  <c r="R124" i="10"/>
  <c r="A131" i="10"/>
  <c r="Q7" i="10"/>
</calcChain>
</file>

<file path=xl/sharedStrings.xml><?xml version="1.0" encoding="utf-8"?>
<sst xmlns="http://schemas.openxmlformats.org/spreadsheetml/2006/main" count="3002" uniqueCount="352">
  <si>
    <t>SUMMARY OF ESTIMATED SURVIVOR CURVES, NET SALVAGE, ORIGINAL COST, BOOK DEPRECIATION RESERVE AND</t>
  </si>
  <si>
    <t xml:space="preserve"> </t>
  </si>
  <si>
    <t>NET</t>
  </si>
  <si>
    <t>BOOK</t>
  </si>
  <si>
    <t>COMPOSITE</t>
  </si>
  <si>
    <t>SURVIVOR</t>
  </si>
  <si>
    <t>SALVAGE</t>
  </si>
  <si>
    <t>ORIGINAL</t>
  </si>
  <si>
    <t>DEPRECIATION</t>
  </si>
  <si>
    <t>FUTURE</t>
  </si>
  <si>
    <t xml:space="preserve">ACCRUAL </t>
  </si>
  <si>
    <t>ACCRUAL</t>
  </si>
  <si>
    <t>REMAINING</t>
  </si>
  <si>
    <t>ACCOUNT</t>
  </si>
  <si>
    <t>CURVE</t>
  </si>
  <si>
    <t>PERCENT</t>
  </si>
  <si>
    <t>COST</t>
  </si>
  <si>
    <t>RESERVE</t>
  </si>
  <si>
    <t>ACCRUALS</t>
  </si>
  <si>
    <t>AMOUNT</t>
  </si>
  <si>
    <t>RATE</t>
  </si>
  <si>
    <t>LIFE</t>
  </si>
  <si>
    <t>(8)=(7)/(4)</t>
  </si>
  <si>
    <t>(9)=(6)/(7)</t>
  </si>
  <si>
    <t xml:space="preserve">STEAM PRODUCTION PLANT </t>
  </si>
  <si>
    <t xml:space="preserve">STRUCTURES AND IMPROVEMENTS                   </t>
  </si>
  <si>
    <t>TOTAL ACCOUNT 311 - STRUCTURES AND IMPROVEMENTS</t>
  </si>
  <si>
    <t xml:space="preserve">BOILER PLANT EQUIPMENT </t>
  </si>
  <si>
    <t>TOTAL ACCOUNT 312 - BOILER PLANT EQUIPMENT</t>
  </si>
  <si>
    <t xml:space="preserve">TURBOGENERATOR UNITS </t>
  </si>
  <si>
    <t>TOTAL ACCOUNT 314 - TURBOGENERATOR UNITS</t>
  </si>
  <si>
    <t xml:space="preserve">ACCESSORY ELECTRIC EQUIPMENT </t>
  </si>
  <si>
    <t>TOTAL ACCOUNT 315 - ACCESSORY ELECTRIC EQUIPMENT</t>
  </si>
  <si>
    <t xml:space="preserve">    TOTAL STEAM PRODUCTION PLANT </t>
  </si>
  <si>
    <t>OTHER PRODUCTION PLANT</t>
  </si>
  <si>
    <t>STRUCTURES AND IMPROVEMENTS</t>
  </si>
  <si>
    <t>TOTAL ACCOUNT 341 - STRUCTURES AND IMPROVEMENTS</t>
  </si>
  <si>
    <t xml:space="preserve">GENERATORS                                    </t>
  </si>
  <si>
    <t>TOTAL ACCOUNT 344 - GENERATORS</t>
  </si>
  <si>
    <t xml:space="preserve">ACCESSORY ELECTRIC EQUIPMENT                  </t>
  </si>
  <si>
    <t>TOTAL ACCOUNT 345 - ACCESSORY ELECTRIC EQUIPMENT</t>
  </si>
  <si>
    <t xml:space="preserve">    TOTAL OTHER PRODUCTION PLANT </t>
  </si>
  <si>
    <t xml:space="preserve">TRANSMISSION PLANT </t>
  </si>
  <si>
    <t xml:space="preserve">    TOTAL TRANSMISSION PLANT </t>
  </si>
  <si>
    <t xml:space="preserve">DISTRIBUTION PLANT </t>
  </si>
  <si>
    <t xml:space="preserve">    TOTAL DISTRIBUTION PLANT </t>
  </si>
  <si>
    <t xml:space="preserve">GENERAL PLANT </t>
  </si>
  <si>
    <t xml:space="preserve">    TOTAL GENERAL PLANT </t>
  </si>
  <si>
    <t xml:space="preserve">    TOTAL ELECTRIC PLANT </t>
  </si>
  <si>
    <t xml:space="preserve">NONDEPRECIABLE PLANT </t>
  </si>
  <si>
    <t>MISCELLANEOUS INTANGIBLE PLANT</t>
  </si>
  <si>
    <t>LAND</t>
  </si>
  <si>
    <t xml:space="preserve">LAND </t>
  </si>
  <si>
    <t xml:space="preserve">    TOTAL NONDEPRECIABLE PLANT </t>
  </si>
  <si>
    <t>*  LIFE SPAN PROCEDURE IS USED.  CURVE SHOWN IS INTERIM SURVIVOR CURVE</t>
  </si>
  <si>
    <t xml:space="preserve">    TOTAL DEPRECIABLE PLANT </t>
  </si>
  <si>
    <t xml:space="preserve">DEPRECIABLE PLANT </t>
  </si>
  <si>
    <t xml:space="preserve">  DIX DAM  </t>
  </si>
  <si>
    <t xml:space="preserve">  DIX DAM                  </t>
  </si>
  <si>
    <t xml:space="preserve">  DIX DAM                   </t>
  </si>
  <si>
    <t>ACCESSORY ELECTRIC EQUIPMENT</t>
  </si>
  <si>
    <t>TOTAL ACCOUNT 336 - ROADS, RAILROADS &amp; BRIDGES</t>
  </si>
  <si>
    <t>PRIME MOVERS</t>
  </si>
  <si>
    <t>TOTAL ACCOUNT 343 - PRIME MOVERS</t>
  </si>
  <si>
    <t>*</t>
  </si>
  <si>
    <t>TOTAL ACCOUNT 330.1 - LAND RIGHTS</t>
  </si>
  <si>
    <t>TOTAL ACCOUNT 331 - STRUCTURES AND IMPROVEMENTS</t>
  </si>
  <si>
    <t>TOTAL ACCOUNT 334 - ACCESSORY ELECTRIC EQUIPMENT</t>
  </si>
  <si>
    <t>TOTAL ACCOUNT 335 - MISCELLANEOUS POWER PLANT EQUIPMENT</t>
  </si>
  <si>
    <t>MISCELLANEOUS POWER PLANT EQUIPMENT</t>
  </si>
  <si>
    <t xml:space="preserve">TOWERS AND FIXTURES                          </t>
  </si>
  <si>
    <t xml:space="preserve">POLES AND FIXTURES                           </t>
  </si>
  <si>
    <t xml:space="preserve">OVERHEAD CONDUCTORS AND DEVICES              </t>
  </si>
  <si>
    <t xml:space="preserve">UNDERGROUND CONDUIT                          </t>
  </si>
  <si>
    <t xml:space="preserve">UNDERGROUND CONDUCTORS AND DEVICES           </t>
  </si>
  <si>
    <t xml:space="preserve">STATION EQUIPMENT                  </t>
  </si>
  <si>
    <t xml:space="preserve">POLES, TOWERS, AND FIXTURES        </t>
  </si>
  <si>
    <t xml:space="preserve">OVERHEAD CONDUCTORS AND DEVICES    </t>
  </si>
  <si>
    <t xml:space="preserve">UNDERGROUND CONDUCTORS AND DEVICES </t>
  </si>
  <si>
    <t xml:space="preserve">LINE TRANSFORMERS                  </t>
  </si>
  <si>
    <t xml:space="preserve">SERVICES                           </t>
  </si>
  <si>
    <t xml:space="preserve">METERS                             </t>
  </si>
  <si>
    <t xml:space="preserve">STREET LIGHTING AND SIGNAL SYSTEMS </t>
  </si>
  <si>
    <t xml:space="preserve">OFFICE FURNITURE AND EQUIPMENT               </t>
  </si>
  <si>
    <t xml:space="preserve">NON PC COMPUTER EQUIPMENT                    </t>
  </si>
  <si>
    <t xml:space="preserve">STORES EQUIPMENT                             </t>
  </si>
  <si>
    <t xml:space="preserve">TOOLS, SHOP AND GARAGE EQUIPMENT             </t>
  </si>
  <si>
    <t>ORGANIZATION</t>
  </si>
  <si>
    <t>FUEL HOLDERS, PRODUCERS AND ACCESSORIES</t>
  </si>
  <si>
    <t>TOTAL ACCOUNT 340.1 - LAND AND LAND RIGHTS</t>
  </si>
  <si>
    <t xml:space="preserve">STRUCTURES AND IMPROVEMENTS         </t>
  </si>
  <si>
    <t>LAND RIGHTS</t>
  </si>
  <si>
    <t>CCS SOFTWARE</t>
  </si>
  <si>
    <t xml:space="preserve">  TRIMBLE COUNTY UNIT 2</t>
  </si>
  <si>
    <t xml:space="preserve">  TRIMBLE COUNTY UNIT 2 SCRUBBER</t>
  </si>
  <si>
    <t xml:space="preserve">  SYSTEM LABORATORY</t>
  </si>
  <si>
    <t xml:space="preserve">  TYRONE UNIT 3</t>
  </si>
  <si>
    <t xml:space="preserve">  TYRONE UNITS 1 AND 2</t>
  </si>
  <si>
    <t xml:space="preserve">  GREEN RIVER UNIT 3</t>
  </si>
  <si>
    <t xml:space="preserve">  GREEN RIVER UNIT 4</t>
  </si>
  <si>
    <t xml:space="preserve">  GREEN RIVER UNITS 1 AND 2</t>
  </si>
  <si>
    <t xml:space="preserve">  BROWN UNIT 1</t>
  </si>
  <si>
    <t xml:space="preserve">  BROWN UNIT 2</t>
  </si>
  <si>
    <t xml:space="preserve">  BROWN UNIT 3</t>
  </si>
  <si>
    <t xml:space="preserve">  PINEVILLE UNIT 3</t>
  </si>
  <si>
    <t xml:space="preserve">  GHENT UNIT 1 SCRUBBER</t>
  </si>
  <si>
    <t xml:space="preserve">  GHENT UNIT 1  </t>
  </si>
  <si>
    <t xml:space="preserve">  GHENT UNIT 2</t>
  </si>
  <si>
    <t xml:space="preserve">  GHENT UNIT 3</t>
  </si>
  <si>
    <t xml:space="preserve">  GHENT UNIT 4</t>
  </si>
  <si>
    <t xml:space="preserve">  GHENT UNIT 2 SCRUBBER</t>
  </si>
  <si>
    <t xml:space="preserve">  GHENT UNIT 3 SCRUBBER</t>
  </si>
  <si>
    <t xml:space="preserve">  GHENT UNIT 4 SCRUBBER</t>
  </si>
  <si>
    <t xml:space="preserve">  TRIMBLE COUNTY CT 5</t>
  </si>
  <si>
    <t xml:space="preserve">  TRIMBLE COUNTY CT 6</t>
  </si>
  <si>
    <t xml:space="preserve">  TRIMBLE COUNTY CT 7</t>
  </si>
  <si>
    <t xml:space="preserve">  TRIMBLE COUNTY CT 8</t>
  </si>
  <si>
    <t xml:space="preserve">  TRIMBLE COUNTY CT 9</t>
  </si>
  <si>
    <t xml:space="preserve">  TRIMBLE COUNTY CT 10</t>
  </si>
  <si>
    <t xml:space="preserve">  BROWN CT 5</t>
  </si>
  <si>
    <t xml:space="preserve">  BROWN CT 6</t>
  </si>
  <si>
    <t xml:space="preserve">  BROWN CT 7</t>
  </si>
  <si>
    <t xml:space="preserve">  BROWN CT 8</t>
  </si>
  <si>
    <t xml:space="preserve">  BROWN CT 9</t>
  </si>
  <si>
    <t xml:space="preserve">  BROWN CT 10</t>
  </si>
  <si>
    <t xml:space="preserve">  BROWN CT 11</t>
  </si>
  <si>
    <t xml:space="preserve">  HAEFLING UNITS 1, 2 AND 3</t>
  </si>
  <si>
    <t xml:space="preserve">  PADDY'S RUN GENERATOR 13</t>
  </si>
  <si>
    <t>PERSONAL COMPUTERS</t>
  </si>
  <si>
    <t>STRUCTURES AND IMPROVEMENTS - TO OWNED PROPERTY</t>
  </si>
  <si>
    <t>343, cont.</t>
  </si>
  <si>
    <t>KENTUCKY UTILITIES COMPANY</t>
  </si>
  <si>
    <t>SQUARE</t>
  </si>
  <si>
    <t>100-S2.5</t>
  </si>
  <si>
    <t>60-R2.5</t>
  </si>
  <si>
    <t>70-S3</t>
  </si>
  <si>
    <t>70-R1.5</t>
  </si>
  <si>
    <t>100-R4</t>
  </si>
  <si>
    <t>90-S2.5</t>
  </si>
  <si>
    <t>40-L2.5</t>
  </si>
  <si>
    <t>35-L1</t>
  </si>
  <si>
    <t>55-R4</t>
  </si>
  <si>
    <t>40-R2.5</t>
  </si>
  <si>
    <t>45-R2.5</t>
  </si>
  <si>
    <t>55-S3</t>
  </si>
  <si>
    <t>45-R3</t>
  </si>
  <si>
    <t>35-R2</t>
  </si>
  <si>
    <t>65-S2.5</t>
  </si>
  <si>
    <t>43-R1.5</t>
  </si>
  <si>
    <t>30-R1</t>
  </si>
  <si>
    <t>20-SQ</t>
  </si>
  <si>
    <t>25-SQ</t>
  </si>
  <si>
    <t>10-SQ</t>
  </si>
  <si>
    <t>5-SQ</t>
  </si>
  <si>
    <t>TOTAL ACCOUNT 342 - FUEL HOLDERS, PRODUCERS AND ACCESSORIES</t>
  </si>
  <si>
    <t xml:space="preserve">UNDERGROUND CONDUIT                 </t>
  </si>
  <si>
    <t>FRANCHISES AND CONSENTS</t>
  </si>
  <si>
    <t>INTANGIBLE PLANT</t>
  </si>
  <si>
    <t xml:space="preserve">    TOTAL INTANGIBLE PLANT </t>
  </si>
  <si>
    <t>FULLY ACCRUED</t>
  </si>
  <si>
    <t>312, cont.</t>
  </si>
  <si>
    <t>CALCULATED ANNUAL DEPRECIATION RATES AS OF DECEMBER 31, 2011</t>
  </si>
  <si>
    <t>316, cont.</t>
  </si>
  <si>
    <t>346, cont.</t>
  </si>
  <si>
    <t>TRANSPORTATION EQUIPMENT - CARS AND LIGHT TRUCKS</t>
  </si>
  <si>
    <t>TRANSPORTATION EQUIPMENT - HEAVY TRUCKS AND OTHER</t>
  </si>
  <si>
    <t xml:space="preserve">POWER OPERATED EQUIPMENT - LARGE MACHINERY            </t>
  </si>
  <si>
    <t>COMMUNICATION EQUIPMENT - GENERAL ASSETS</t>
  </si>
  <si>
    <t>COMMUNICATION EQUIPMENT - SPECIFIC ASSETS</t>
  </si>
  <si>
    <t>COMMUNICATION EQUIPMENT - FULLY ACCRUED</t>
  </si>
  <si>
    <t xml:space="preserve">MISCELLANEOUS POWER PLANT EQUIPMENT </t>
  </si>
  <si>
    <t>RESERVOIRS, DAMS AND WATERWAY</t>
  </si>
  <si>
    <t>TOTAL ACCOUNT 332 - RESERVOIRS, DAMS AND WATERWAYS</t>
  </si>
  <si>
    <t>WATER WHEELS, TURBINES AND GENERATORS</t>
  </si>
  <si>
    <t>TOTAL ACCOUNT 333 - WATER WHEELS, TURBINES AND GENERATORS</t>
  </si>
  <si>
    <t>ROADS, RAILROADS AND BRIDGES</t>
  </si>
  <si>
    <t xml:space="preserve">MISCELLANEOUS POWER PLANT EQUIPMENT                 </t>
  </si>
  <si>
    <t>TOTAL ACCOUNT 346 - MISCELLANEOUS POWER PLANT EQUIPMENT</t>
  </si>
  <si>
    <t>TOTAL ACCOUNT 316 - MISCELLANEOUS POWER PLANT EQUIPMENT</t>
  </si>
  <si>
    <t xml:space="preserve">LAND RIGHTS        </t>
  </si>
  <si>
    <t xml:space="preserve">LAND RIGHTS               </t>
  </si>
  <si>
    <t xml:space="preserve">STATION EQUIPMENT   </t>
  </si>
  <si>
    <t xml:space="preserve">STATION EQUIPMENT - SYS. CONTROL/COM          </t>
  </si>
  <si>
    <t xml:space="preserve">STRUCTURES AND IMPROVEMENTS - SYS. CONTROL/COM  </t>
  </si>
  <si>
    <t>STRUCTURES AND IMPROVEMENTS - TO LEASED PROPERTY</t>
  </si>
  <si>
    <t xml:space="preserve">INSTALLATIONS ON CUSTOMERS' PREMISES </t>
  </si>
  <si>
    <t xml:space="preserve">  BROWN UNITS 1, 2 AND 3 SCRUBBER</t>
  </si>
  <si>
    <t>HYDRAULIC PRODUCTION PLANT</t>
  </si>
  <si>
    <t xml:space="preserve">    TOTAL HYDRAULIC PRODUCTION PLANT </t>
  </si>
  <si>
    <t xml:space="preserve">  TRIMBLE COUNTY CT GAS PIPELINE</t>
  </si>
  <si>
    <t xml:space="preserve">  BROWN CT GAS PIPELINE</t>
  </si>
  <si>
    <t>100-S1</t>
  </si>
  <si>
    <t>55-S1.5</t>
  </si>
  <si>
    <t>75-R3</t>
  </si>
  <si>
    <t>35-R1.5</t>
  </si>
  <si>
    <t>60-R3</t>
  </si>
  <si>
    <t>60-R2</t>
  </si>
  <si>
    <t>35-R2.5</t>
  </si>
  <si>
    <t>70-R4</t>
  </si>
  <si>
    <t>55-R2</t>
  </si>
  <si>
    <t>45-R4</t>
  </si>
  <si>
    <t>35-R3</t>
  </si>
  <si>
    <t>65-R4</t>
  </si>
  <si>
    <t>54-R2</t>
  </si>
  <si>
    <t>50-R1</t>
  </si>
  <si>
    <t>48-R1.5</t>
  </si>
  <si>
    <t>50-R4</t>
  </si>
  <si>
    <t>44-R2</t>
  </si>
  <si>
    <t>43-R2</t>
  </si>
  <si>
    <t>39-R2</t>
  </si>
  <si>
    <t>25-O1</t>
  </si>
  <si>
    <t>28-S0</t>
  </si>
  <si>
    <t>55-S0</t>
  </si>
  <si>
    <t>4-SQ</t>
  </si>
  <si>
    <t>7-L2.5</t>
  </si>
  <si>
    <t>14-S1.5</t>
  </si>
  <si>
    <t>12-L1.5</t>
  </si>
  <si>
    <t>25-S1</t>
  </si>
  <si>
    <t>Current Rates and Accruals</t>
  </si>
  <si>
    <t>Rate</t>
  </si>
  <si>
    <t>Accrual</t>
  </si>
  <si>
    <t>Difference</t>
  </si>
  <si>
    <t>(11)=(4)*(10)</t>
  </si>
  <si>
    <t>(12)=(7)-(11)</t>
  </si>
  <si>
    <t>Sources:</t>
  </si>
  <si>
    <t>Columns (1) to (9) from Spanos's Study Table 1.</t>
  </si>
  <si>
    <t>Column  (10) KU Response to KIUC 1-30</t>
  </si>
  <si>
    <t>SNAVELY KING MAJOROS &amp; ASSOCIATES, INC.  PROPOSALS</t>
  </si>
  <si>
    <t xml:space="preserve">ANNUAL </t>
  </si>
  <si>
    <t>SKM</t>
  </si>
  <si>
    <t>PROPOSED</t>
  </si>
  <si>
    <t>(6)= ((1-(3))*(4))-(5)</t>
  </si>
  <si>
    <t>CALCULATION OF WEIGHTED NET SALVAGE PERCENT FOR GENERATION PLANT AS OF DECEMBER 31, 2011</t>
  </si>
  <si>
    <t>Terminal Retirements</t>
  </si>
  <si>
    <t>Interim Retirements</t>
  </si>
  <si>
    <t>Total</t>
  </si>
  <si>
    <t>Estimated</t>
  </si>
  <si>
    <t>Retirements</t>
  </si>
  <si>
    <t>Net Salvage</t>
  </si>
  <si>
    <t>Account</t>
  </si>
  <si>
    <t>($)</t>
  </si>
  <si>
    <t>(%)</t>
  </si>
  <si>
    <t>(4)=(2)x(3)</t>
  </si>
  <si>
    <t>(7)=(5)x(6)</t>
  </si>
  <si>
    <t>(8)=(4)+(7)</t>
  </si>
  <si>
    <t>(9)=(2)+(5)</t>
  </si>
  <si>
    <t>(10)=(8)/(9)</t>
  </si>
  <si>
    <t>STEAM PRODUCTION PLANT</t>
  </si>
  <si>
    <t>BROWN GENERATING STATION</t>
  </si>
  <si>
    <t>BOILER PLANT EQUIPMENT</t>
  </si>
  <si>
    <t>TURBOGENERATOR UNITS</t>
  </si>
  <si>
    <t xml:space="preserve"> -   </t>
  </si>
  <si>
    <t>TOTAL BROWN GENERATING STATION</t>
  </si>
  <si>
    <t>GHENT GENERATING STATION</t>
  </si>
  <si>
    <t>TOTAL GHENT GENERATING STATION</t>
  </si>
  <si>
    <t>GREEN RIVER GENERATING STATION</t>
  </si>
  <si>
    <t>TOTAL GREEN RIVER GENERATING STATION</t>
  </si>
  <si>
    <t>PINEVILLE GENERATING STATION</t>
  </si>
  <si>
    <t>TOTAL PINEVILLE GENERATING STATION</t>
  </si>
  <si>
    <t>SYSTEM LAB</t>
  </si>
  <si>
    <t>TOTAL SYSTEM LAB</t>
  </si>
  <si>
    <t>STEAM PRODUCTION PLANT (CONT.)</t>
  </si>
  <si>
    <t>TYRONE GENERATING STATION</t>
  </si>
  <si>
    <t>TOTAL TYRONE GENERATING STATION</t>
  </si>
  <si>
    <t>TRIMBLE COUNTY</t>
  </si>
  <si>
    <t>TOTAL TRIMBLE COUNTY</t>
  </si>
  <si>
    <t>TOTAL STEAM PRODUCTION PLANT</t>
  </si>
  <si>
    <t>DIX DAM</t>
  </si>
  <si>
    <t>RESERVOIRS, DAMS AND WATERWAYS</t>
  </si>
  <si>
    <t>TOTAL DIX DAM</t>
  </si>
  <si>
    <t>TOTAL HYDRAULIC PRODUCTION PLANT</t>
  </si>
  <si>
    <t>BROWN CTS</t>
  </si>
  <si>
    <t>GENERATORS</t>
  </si>
  <si>
    <t>TOTAL BROWN CTS</t>
  </si>
  <si>
    <t>HAEFLING CTS</t>
  </si>
  <si>
    <t>TOTAL HAEFLING CTS</t>
  </si>
  <si>
    <t>PADDY'S RUN CTS</t>
  </si>
  <si>
    <t>TOTAL PADDY'S RUN CTS</t>
  </si>
  <si>
    <t>TRIMBLE COUNTY CTS</t>
  </si>
  <si>
    <t>TOTAL TRIMBLE COUNTY CTS</t>
  </si>
  <si>
    <t>TOTAL OTHER PRODUCTION PLANT</t>
  </si>
  <si>
    <t>GRAND TOTAL</t>
  </si>
  <si>
    <t>(8)=(6)/(7)</t>
  </si>
  <si>
    <t>Spanos Proposed</t>
  </si>
  <si>
    <t>Comparison of Spanos's Proposals to Current</t>
  </si>
  <si>
    <t>SNAVELY KING MAJOROS &amp; ASSOCIATES, INC.</t>
  </si>
  <si>
    <t>Original Cost</t>
  </si>
  <si>
    <t xml:space="preserve">SKM Interim Retirements </t>
  </si>
  <si>
    <t>Spanos INS%</t>
  </si>
  <si>
    <t>INS $</t>
  </si>
  <si>
    <t>Total NS %</t>
  </si>
  <si>
    <t>TOTAL ACCOUNT 312.01 - BOILER PLANT EQUIPMENT - LOCOMOTIVE</t>
  </si>
  <si>
    <t>TOTAL ACCOUNT 312.02 - BOILER PLANT EQUIPMENT - RAIL CARS</t>
  </si>
  <si>
    <t>TOTAL ACCOUNT 332 - RESERVOIRS, DAMS AND WATERWAY</t>
  </si>
  <si>
    <t>TOTAL ACCOUNT 336 - ROADS, RAILROADS AND BRIDGES</t>
  </si>
  <si>
    <t>-</t>
  </si>
  <si>
    <t>SPANOS PROPOSAL WITHOUT TERMINAL NET SALVAGE COMPARED TO SPANOS PROPOSAL</t>
  </si>
  <si>
    <t xml:space="preserve">-     </t>
  </si>
  <si>
    <t>(9)</t>
  </si>
  <si>
    <t>(7) = (6)/(9)</t>
  </si>
  <si>
    <t>Spanos Proposed w/ Term. NS</t>
  </si>
  <si>
    <t>For Adjust 1</t>
  </si>
  <si>
    <t>SUMMARY OF INCREMENTAL ADJUSTMENTS</t>
  </si>
  <si>
    <t>Description of Adjustment</t>
  </si>
  <si>
    <t>Amount</t>
  </si>
  <si>
    <t>Adjustment #</t>
  </si>
  <si>
    <t>No terminal net salvage</t>
  </si>
  <si>
    <t>Adjusted remaining lives for production accounts</t>
  </si>
  <si>
    <t>Spanos Proposed No TERM NS</t>
  </si>
  <si>
    <t>Cum Correct interim retirement amount</t>
  </si>
  <si>
    <t xml:space="preserve">Cumulative </t>
  </si>
  <si>
    <t>Increment</t>
  </si>
  <si>
    <t>Adjusted remaining lives for transmission, distribution, and general</t>
  </si>
  <si>
    <t>Kentuck Utilities 2012-00221</t>
  </si>
  <si>
    <t>Electric Plant In Service</t>
  </si>
  <si>
    <t>Geometric Mean Turnover Analysis</t>
  </si>
  <si>
    <t>Account 390.10 -</t>
  </si>
  <si>
    <t>3 Year Band</t>
  </si>
  <si>
    <t>Geometric</t>
  </si>
  <si>
    <t>BOY Plant</t>
  </si>
  <si>
    <t>Avg. Plant</t>
  </si>
  <si>
    <t>Single Year</t>
  </si>
  <si>
    <t>Addition</t>
  </si>
  <si>
    <t>Retirement</t>
  </si>
  <si>
    <t>Mean</t>
  </si>
  <si>
    <t>3 Year</t>
  </si>
  <si>
    <t>Year</t>
  </si>
  <si>
    <t>Balance</t>
  </si>
  <si>
    <t>Additions</t>
  </si>
  <si>
    <t>Ratio</t>
  </si>
  <si>
    <t>Life Estimate</t>
  </si>
  <si>
    <t>Band</t>
  </si>
  <si>
    <t>a</t>
  </si>
  <si>
    <t>b=(a+(a+1))/2</t>
  </si>
  <si>
    <t>c</t>
  </si>
  <si>
    <t>d</t>
  </si>
  <si>
    <t>e = c/b</t>
  </si>
  <si>
    <t>f = d/b</t>
  </si>
  <si>
    <t>g = 1/sqrt(e*f)</t>
  </si>
  <si>
    <t>h</t>
  </si>
  <si>
    <t>i</t>
  </si>
  <si>
    <t>j</t>
  </si>
  <si>
    <t>k</t>
  </si>
  <si>
    <t>l = j/i</t>
  </si>
  <si>
    <t>m = k/i</t>
  </si>
  <si>
    <t>n = 1/sqrt(l*m)</t>
  </si>
  <si>
    <t>full band</t>
  </si>
  <si>
    <t>Data Source:</t>
  </si>
  <si>
    <t>Spanos Rates and Accruals</t>
  </si>
  <si>
    <t>(11)</t>
  </si>
  <si>
    <t>Column  (12) Calculated by SKM</t>
  </si>
  <si>
    <t>Column  (11) from Spanos's Study, Table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</si>
</sst>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_);\(0\)"/>
    <numFmt numFmtId="166" formatCode="_(* #,##0.000_);_(* \(#,##0.000\);_(* &quot;-&quot;??_);_(@_)"/>
    <numFmt numFmtId="167" formatCode="_(* #,##0_);_(* \(#,##0\);_(* &quot;-&quot;??_);_(@_)"/>
    <numFmt numFmtId="168" formatCode="_(* #,##0.00000_);_(* \(#,##0.00000\);_(* &quot;-&quot;??_);_(@_)"/>
  </numFmts>
  <fonts count="20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319"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/>
    <xf numFmtId="0" fontId="7" fillId="0" borderId="0" xfId="0" applyNumberFormat="1" applyFont="1" applyAlignment="1">
      <alignment horizontal="left"/>
    </xf>
    <xf numFmtId="0" fontId="0" fillId="0" borderId="0" xfId="0"/>
    <xf numFmtId="0" fontId="0" fillId="0" borderId="0" xfId="0" applyNumberFormat="1" applyAlignment="1">
      <alignment horizontal="centerContinuous"/>
    </xf>
    <xf numFmtId="37" fontId="2" fillId="0" borderId="1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37" fontId="0" fillId="0" borderId="0" xfId="0" applyNumberFormat="1"/>
    <xf numFmtId="37" fontId="0" fillId="0" borderId="0" xfId="0" applyNumberFormat="1" applyAlignment="1">
      <alignment horizontal="centerContinuous"/>
    </xf>
    <xf numFmtId="37" fontId="0" fillId="0" borderId="0" xfId="0" applyNumberFormat="1" applyAlignment="1"/>
    <xf numFmtId="37" fontId="2" fillId="0" borderId="0" xfId="0" applyNumberFormat="1" applyFont="1" applyAlignment="1">
      <alignment horizontal="center"/>
    </xf>
    <xf numFmtId="0" fontId="10" fillId="0" borderId="0" xfId="0" applyFont="1" applyAlignment="1">
      <alignment horizontal="centerContinuous"/>
    </xf>
    <xf numFmtId="165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10" fillId="0" borderId="0" xfId="0" applyFont="1" applyAlignment="1"/>
    <xf numFmtId="0" fontId="12" fillId="0" borderId="0" xfId="0" applyFont="1" applyAlignment="1"/>
    <xf numFmtId="2" fontId="0" fillId="0" borderId="0" xfId="0" applyNumberFormat="1" applyFill="1"/>
    <xf numFmtId="0" fontId="0" fillId="0" borderId="0" xfId="0" applyFill="1" applyAlignment="1"/>
    <xf numFmtId="0" fontId="12" fillId="0" borderId="0" xfId="0" applyNumberFormat="1" applyFont="1" applyFill="1" applyAlignment="1">
      <alignment horizontal="left"/>
    </xf>
    <xf numFmtId="39" fontId="1" fillId="0" borderId="0" xfId="1" applyNumberFormat="1" applyFont="1" applyFill="1"/>
    <xf numFmtId="0" fontId="4" fillId="0" borderId="0" xfId="0" applyFont="1" applyFill="1" applyAlignment="1"/>
    <xf numFmtId="37" fontId="4" fillId="0" borderId="0" xfId="0" applyNumberFormat="1" applyFont="1" applyFill="1" applyAlignment="1"/>
    <xf numFmtId="0" fontId="0" fillId="0" borderId="0" xfId="0" applyFill="1"/>
    <xf numFmtId="0" fontId="0" fillId="0" borderId="1" xfId="0" applyFill="1" applyBorder="1"/>
    <xf numFmtId="37" fontId="0" fillId="0" borderId="0" xfId="0" applyNumberFormat="1" applyFill="1"/>
    <xf numFmtId="2" fontId="0" fillId="0" borderId="0" xfId="0" applyNumberForma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39" fontId="1" fillId="0" borderId="0" xfId="1" applyNumberFormat="1" applyFont="1" applyFill="1" applyBorder="1"/>
    <xf numFmtId="37" fontId="0" fillId="0" borderId="0" xfId="0" applyNumberFormat="1" applyFill="1" applyBorder="1"/>
    <xf numFmtId="0" fontId="0" fillId="0" borderId="0" xfId="0" applyFill="1" applyBorder="1"/>
    <xf numFmtId="0" fontId="2" fillId="0" borderId="1" xfId="0" applyNumberFormat="1" applyFont="1" applyFill="1" applyBorder="1" applyAlignment="1">
      <alignment horizontal="center"/>
    </xf>
    <xf numFmtId="0" fontId="1" fillId="0" borderId="0" xfId="1" applyFont="1" applyFill="1"/>
    <xf numFmtId="37" fontId="1" fillId="0" borderId="0" xfId="1" applyNumberFormat="1" applyFont="1" applyFill="1"/>
    <xf numFmtId="0" fontId="3" fillId="0" borderId="0" xfId="0" applyNumberFormat="1" applyFont="1" applyFill="1" applyAlignment="1"/>
    <xf numFmtId="39" fontId="1" fillId="0" borderId="3" xfId="1" applyNumberFormat="1" applyFont="1" applyFill="1" applyBorder="1"/>
    <xf numFmtId="0" fontId="1" fillId="0" borderId="0" xfId="0" applyFont="1" applyFill="1" applyAlignment="1">
      <alignment horizontal="center"/>
    </xf>
    <xf numFmtId="37" fontId="0" fillId="0" borderId="1" xfId="0" applyNumberFormat="1" applyFill="1" applyBorder="1"/>
    <xf numFmtId="0" fontId="7" fillId="0" borderId="0" xfId="0" applyNumberFormat="1" applyFont="1" applyFill="1" applyAlignment="1">
      <alignment horizontal="left"/>
    </xf>
    <xf numFmtId="165" fontId="2" fillId="0" borderId="0" xfId="0" applyNumberFormat="1" applyFont="1" applyFill="1" applyAlignment="1">
      <alignment horizontal="center"/>
    </xf>
    <xf numFmtId="39" fontId="10" fillId="0" borderId="0" xfId="1" applyNumberFormat="1" applyFont="1" applyFill="1"/>
    <xf numFmtId="0" fontId="2" fillId="0" borderId="0" xfId="0" applyNumberFormat="1" applyFont="1" applyFill="1" applyAlignment="1">
      <alignment horizontal="center"/>
    </xf>
    <xf numFmtId="0" fontId="12" fillId="0" borderId="0" xfId="0" applyFont="1" applyFill="1"/>
    <xf numFmtId="0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NumberFormat="1" applyFont="1" applyFill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1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0" xfId="0" applyFont="1" applyAlignment="1"/>
    <xf numFmtId="164" fontId="0" fillId="0" borderId="0" xfId="0" applyNumberFormat="1" applyFill="1"/>
    <xf numFmtId="0" fontId="1" fillId="0" borderId="0" xfId="0" applyNumberFormat="1" applyFont="1" applyFill="1" applyAlignment="1"/>
    <xf numFmtId="0" fontId="2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/>
    <xf numFmtId="165" fontId="0" fillId="0" borderId="0" xfId="0" applyNumberFormat="1" applyFill="1" applyAlignment="1">
      <alignment horizontal="center"/>
    </xf>
    <xf numFmtId="0" fontId="0" fillId="0" borderId="0" xfId="0" applyNumberFormat="1" applyFill="1"/>
    <xf numFmtId="2" fontId="1" fillId="0" borderId="0" xfId="0" applyNumberFormat="1" applyFont="1" applyFill="1"/>
    <xf numFmtId="37" fontId="0" fillId="0" borderId="3" xfId="0" applyNumberFormat="1" applyFill="1" applyBorder="1"/>
    <xf numFmtId="0" fontId="2" fillId="0" borderId="3" xfId="0" applyNumberFormat="1" applyFont="1" applyFill="1" applyBorder="1" applyAlignment="1">
      <alignment horizontal="center"/>
    </xf>
    <xf numFmtId="39" fontId="12" fillId="0" borderId="3" xfId="1" applyNumberFormat="1" applyFont="1" applyFill="1" applyBorder="1"/>
    <xf numFmtId="0" fontId="12" fillId="0" borderId="0" xfId="0" applyFont="1" applyFill="1" applyAlignment="1"/>
    <xf numFmtId="37" fontId="12" fillId="0" borderId="3" xfId="0" applyNumberFormat="1" applyFont="1" applyFill="1" applyBorder="1" applyAlignment="1"/>
    <xf numFmtId="39" fontId="12" fillId="0" borderId="0" xfId="1" applyNumberFormat="1" applyFont="1" applyFill="1"/>
    <xf numFmtId="37" fontId="12" fillId="0" borderId="0" xfId="0" applyNumberFormat="1" applyFont="1" applyFill="1" applyAlignment="1"/>
    <xf numFmtId="0" fontId="13" fillId="0" borderId="0" xfId="0" applyNumberFormat="1" applyFont="1" applyFill="1" applyAlignment="1">
      <alignment horizontal="left"/>
    </xf>
    <xf numFmtId="39" fontId="12" fillId="0" borderId="3" xfId="0" applyNumberFormat="1" applyFont="1" applyFill="1" applyBorder="1"/>
    <xf numFmtId="37" fontId="12" fillId="0" borderId="3" xfId="0" applyNumberFormat="1" applyFont="1" applyFill="1" applyBorder="1"/>
    <xf numFmtId="2" fontId="12" fillId="0" borderId="0" xfId="0" applyNumberFormat="1" applyFont="1" applyFill="1"/>
    <xf numFmtId="0" fontId="12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2" fontId="10" fillId="0" borderId="0" xfId="0" applyNumberFormat="1" applyFont="1" applyFill="1"/>
    <xf numFmtId="0" fontId="10" fillId="0" borderId="0" xfId="0" applyFont="1" applyFill="1" applyAlignment="1"/>
    <xf numFmtId="37" fontId="10" fillId="0" borderId="0" xfId="0" applyNumberFormat="1" applyFont="1" applyFill="1" applyAlignment="1"/>
    <xf numFmtId="0" fontId="10" fillId="0" borderId="0" xfId="0" applyNumberFormat="1" applyFont="1" applyFill="1" applyAlignment="1">
      <alignment horizontal="center"/>
    </xf>
    <xf numFmtId="165" fontId="10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37" fontId="1" fillId="0" borderId="3" xfId="1" applyNumberFormat="1" applyFont="1" applyFill="1" applyBorder="1"/>
    <xf numFmtId="0" fontId="5" fillId="0" borderId="0" xfId="0" applyNumberFormat="1" applyFont="1" applyFill="1" applyAlignment="1"/>
    <xf numFmtId="0" fontId="8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left"/>
    </xf>
    <xf numFmtId="39" fontId="10" fillId="0" borderId="3" xfId="1" applyNumberFormat="1" applyFont="1" applyFill="1" applyBorder="1"/>
    <xf numFmtId="37" fontId="4" fillId="0" borderId="3" xfId="0" applyNumberFormat="1" applyFont="1" applyFill="1" applyBorder="1" applyAlignment="1"/>
    <xf numFmtId="39" fontId="10" fillId="0" borderId="4" xfId="1" applyNumberFormat="1" applyFont="1" applyFill="1" applyBorder="1"/>
    <xf numFmtId="37" fontId="10" fillId="0" borderId="4" xfId="1" applyNumberFormat="1" applyFont="1" applyFill="1" applyBorder="1"/>
    <xf numFmtId="39" fontId="10" fillId="0" borderId="0" xfId="1" applyNumberFormat="1" applyFont="1" applyFill="1" applyBorder="1"/>
    <xf numFmtId="37" fontId="10" fillId="0" borderId="0" xfId="1" applyNumberFormat="1" applyFont="1" applyFill="1" applyBorder="1"/>
    <xf numFmtId="3" fontId="0" fillId="0" borderId="0" xfId="0" applyNumberFormat="1" applyFill="1"/>
    <xf numFmtId="3" fontId="4" fillId="0" borderId="0" xfId="0" applyNumberFormat="1" applyFont="1" applyFill="1" applyAlignment="1"/>
    <xf numFmtId="37" fontId="10" fillId="0" borderId="0" xfId="1" applyNumberFormat="1" applyFont="1" applyFill="1"/>
    <xf numFmtId="3" fontId="12" fillId="0" borderId="0" xfId="0" applyNumberFormat="1" applyFont="1" applyFill="1" applyAlignment="1"/>
    <xf numFmtId="37" fontId="12" fillId="0" borderId="0" xfId="1" applyNumberFormat="1" applyFont="1" applyFill="1"/>
    <xf numFmtId="0" fontId="12" fillId="0" borderId="0" xfId="0" applyFont="1" applyFill="1" applyAlignment="1">
      <alignment horizontal="center"/>
    </xf>
    <xf numFmtId="3" fontId="12" fillId="0" borderId="0" xfId="0" applyNumberFormat="1" applyFont="1" applyFill="1"/>
    <xf numFmtId="4" fontId="4" fillId="0" borderId="2" xfId="0" applyNumberFormat="1" applyFont="1" applyFill="1" applyBorder="1" applyAlignment="1"/>
    <xf numFmtId="37" fontId="4" fillId="0" borderId="2" xfId="0" applyNumberFormat="1" applyFont="1" applyFill="1" applyBorder="1" applyAlignment="1"/>
    <xf numFmtId="4" fontId="4" fillId="0" borderId="0" xfId="0" applyNumberFormat="1" applyFont="1" applyFill="1" applyAlignment="1"/>
    <xf numFmtId="4" fontId="11" fillId="0" borderId="0" xfId="0" applyNumberFormat="1" applyFont="1" applyFill="1" applyBorder="1"/>
    <xf numFmtId="37" fontId="12" fillId="0" borderId="0" xfId="0" applyNumberFormat="1" applyFont="1" applyFill="1"/>
    <xf numFmtId="0" fontId="10" fillId="0" borderId="0" xfId="0" applyFont="1" applyFill="1"/>
    <xf numFmtId="164" fontId="4" fillId="0" borderId="0" xfId="0" applyNumberFormat="1" applyFont="1" applyFill="1" applyAlignment="1"/>
    <xf numFmtId="2" fontId="1" fillId="0" borderId="0" xfId="0" applyNumberFormat="1" applyFont="1" applyFill="1" applyAlignment="1">
      <alignment horizontal="right"/>
    </xf>
    <xf numFmtId="0" fontId="9" fillId="0" borderId="0" xfId="0" applyNumberFormat="1" applyFont="1" applyFill="1" applyAlignment="1">
      <alignment horizontal="left"/>
    </xf>
    <xf numFmtId="2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3" fontId="1" fillId="0" borderId="0" xfId="1" applyNumberFormat="1" applyFont="1" applyFill="1"/>
    <xf numFmtId="0" fontId="0" fillId="0" borderId="0" xfId="0" applyAlignment="1"/>
    <xf numFmtId="10" fontId="0" fillId="0" borderId="0" xfId="4" applyNumberFormat="1" applyFont="1" applyFill="1"/>
    <xf numFmtId="10" fontId="1" fillId="0" borderId="0" xfId="4" applyNumberFormat="1" applyFont="1" applyFill="1"/>
    <xf numFmtId="10" fontId="2" fillId="0" borderId="0" xfId="4" applyNumberFormat="1" applyFont="1" applyFill="1"/>
    <xf numFmtId="10" fontId="0" fillId="0" borderId="0" xfId="4" applyNumberFormat="1" applyFont="1" applyFill="1" applyBorder="1"/>
    <xf numFmtId="3" fontId="10" fillId="0" borderId="3" xfId="1" applyNumberFormat="1" applyFont="1" applyFill="1" applyBorder="1"/>
    <xf numFmtId="3" fontId="1" fillId="0" borderId="3" xfId="1" applyNumberFormat="1" applyFont="1" applyFill="1" applyBorder="1"/>
    <xf numFmtId="0" fontId="0" fillId="0" borderId="0" xfId="0" applyAlignment="1"/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Border="1" applyAlignment="1"/>
    <xf numFmtId="10" fontId="0" fillId="0" borderId="0" xfId="0" applyNumberFormat="1" applyAlignment="1"/>
    <xf numFmtId="10" fontId="2" fillId="0" borderId="3" xfId="0" applyNumberFormat="1" applyFont="1" applyBorder="1" applyAlignment="1">
      <alignment horizontal="center"/>
    </xf>
    <xf numFmtId="3" fontId="10" fillId="0" borderId="0" xfId="1" applyNumberFormat="1" applyFont="1" applyFill="1"/>
    <xf numFmtId="3" fontId="12" fillId="0" borderId="3" xfId="1" applyNumberFormat="1" applyFont="1" applyFill="1" applyBorder="1"/>
    <xf numFmtId="3" fontId="12" fillId="0" borderId="0" xfId="1" applyNumberFormat="1" applyFont="1" applyFill="1"/>
    <xf numFmtId="0" fontId="0" fillId="0" borderId="0" xfId="0" applyAlignment="1"/>
    <xf numFmtId="0" fontId="0" fillId="0" borderId="0" xfId="0" applyBorder="1" applyAlignment="1"/>
    <xf numFmtId="0" fontId="2" fillId="0" borderId="0" xfId="0" applyFont="1" applyAlignment="1"/>
    <xf numFmtId="0" fontId="1" fillId="0" borderId="0" xfId="0" applyFont="1" applyAlignment="1"/>
    <xf numFmtId="0" fontId="0" fillId="0" borderId="0" xfId="0" applyFill="1" applyAlignment="1"/>
    <xf numFmtId="0" fontId="0" fillId="0" borderId="0" xfId="0" applyFill="1" applyBorder="1" applyAlignment="1"/>
    <xf numFmtId="0" fontId="2" fillId="0" borderId="0" xfId="0" applyFont="1" applyBorder="1" applyAlignment="1"/>
    <xf numFmtId="3" fontId="2" fillId="0" borderId="0" xfId="0" applyNumberFormat="1" applyFont="1" applyBorder="1" applyAlignment="1"/>
    <xf numFmtId="3" fontId="2" fillId="0" borderId="0" xfId="0" applyNumberFormat="1" applyFont="1" applyAlignment="1"/>
    <xf numFmtId="38" fontId="0" fillId="0" borderId="0" xfId="0" applyNumberFormat="1" applyAlignment="1"/>
    <xf numFmtId="3" fontId="0" fillId="0" borderId="0" xfId="0" applyNumberFormat="1" applyAlignment="1"/>
    <xf numFmtId="3" fontId="2" fillId="0" borderId="3" xfId="0" applyNumberFormat="1" applyFont="1" applyBorder="1" applyAlignment="1">
      <alignment horizontal="center"/>
    </xf>
    <xf numFmtId="38" fontId="2" fillId="0" borderId="3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8" fontId="2" fillId="0" borderId="0" xfId="0" applyNumberFormat="1" applyFont="1" applyAlignment="1">
      <alignment horizontal="center"/>
    </xf>
    <xf numFmtId="3" fontId="0" fillId="0" borderId="0" xfId="0" applyNumberFormat="1" applyFill="1" applyAlignment="1"/>
    <xf numFmtId="3" fontId="0" fillId="0" borderId="0" xfId="0" applyNumberFormat="1" applyFill="1" applyBorder="1" applyAlignment="1"/>
    <xf numFmtId="3" fontId="0" fillId="0" borderId="0" xfId="0" applyNumberFormat="1" applyBorder="1" applyAlignment="1"/>
    <xf numFmtId="38" fontId="0" fillId="0" borderId="0" xfId="0" applyNumberFormat="1" applyFill="1" applyAlignment="1"/>
    <xf numFmtId="38" fontId="1" fillId="0" borderId="0" xfId="0" applyNumberFormat="1" applyFont="1" applyAlignment="1"/>
    <xf numFmtId="38" fontId="2" fillId="0" borderId="0" xfId="0" applyNumberFormat="1" applyFont="1" applyAlignment="1"/>
    <xf numFmtId="38" fontId="0" fillId="0" borderId="0" xfId="0" applyNumberFormat="1" applyFill="1" applyBorder="1" applyAlignment="1"/>
    <xf numFmtId="38" fontId="0" fillId="0" borderId="0" xfId="0" applyNumberFormat="1" applyBorder="1" applyAlignment="1"/>
    <xf numFmtId="3" fontId="0" fillId="0" borderId="3" xfId="0" applyNumberFormat="1" applyBorder="1" applyAlignment="1"/>
    <xf numFmtId="38" fontId="0" fillId="0" borderId="3" xfId="0" applyNumberFormat="1" applyBorder="1" applyAlignment="1"/>
    <xf numFmtId="3" fontId="10" fillId="0" borderId="4" xfId="1" applyNumberFormat="1" applyFont="1" applyFill="1" applyBorder="1"/>
    <xf numFmtId="3" fontId="12" fillId="0" borderId="0" xfId="0" applyNumberFormat="1" applyFont="1" applyAlignment="1"/>
    <xf numFmtId="38" fontId="12" fillId="0" borderId="0" xfId="0" applyNumberFormat="1" applyFont="1" applyAlignment="1"/>
    <xf numFmtId="38" fontId="10" fillId="0" borderId="0" xfId="1" applyNumberFormat="1" applyFont="1" applyFill="1"/>
    <xf numFmtId="38" fontId="10" fillId="0" borderId="4" xfId="1" applyNumberFormat="1" applyFont="1" applyFill="1" applyBorder="1"/>
    <xf numFmtId="165" fontId="1" fillId="2" borderId="0" xfId="0" applyNumberFormat="1" applyFont="1" applyFill="1" applyAlignment="1">
      <alignment horizontal="center"/>
    </xf>
    <xf numFmtId="0" fontId="15" fillId="0" borderId="0" xfId="0" applyFont="1" applyAlignment="1"/>
    <xf numFmtId="0" fontId="10" fillId="0" borderId="0" xfId="0" applyFont="1" applyAlignment="1">
      <alignment horizontal="center"/>
    </xf>
    <xf numFmtId="37" fontId="2" fillId="0" borderId="0" xfId="0" applyNumberFormat="1" applyFont="1" applyBorder="1" applyAlignment="1">
      <alignment horizontal="centerContinuous"/>
    </xf>
    <xf numFmtId="0" fontId="1" fillId="0" borderId="0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7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7" fontId="0" fillId="0" borderId="0" xfId="0" applyNumberFormat="1" applyBorder="1"/>
    <xf numFmtId="37" fontId="1" fillId="0" borderId="0" xfId="1" applyNumberFormat="1" applyFont="1" applyFill="1" applyBorder="1"/>
    <xf numFmtId="164" fontId="0" fillId="0" borderId="0" xfId="0" applyNumberFormat="1" applyBorder="1" applyAlignment="1">
      <alignment horizontal="right"/>
    </xf>
    <xf numFmtId="37" fontId="4" fillId="0" borderId="0" xfId="0" applyNumberFormat="1" applyFont="1" applyFill="1" applyBorder="1" applyAlignment="1"/>
    <xf numFmtId="164" fontId="0" fillId="0" borderId="0" xfId="0" applyNumberFormat="1" applyFill="1" applyBorder="1"/>
    <xf numFmtId="37" fontId="12" fillId="0" borderId="0" xfId="0" applyNumberFormat="1" applyFont="1" applyFill="1" applyBorder="1" applyAlignment="1"/>
    <xf numFmtId="0" fontId="12" fillId="0" borderId="0" xfId="0" applyFont="1" applyFill="1" applyBorder="1" applyAlignment="1"/>
    <xf numFmtId="37" fontId="10" fillId="0" borderId="0" xfId="0" applyNumberFormat="1" applyFont="1" applyFill="1" applyBorder="1" applyAlignment="1"/>
    <xf numFmtId="0" fontId="10" fillId="0" borderId="0" xfId="0" applyFont="1" applyFill="1" applyBorder="1" applyAlignment="1"/>
    <xf numFmtId="0" fontId="4" fillId="0" borderId="0" xfId="0" applyFont="1" applyFill="1" applyBorder="1" applyAlignment="1"/>
    <xf numFmtId="164" fontId="4" fillId="0" borderId="0" xfId="0" applyNumberFormat="1" applyFont="1" applyFill="1" applyBorder="1" applyAlignment="1"/>
    <xf numFmtId="3" fontId="0" fillId="0" borderId="0" xfId="0" applyNumberFormat="1" applyFill="1" applyBorder="1"/>
    <xf numFmtId="3" fontId="4" fillId="0" borderId="0" xfId="0" applyNumberFormat="1" applyFont="1" applyFill="1" applyBorder="1" applyAlignment="1"/>
    <xf numFmtId="3" fontId="12" fillId="0" borderId="0" xfId="0" applyNumberFormat="1" applyFont="1" applyFill="1" applyBorder="1" applyAlignment="1"/>
    <xf numFmtId="3" fontId="12" fillId="0" borderId="0" xfId="0" applyNumberFormat="1" applyFont="1" applyFill="1" applyBorder="1"/>
    <xf numFmtId="37" fontId="2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37" fontId="2" fillId="0" borderId="0" xfId="0" quotePrefix="1" applyNumberFormat="1" applyFont="1" applyBorder="1" applyAlignment="1">
      <alignment horizontal="center"/>
    </xf>
    <xf numFmtId="41" fontId="0" fillId="0" borderId="0" xfId="0" applyNumberFormat="1" applyBorder="1" applyAlignment="1">
      <alignment horizontal="right"/>
    </xf>
    <xf numFmtId="10" fontId="0" fillId="0" borderId="0" xfId="6" applyNumberFormat="1" applyFont="1" applyBorder="1" applyAlignment="1">
      <alignment horizontal="right"/>
    </xf>
    <xf numFmtId="41" fontId="0" fillId="0" borderId="0" xfId="0" applyNumberFormat="1" applyAlignment="1"/>
    <xf numFmtId="41" fontId="0" fillId="0" borderId="0" xfId="0" applyNumberFormat="1"/>
    <xf numFmtId="41" fontId="1" fillId="0" borderId="0" xfId="1" applyNumberFormat="1" applyFont="1" applyFill="1"/>
    <xf numFmtId="41" fontId="0" fillId="0" borderId="0" xfId="0" applyNumberFormat="1" applyFill="1"/>
    <xf numFmtId="41" fontId="1" fillId="0" borderId="3" xfId="1" applyNumberFormat="1" applyFont="1" applyFill="1" applyBorder="1"/>
    <xf numFmtId="41" fontId="10" fillId="0" borderId="0" xfId="1" applyNumberFormat="1" applyFont="1" applyFill="1"/>
    <xf numFmtId="41" fontId="4" fillId="0" borderId="0" xfId="0" applyNumberFormat="1" applyFont="1" applyFill="1" applyAlignment="1"/>
    <xf numFmtId="41" fontId="0" fillId="0" borderId="0" xfId="0" applyNumberFormat="1" applyFill="1" applyAlignment="1"/>
    <xf numFmtId="41" fontId="0" fillId="0" borderId="1" xfId="0" applyNumberFormat="1" applyFill="1" applyBorder="1"/>
    <xf numFmtId="41" fontId="1" fillId="0" borderId="0" xfId="1" applyNumberFormat="1" applyFont="1" applyFill="1" applyBorder="1"/>
    <xf numFmtId="41" fontId="0" fillId="0" borderId="3" xfId="0" applyNumberFormat="1" applyFill="1" applyBorder="1"/>
    <xf numFmtId="41" fontId="12" fillId="0" borderId="3" xfId="1" applyNumberFormat="1" applyFont="1" applyFill="1" applyBorder="1"/>
    <xf numFmtId="41" fontId="12" fillId="0" borderId="0" xfId="0" applyNumberFormat="1" applyFont="1" applyFill="1" applyAlignment="1"/>
    <xf numFmtId="41" fontId="12" fillId="0" borderId="3" xfId="0" applyNumberFormat="1" applyFont="1" applyFill="1" applyBorder="1" applyAlignment="1"/>
    <xf numFmtId="41" fontId="12" fillId="0" borderId="0" xfId="1" applyNumberFormat="1" applyFont="1" applyFill="1"/>
    <xf numFmtId="41" fontId="12" fillId="0" borderId="3" xfId="0" applyNumberFormat="1" applyFont="1" applyFill="1" applyBorder="1"/>
    <xf numFmtId="41" fontId="12" fillId="0" borderId="0" xfId="0" applyNumberFormat="1" applyFont="1" applyFill="1"/>
    <xf numFmtId="41" fontId="10" fillId="0" borderId="0" xfId="0" applyNumberFormat="1" applyFont="1" applyFill="1" applyAlignment="1"/>
    <xf numFmtId="41" fontId="0" fillId="0" borderId="0" xfId="0" applyNumberFormat="1" applyFill="1" applyBorder="1" applyAlignment="1"/>
    <xf numFmtId="41" fontId="0" fillId="0" borderId="0" xfId="0" applyNumberFormat="1" applyFill="1" applyBorder="1"/>
    <xf numFmtId="41" fontId="10" fillId="0" borderId="3" xfId="1" applyNumberFormat="1" applyFont="1" applyFill="1" applyBorder="1"/>
    <xf numFmtId="41" fontId="10" fillId="0" borderId="4" xfId="1" applyNumberFormat="1" applyFont="1" applyFill="1" applyBorder="1"/>
    <xf numFmtId="41" fontId="10" fillId="0" borderId="0" xfId="1" applyNumberFormat="1" applyFont="1" applyFill="1" applyBorder="1"/>
    <xf numFmtId="43" fontId="1" fillId="0" borderId="0" xfId="0" applyNumberFormat="1" applyFont="1"/>
    <xf numFmtId="10" fontId="1" fillId="0" borderId="0" xfId="6" applyNumberFormat="1" applyFont="1" applyFill="1" applyAlignment="1">
      <alignment horizontal="center"/>
    </xf>
    <xf numFmtId="10" fontId="0" fillId="0" borderId="0" xfId="6" applyNumberFormat="1" applyFont="1" applyAlignment="1">
      <alignment horizontal="center"/>
    </xf>
    <xf numFmtId="10" fontId="0" fillId="0" borderId="0" xfId="6" applyNumberFormat="1" applyFont="1" applyFill="1" applyAlignment="1">
      <alignment horizontal="center"/>
    </xf>
    <xf numFmtId="10" fontId="10" fillId="0" borderId="0" xfId="6" applyNumberFormat="1" applyFont="1" applyFill="1" applyAlignment="1">
      <alignment horizontal="center"/>
    </xf>
    <xf numFmtId="10" fontId="1" fillId="0" borderId="0" xfId="6" applyNumberFormat="1" applyFont="1" applyFill="1" applyBorder="1" applyAlignment="1">
      <alignment horizontal="center"/>
    </xf>
    <xf numFmtId="43" fontId="1" fillId="0" borderId="0" xfId="6" applyNumberFormat="1" applyFont="1" applyFill="1" applyAlignment="1">
      <alignment horizontal="center"/>
    </xf>
    <xf numFmtId="0" fontId="0" fillId="0" borderId="0" xfId="0" applyAlignment="1">
      <alignment horizontal="center"/>
    </xf>
    <xf numFmtId="166" fontId="0" fillId="0" borderId="0" xfId="7" applyNumberFormat="1" applyFont="1" applyAlignment="1"/>
    <xf numFmtId="166" fontId="1" fillId="0" borderId="0" xfId="7" applyNumberFormat="1" applyFont="1" applyAlignment="1"/>
    <xf numFmtId="166" fontId="0" fillId="0" borderId="0" xfId="0" applyNumberFormat="1" applyAlignment="1"/>
    <xf numFmtId="0" fontId="0" fillId="0" borderId="0" xfId="0" applyAlignment="1">
      <alignment horizontal="center"/>
    </xf>
    <xf numFmtId="9" fontId="0" fillId="0" borderId="0" xfId="6" applyFont="1" applyAlignment="1"/>
    <xf numFmtId="9" fontId="1" fillId="0" borderId="0" xfId="6" applyFont="1" applyFill="1" applyAlignment="1">
      <alignment horizontal="center"/>
    </xf>
    <xf numFmtId="9" fontId="0" fillId="0" borderId="0" xfId="6" applyFont="1" applyFill="1" applyAlignment="1">
      <alignment horizontal="center"/>
    </xf>
    <xf numFmtId="9" fontId="12" fillId="0" borderId="0" xfId="6" applyFont="1" applyFill="1" applyAlignment="1">
      <alignment horizontal="center"/>
    </xf>
    <xf numFmtId="167" fontId="1" fillId="0" borderId="0" xfId="1" applyNumberFormat="1" applyFont="1" applyFill="1"/>
    <xf numFmtId="49" fontId="2" fillId="0" borderId="1" xfId="0" applyNumberFormat="1" applyFont="1" applyBorder="1" applyAlignment="1">
      <alignment horizontal="center"/>
    </xf>
    <xf numFmtId="37" fontId="10" fillId="0" borderId="3" xfId="1" applyNumberFormat="1" applyFont="1" applyFill="1" applyBorder="1"/>
    <xf numFmtId="37" fontId="0" fillId="0" borderId="0" xfId="0" applyNumberFormat="1" applyFill="1" applyAlignment="1"/>
    <xf numFmtId="37" fontId="12" fillId="0" borderId="3" xfId="1" applyNumberFormat="1" applyFont="1" applyFill="1" applyBorder="1"/>
    <xf numFmtId="10" fontId="2" fillId="0" borderId="0" xfId="6" applyNumberFormat="1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1" fontId="0" fillId="0" borderId="0" xfId="6" applyNumberFormat="1" applyFont="1" applyAlignment="1"/>
    <xf numFmtId="0" fontId="0" fillId="0" borderId="0" xfId="6" applyNumberFormat="1" applyFont="1" applyAlignment="1"/>
    <xf numFmtId="41" fontId="1" fillId="0" borderId="0" xfId="6" applyNumberFormat="1" applyFont="1" applyFill="1" applyAlignment="1">
      <alignment horizontal="center"/>
    </xf>
    <xf numFmtId="10" fontId="0" fillId="0" borderId="0" xfId="0" applyNumberFormat="1" applyAlignment="1">
      <alignment horizontal="center"/>
    </xf>
    <xf numFmtId="10" fontId="10" fillId="0" borderId="0" xfId="0" applyNumberFormat="1" applyFont="1" applyAlignment="1">
      <alignment horizontal="centerContinuous"/>
    </xf>
    <xf numFmtId="10" fontId="2" fillId="0" borderId="0" xfId="0" applyNumberFormat="1" applyFont="1" applyAlignment="1">
      <alignment horizontal="centerContinuous"/>
    </xf>
    <xf numFmtId="10" fontId="2" fillId="0" borderId="0" xfId="0" applyNumberFormat="1" applyFont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0" fontId="1" fillId="0" borderId="0" xfId="0" applyNumberFormat="1" applyFont="1" applyFill="1" applyAlignment="1">
      <alignment horizontal="center"/>
    </xf>
    <xf numFmtId="10" fontId="0" fillId="0" borderId="0" xfId="0" applyNumberFormat="1" applyFill="1" applyAlignment="1">
      <alignment horizontal="center"/>
    </xf>
    <xf numFmtId="10" fontId="2" fillId="0" borderId="0" xfId="0" applyNumberFormat="1" applyFont="1" applyFill="1" applyAlignment="1">
      <alignment horizontal="center"/>
    </xf>
    <xf numFmtId="10" fontId="12" fillId="0" borderId="0" xfId="0" applyNumberFormat="1" applyFont="1" applyFill="1" applyAlignment="1">
      <alignment horizontal="center"/>
    </xf>
    <xf numFmtId="37" fontId="10" fillId="0" borderId="0" xfId="0" applyNumberFormat="1" applyFont="1" applyAlignment="1"/>
    <xf numFmtId="37" fontId="0" fillId="2" borderId="0" xfId="0" applyNumberFormat="1" applyFill="1" applyAlignment="1"/>
    <xf numFmtId="41" fontId="10" fillId="0" borderId="0" xfId="0" applyNumberFormat="1" applyFont="1" applyAlignment="1"/>
    <xf numFmtId="41" fontId="1" fillId="0" borderId="0" xfId="0" applyNumberFormat="1" applyFont="1" applyAlignment="1"/>
    <xf numFmtId="0" fontId="0" fillId="0" borderId="0" xfId="0" applyAlignment="1">
      <alignment horizontal="center"/>
    </xf>
    <xf numFmtId="2" fontId="0" fillId="0" borderId="0" xfId="4" applyNumberFormat="1" applyFont="1" applyFill="1"/>
    <xf numFmtId="2" fontId="1" fillId="0" borderId="0" xfId="4" applyNumberFormat="1" applyFont="1" applyFill="1"/>
    <xf numFmtId="2" fontId="2" fillId="0" borderId="0" xfId="4" applyNumberFormat="1" applyFont="1" applyFill="1"/>
    <xf numFmtId="2" fontId="0" fillId="0" borderId="0" xfId="4" applyNumberFormat="1" applyFont="1" applyFill="1" applyBorder="1"/>
    <xf numFmtId="2" fontId="0" fillId="0" borderId="0" xfId="0" applyNumberFormat="1" applyAlignment="1"/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7" xfId="0" applyFill="1" applyBorder="1" applyAlignment="1"/>
    <xf numFmtId="0" fontId="1" fillId="3" borderId="18" xfId="0" applyFont="1" applyFill="1" applyBorder="1" applyAlignment="1"/>
    <xf numFmtId="0" fontId="1" fillId="3" borderId="16" xfId="0" applyFont="1" applyFill="1" applyBorder="1" applyAlignment="1"/>
    <xf numFmtId="0" fontId="2" fillId="0" borderId="0" xfId="0" applyFont="1" applyFill="1" applyBorder="1" applyAlignment="1"/>
    <xf numFmtId="0" fontId="18" fillId="0" borderId="0" xfId="0" applyFont="1" applyAlignment="1">
      <alignment horizontal="center"/>
    </xf>
    <xf numFmtId="0" fontId="11" fillId="0" borderId="0" xfId="0" applyFont="1" applyAlignment="1"/>
    <xf numFmtId="167" fontId="11" fillId="0" borderId="0" xfId="0" applyNumberFormat="1" applyFont="1" applyAlignment="1"/>
    <xf numFmtId="43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7" fontId="18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center"/>
    </xf>
    <xf numFmtId="43" fontId="18" fillId="0" borderId="0" xfId="0" applyNumberFormat="1" applyFont="1" applyAlignment="1">
      <alignment horizontal="center"/>
    </xf>
    <xf numFmtId="167" fontId="18" fillId="0" borderId="0" xfId="0" applyNumberFormat="1" applyFont="1" applyAlignment="1"/>
    <xf numFmtId="0" fontId="19" fillId="0" borderId="0" xfId="0" applyFont="1" applyAlignment="1">
      <alignment horizontal="center"/>
    </xf>
    <xf numFmtId="167" fontId="19" fillId="0" borderId="0" xfId="0" applyNumberFormat="1" applyFont="1" applyAlignment="1">
      <alignment horizontal="center"/>
    </xf>
    <xf numFmtId="43" fontId="19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center"/>
    </xf>
    <xf numFmtId="168" fontId="11" fillId="0" borderId="0" xfId="0" applyNumberFormat="1" applyFont="1" applyAlignment="1"/>
    <xf numFmtId="43" fontId="1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165" fontId="2" fillId="3" borderId="5" xfId="0" applyNumberFormat="1" applyFont="1" applyFill="1" applyBorder="1" applyAlignment="1">
      <alignment horizontal="center"/>
    </xf>
    <xf numFmtId="165" fontId="2" fillId="3" borderId="6" xfId="0" applyNumberFormat="1" applyFont="1" applyFill="1" applyBorder="1" applyAlignment="1">
      <alignment horizontal="center"/>
    </xf>
    <xf numFmtId="165" fontId="2" fillId="3" borderId="7" xfId="0" applyNumberFormat="1" applyFont="1" applyFill="1" applyBorder="1" applyAlignment="1">
      <alignment horizontal="center"/>
    </xf>
    <xf numFmtId="37" fontId="2" fillId="3" borderId="5" xfId="0" applyNumberFormat="1" applyFont="1" applyFill="1" applyBorder="1" applyAlignment="1">
      <alignment horizontal="center"/>
    </xf>
    <xf numFmtId="37" fontId="2" fillId="3" borderId="6" xfId="0" applyNumberFormat="1" applyFont="1" applyFill="1" applyBorder="1" applyAlignment="1">
      <alignment horizontal="center"/>
    </xf>
    <xf numFmtId="37" fontId="2" fillId="3" borderId="7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Font="1" applyAlignment="1"/>
  </cellXfs>
  <cellStyles count="8">
    <cellStyle name="Comma" xfId="7" builtinId="3"/>
    <cellStyle name="Comma 2" xfId="4"/>
    <cellStyle name="Comma 3" xfId="2"/>
    <cellStyle name="Currency 2" xfId="3"/>
    <cellStyle name="Normal" xfId="0" builtinId="0"/>
    <cellStyle name="Normal_Iowa ASL GPAMORT" xfId="1"/>
    <cellStyle name="Percent" xfId="6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-417%20KY%20LG&amp;E%20and%20KU%20Rate%20Case%20Depreciation%20Studies/300%20SK%20Case/307%20SK%20Testimony/307.1%20Direct/307.13%20Workpapers/Life%20and%20Curve%20Comparison%20table%20with%20SK%20R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YFR%20BG%20VG%20KU%20Ver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"/>
      <sheetName val="LGE"/>
      <sheetName val="Sheet3"/>
    </sheetNames>
    <sheetDataSet>
      <sheetData sheetId="0">
        <row r="23">
          <cell r="I23" t="str">
            <v>300 - R1</v>
          </cell>
        </row>
        <row r="24">
          <cell r="I24" t="str">
            <v>77 - S0.5</v>
          </cell>
        </row>
        <row r="25">
          <cell r="I25" t="str">
            <v>75.5 - S0</v>
          </cell>
        </row>
        <row r="26">
          <cell r="I26" t="str">
            <v>98.3 - L2</v>
          </cell>
        </row>
        <row r="27">
          <cell r="I27" t="str">
            <v>116 R0.5</v>
          </cell>
        </row>
        <row r="31">
          <cell r="I31" t="str">
            <v>100 - R4</v>
          </cell>
        </row>
        <row r="32">
          <cell r="I32" t="str">
            <v>90 - S2</v>
          </cell>
        </row>
        <row r="33">
          <cell r="I33" t="str">
            <v>156 R2.5</v>
          </cell>
        </row>
        <row r="34">
          <cell r="I34" t="str">
            <v>75 - S3</v>
          </cell>
        </row>
        <row r="35">
          <cell r="I35" t="str">
            <v>40 - L2</v>
          </cell>
        </row>
        <row r="36">
          <cell r="I36" t="str">
            <v>82.0 - 04</v>
          </cell>
        </row>
        <row r="37">
          <cell r="I37" t="str">
            <v>87 - S5</v>
          </cell>
        </row>
        <row r="41">
          <cell r="I41" t="str">
            <v>93.9 - 04</v>
          </cell>
        </row>
        <row r="42">
          <cell r="I42" t="str">
            <v>263 - 01</v>
          </cell>
        </row>
        <row r="43">
          <cell r="I43" t="str">
            <v>167 - 04</v>
          </cell>
        </row>
        <row r="44">
          <cell r="I44" t="str">
            <v>58.6 - R0.5</v>
          </cell>
        </row>
        <row r="45">
          <cell r="I45" t="str">
            <v>78 - S2</v>
          </cell>
        </row>
        <row r="46">
          <cell r="I46" t="str">
            <v>283 - R1</v>
          </cell>
        </row>
        <row r="47">
          <cell r="I47" t="str">
            <v>248 - R1</v>
          </cell>
        </row>
        <row r="51">
          <cell r="I51" t="str">
            <v>300 - R2</v>
          </cell>
          <cell r="K51">
            <v>259.08</v>
          </cell>
        </row>
        <row r="52">
          <cell r="I52" t="str">
            <v>114 - L2</v>
          </cell>
          <cell r="K52">
            <v>101.18</v>
          </cell>
        </row>
        <row r="53">
          <cell r="I53" t="str">
            <v>69.3 - R4</v>
          </cell>
          <cell r="K53">
            <v>39.630000000000003</v>
          </cell>
        </row>
        <row r="54">
          <cell r="I54" t="str">
            <v>111.2 - L0</v>
          </cell>
          <cell r="K54">
            <v>99.09</v>
          </cell>
        </row>
        <row r="55">
          <cell r="I55" t="str">
            <v>52.7 - S0</v>
          </cell>
          <cell r="K55">
            <v>38.6</v>
          </cell>
        </row>
        <row r="56">
          <cell r="I56" t="str">
            <v>92.5 - L3</v>
          </cell>
          <cell r="K56">
            <v>72.290000000000006</v>
          </cell>
        </row>
        <row r="57">
          <cell r="I57" t="str">
            <v>61.3 S0.5</v>
          </cell>
          <cell r="K57">
            <v>50.27</v>
          </cell>
        </row>
        <row r="58">
          <cell r="I58" t="str">
            <v>71 - R2.5</v>
          </cell>
          <cell r="K58">
            <v>50.12</v>
          </cell>
        </row>
        <row r="59">
          <cell r="I59" t="str">
            <v>45 - R4</v>
          </cell>
          <cell r="K59">
            <v>25.85</v>
          </cell>
        </row>
        <row r="60">
          <cell r="I60" t="str">
            <v>35 - R3</v>
          </cell>
          <cell r="K60">
            <v>13.76</v>
          </cell>
        </row>
        <row r="67">
          <cell r="I67" t="str">
            <v>226 - R3</v>
          </cell>
          <cell r="K67">
            <v>186.04</v>
          </cell>
        </row>
        <row r="68">
          <cell r="I68" t="str">
            <v>83.9 - S0</v>
          </cell>
          <cell r="K68">
            <v>73.55</v>
          </cell>
        </row>
        <row r="69">
          <cell r="I69" t="str">
            <v>54.9 - R2</v>
          </cell>
          <cell r="K69">
            <v>41.54</v>
          </cell>
        </row>
        <row r="70">
          <cell r="I70" t="str">
            <v>58.6 - L0.5</v>
          </cell>
          <cell r="K70">
            <v>49.12</v>
          </cell>
        </row>
        <row r="71">
          <cell r="I71" t="str">
            <v>64.9 - L0</v>
          </cell>
          <cell r="K71">
            <v>56.6</v>
          </cell>
        </row>
        <row r="72">
          <cell r="I72" t="str">
            <v>55.9 - L2</v>
          </cell>
          <cell r="K72">
            <v>36.65</v>
          </cell>
        </row>
        <row r="73">
          <cell r="I73" t="str">
            <v>91.9 - R0.5</v>
          </cell>
          <cell r="K73">
            <v>87.15</v>
          </cell>
        </row>
        <row r="74">
          <cell r="I74" t="str">
            <v>45 - R2</v>
          </cell>
          <cell r="K74">
            <v>31.22</v>
          </cell>
        </row>
        <row r="75">
          <cell r="I75" t="str">
            <v>52 - L0.5</v>
          </cell>
          <cell r="K75">
            <v>40.46</v>
          </cell>
        </row>
        <row r="76">
          <cell r="I76" t="str">
            <v>53.9 - L0.5</v>
          </cell>
          <cell r="K76">
            <v>40.68</v>
          </cell>
        </row>
        <row r="77">
          <cell r="I77" t="str">
            <v>52.7 - 04</v>
          </cell>
          <cell r="K77">
            <v>52.7</v>
          </cell>
        </row>
        <row r="78">
          <cell r="I78" t="str">
            <v>31.5 L0</v>
          </cell>
          <cell r="K78">
            <v>26.44</v>
          </cell>
        </row>
        <row r="85">
          <cell r="I85" t="str">
            <v>55.6 - L0.5</v>
          </cell>
          <cell r="K85">
            <v>46.44</v>
          </cell>
        </row>
        <row r="86">
          <cell r="I86" t="str">
            <v>32.5 - R1</v>
          </cell>
          <cell r="K86">
            <v>18.88</v>
          </cell>
        </row>
        <row r="87">
          <cell r="I87" t="str">
            <v>20 - SQ</v>
          </cell>
          <cell r="K87">
            <v>9.5299999999999994</v>
          </cell>
        </row>
        <row r="88">
          <cell r="I88" t="str">
            <v>6 - L5</v>
          </cell>
          <cell r="K88">
            <v>3.47</v>
          </cell>
        </row>
        <row r="89">
          <cell r="I89" t="str">
            <v>4 - SQ</v>
          </cell>
          <cell r="K89">
            <v>1.78</v>
          </cell>
        </row>
        <row r="90">
          <cell r="I90" t="str">
            <v>19.3 - L0</v>
          </cell>
          <cell r="K90">
            <v>14.44</v>
          </cell>
        </row>
        <row r="91">
          <cell r="I91" t="str">
            <v>19.3 - L0</v>
          </cell>
          <cell r="K91">
            <v>12.38</v>
          </cell>
        </row>
        <row r="92">
          <cell r="I92" t="str">
            <v>25 - SQ</v>
          </cell>
          <cell r="K92">
            <v>13.01</v>
          </cell>
        </row>
        <row r="93">
          <cell r="I93" t="str">
            <v>27 - R4</v>
          </cell>
          <cell r="K93">
            <v>20.75</v>
          </cell>
        </row>
        <row r="94">
          <cell r="I94" t="str">
            <v>16.8 - S6</v>
          </cell>
          <cell r="K94">
            <v>14.37</v>
          </cell>
        </row>
        <row r="95">
          <cell r="I95" t="str">
            <v>10 - SQ</v>
          </cell>
          <cell r="K95">
            <v>5.7</v>
          </cell>
        </row>
        <row r="96">
          <cell r="I96" t="str">
            <v>25 - S1</v>
          </cell>
          <cell r="K96">
            <v>18.940000000000001</v>
          </cell>
        </row>
        <row r="97">
          <cell r="I97" t="str">
            <v>Fully Accrued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1 PL"/>
      <sheetName val="311 Truncate"/>
      <sheetName val="312 PL"/>
      <sheetName val="312 Truncate"/>
      <sheetName val="314 PL"/>
      <sheetName val="314 Truncate"/>
      <sheetName val="315 PL"/>
      <sheetName val="315 Truncate"/>
      <sheetName val="316 PL"/>
      <sheetName val="316 Truncate"/>
      <sheetName val="330.10 PL"/>
      <sheetName val="330.10 Truncate"/>
      <sheetName val="331 PL"/>
      <sheetName val="331 Truncate"/>
      <sheetName val="332 PL"/>
      <sheetName val="332 Truncate"/>
      <sheetName val="333 PL"/>
      <sheetName val="333 Truncate"/>
      <sheetName val="334 PL"/>
      <sheetName val="334 Truncate"/>
      <sheetName val="335 PL"/>
      <sheetName val="335 Truncate"/>
      <sheetName val="336 PL"/>
      <sheetName val="336 Truncate"/>
      <sheetName val="340.10 PL"/>
      <sheetName val="340.10 Truncate"/>
      <sheetName val="341 PL"/>
      <sheetName val="341 Truncate"/>
      <sheetName val="342 PL"/>
      <sheetName val="342 Truncate"/>
      <sheetName val="343 PL"/>
      <sheetName val="343 Truncate"/>
      <sheetName val="344 PL"/>
      <sheetName val="344 Truncate"/>
      <sheetName val="345 PL"/>
      <sheetName val="345 Truncate"/>
      <sheetName val="346 PL"/>
      <sheetName val="346 Truncate"/>
    </sheetNames>
    <sheetDataSet>
      <sheetData sheetId="0">
        <row r="88">
          <cell r="E88">
            <v>32.035567986634398</v>
          </cell>
        </row>
      </sheetData>
      <sheetData sheetId="1"/>
      <sheetData sheetId="2">
        <row r="88">
          <cell r="E88">
            <v>28.157093066199394</v>
          </cell>
        </row>
      </sheetData>
      <sheetData sheetId="3"/>
      <sheetData sheetId="4">
        <row r="87">
          <cell r="E87">
            <v>27.789193367154329</v>
          </cell>
        </row>
      </sheetData>
      <sheetData sheetId="5"/>
      <sheetData sheetId="6">
        <row r="88">
          <cell r="E88">
            <v>28.871712774138441</v>
          </cell>
        </row>
      </sheetData>
      <sheetData sheetId="7"/>
      <sheetData sheetId="8">
        <row r="94">
          <cell r="E94">
            <v>24.544204066345198</v>
          </cell>
        </row>
      </sheetData>
      <sheetData sheetId="9"/>
      <sheetData sheetId="10">
        <row r="94">
          <cell r="E94">
            <v>24.984758834863328</v>
          </cell>
        </row>
      </sheetData>
      <sheetData sheetId="11"/>
      <sheetData sheetId="12">
        <row r="94">
          <cell r="E94">
            <v>26.320516928318451</v>
          </cell>
        </row>
      </sheetData>
      <sheetData sheetId="13"/>
      <sheetData sheetId="14">
        <row r="93">
          <cell r="E93">
            <v>29.505409110680514</v>
          </cell>
        </row>
      </sheetData>
      <sheetData sheetId="15"/>
      <sheetData sheetId="16">
        <row r="94">
          <cell r="E94">
            <v>29.09546634584725</v>
          </cell>
        </row>
      </sheetData>
      <sheetData sheetId="17"/>
      <sheetData sheetId="18">
        <row r="94">
          <cell r="E94">
            <v>24.25493511246594</v>
          </cell>
        </row>
      </sheetData>
      <sheetData sheetId="19"/>
      <sheetData sheetId="20">
        <row r="94">
          <cell r="E94">
            <v>23.64032503191288</v>
          </cell>
        </row>
      </sheetData>
      <sheetData sheetId="21"/>
      <sheetData sheetId="22">
        <row r="94">
          <cell r="E94">
            <v>26.475316309031719</v>
          </cell>
        </row>
      </sheetData>
      <sheetData sheetId="23"/>
      <sheetData sheetId="24">
        <row r="41">
          <cell r="E41">
            <v>13.384458212610225</v>
          </cell>
        </row>
      </sheetData>
      <sheetData sheetId="25"/>
      <sheetData sheetId="26">
        <row r="41">
          <cell r="E41">
            <v>19.592445205203227</v>
          </cell>
        </row>
      </sheetData>
      <sheetData sheetId="27"/>
      <sheetData sheetId="28">
        <row r="65">
          <cell r="E65">
            <v>16.759746667426889</v>
          </cell>
        </row>
      </sheetData>
      <sheetData sheetId="29"/>
      <sheetData sheetId="30">
        <row r="41">
          <cell r="E41">
            <v>17.503849676898707</v>
          </cell>
        </row>
      </sheetData>
      <sheetData sheetId="31"/>
      <sheetData sheetId="32">
        <row r="65">
          <cell r="E65">
            <v>18.74732065873895</v>
          </cell>
        </row>
      </sheetData>
      <sheetData sheetId="33"/>
      <sheetData sheetId="34">
        <row r="65">
          <cell r="E65">
            <v>19.790485114046348</v>
          </cell>
        </row>
      </sheetData>
      <sheetData sheetId="35"/>
      <sheetData sheetId="36">
        <row r="65">
          <cell r="E65">
            <v>18.810098901193253</v>
          </cell>
        </row>
      </sheetData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 fitToPage="1"/>
  </sheetPr>
  <dimension ref="A1:Y385"/>
  <sheetViews>
    <sheetView zoomScale="70" zoomScaleNormal="7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O16" sqref="O16:O361"/>
    </sheetView>
  </sheetViews>
  <sheetFormatPr defaultColWidth="9.77734375" defaultRowHeight="15" x14ac:dyDescent="0.2"/>
  <cols>
    <col min="1" max="1" width="9.77734375" customWidth="1"/>
    <col min="2" max="2" width="1.5546875" bestFit="1" customWidth="1"/>
    <col min="3" max="3" width="51.77734375" customWidth="1"/>
    <col min="4" max="4" width="5.6640625" bestFit="1" customWidth="1"/>
    <col min="5" max="5" width="16.21875" style="22" customWidth="1"/>
    <col min="6" max="6" width="3.77734375" style="22" customWidth="1"/>
    <col min="7" max="7" width="9.77734375" style="23" customWidth="1"/>
    <col min="8" max="8" width="3.77734375" customWidth="1"/>
    <col min="9" max="9" width="16.44140625" customWidth="1"/>
    <col min="10" max="10" width="3.77734375" customWidth="1"/>
    <col min="11" max="11" width="16.6640625" style="16" customWidth="1"/>
    <col min="12" max="12" width="3.77734375" style="16" customWidth="1"/>
    <col min="13" max="13" width="13.88671875" style="16" customWidth="1"/>
    <col min="14" max="14" width="3.77734375" style="16" customWidth="1"/>
    <col min="15" max="15" width="12.77734375" style="16" customWidth="1"/>
    <col min="16" max="16" width="3.77734375" customWidth="1"/>
    <col min="17" max="17" width="11.77734375" customWidth="1"/>
    <col min="18" max="18" width="3.77734375" customWidth="1"/>
    <col min="19" max="19" width="12.77734375" customWidth="1"/>
    <col min="20" max="20" width="3.77734375" customWidth="1"/>
    <col min="22" max="22" width="3.77734375" customWidth="1"/>
    <col min="23" max="23" width="11.88671875" style="145" customWidth="1"/>
    <col min="24" max="24" width="3.77734375" customWidth="1"/>
    <col min="25" max="25" width="11" style="144" bestFit="1" customWidth="1"/>
  </cols>
  <sheetData>
    <row r="1" spans="1:25" x14ac:dyDescent="0.2">
      <c r="A1" s="9"/>
      <c r="B1" s="9"/>
      <c r="C1" s="9"/>
      <c r="D1" s="9"/>
      <c r="H1" s="9"/>
      <c r="I1" s="9"/>
      <c r="J1" s="9"/>
      <c r="K1" s="14"/>
      <c r="L1" s="14"/>
      <c r="M1" s="14"/>
      <c r="N1" s="14"/>
      <c r="O1" s="14"/>
      <c r="P1" s="9"/>
      <c r="Q1" s="9"/>
      <c r="R1" s="9"/>
      <c r="S1" s="9"/>
      <c r="T1" s="9"/>
    </row>
    <row r="2" spans="1:25" ht="15.75" x14ac:dyDescent="0.25">
      <c r="A2" s="60" t="s">
        <v>131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9"/>
    </row>
    <row r="3" spans="1:25" ht="15.75" x14ac:dyDescent="0.25">
      <c r="A3" s="18"/>
      <c r="B3" s="18"/>
      <c r="C3" s="18"/>
      <c r="D3" s="18"/>
      <c r="E3" s="298" t="s">
        <v>284</v>
      </c>
      <c r="F3" s="299"/>
      <c r="G3" s="299"/>
      <c r="H3" s="299"/>
      <c r="I3" s="299"/>
      <c r="J3" s="299"/>
      <c r="K3" s="299"/>
      <c r="L3" s="299"/>
      <c r="M3" s="18"/>
      <c r="N3" s="18"/>
      <c r="O3" s="18"/>
      <c r="P3" s="18"/>
      <c r="Q3" s="18"/>
      <c r="R3" s="18"/>
      <c r="S3" s="18"/>
      <c r="T3" s="9"/>
    </row>
    <row r="4" spans="1:25" ht="15.75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9"/>
    </row>
    <row r="5" spans="1:25" ht="15.75" x14ac:dyDescent="0.25">
      <c r="A5" s="60" t="s">
        <v>161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9"/>
    </row>
    <row r="6" spans="1:25" ht="16.5" thickBot="1" x14ac:dyDescent="0.3">
      <c r="A6" s="4"/>
      <c r="B6" s="10"/>
      <c r="C6" s="10"/>
      <c r="D6" s="10"/>
      <c r="E6" s="55"/>
      <c r="F6" s="55"/>
      <c r="H6" s="10"/>
      <c r="I6" s="10"/>
      <c r="J6" s="10"/>
      <c r="K6" s="15"/>
      <c r="L6" s="15"/>
      <c r="M6" s="15"/>
      <c r="N6" s="15"/>
      <c r="T6" s="9"/>
    </row>
    <row r="7" spans="1:25" ht="16.5" thickBot="1" x14ac:dyDescent="0.3">
      <c r="A7" s="9"/>
      <c r="B7" s="7"/>
      <c r="C7" s="2"/>
      <c r="D7" s="6"/>
      <c r="E7" s="6"/>
      <c r="F7" s="6"/>
      <c r="G7" s="12" t="s">
        <v>2</v>
      </c>
      <c r="H7" s="6"/>
      <c r="I7" s="6"/>
      <c r="J7" s="6"/>
      <c r="K7" s="17" t="s">
        <v>3</v>
      </c>
      <c r="L7" s="17"/>
      <c r="M7" s="17"/>
      <c r="N7" s="17"/>
      <c r="O7" s="295" t="s">
        <v>283</v>
      </c>
      <c r="P7" s="296"/>
      <c r="Q7" s="297"/>
      <c r="R7" s="1"/>
      <c r="S7" s="6" t="s">
        <v>4</v>
      </c>
      <c r="T7" s="9"/>
      <c r="U7" s="292" t="s">
        <v>218</v>
      </c>
      <c r="V7" s="293"/>
      <c r="W7" s="294"/>
      <c r="X7" s="129"/>
    </row>
    <row r="8" spans="1:25" ht="15.75" x14ac:dyDescent="0.25">
      <c r="A8" s="9"/>
      <c r="B8" s="7"/>
      <c r="C8" s="6"/>
      <c r="D8" s="6"/>
      <c r="E8" s="6" t="s">
        <v>5</v>
      </c>
      <c r="F8" s="6"/>
      <c r="G8" s="12" t="s">
        <v>6</v>
      </c>
      <c r="H8" s="6"/>
      <c r="I8" s="6" t="s">
        <v>7</v>
      </c>
      <c r="J8" s="6"/>
      <c r="K8" s="17" t="s">
        <v>8</v>
      </c>
      <c r="L8" s="17"/>
      <c r="M8" s="17" t="s">
        <v>9</v>
      </c>
      <c r="N8" s="17"/>
      <c r="O8" s="172" t="s">
        <v>10</v>
      </c>
      <c r="P8" s="171"/>
      <c r="Q8" s="173" t="s">
        <v>11</v>
      </c>
      <c r="R8" s="1"/>
      <c r="S8" s="6" t="s">
        <v>12</v>
      </c>
      <c r="T8" s="9"/>
      <c r="U8" s="130"/>
      <c r="V8" s="126"/>
      <c r="X8" s="126"/>
    </row>
    <row r="9" spans="1:25" ht="15.75" x14ac:dyDescent="0.25">
      <c r="A9" s="9"/>
      <c r="B9" s="7"/>
      <c r="C9" s="6" t="s">
        <v>13</v>
      </c>
      <c r="D9" s="6"/>
      <c r="E9" s="6" t="s">
        <v>14</v>
      </c>
      <c r="F9" s="6"/>
      <c r="G9" s="12" t="s">
        <v>15</v>
      </c>
      <c r="H9" s="6"/>
      <c r="I9" s="6" t="s">
        <v>16</v>
      </c>
      <c r="J9" s="6"/>
      <c r="K9" s="17" t="s">
        <v>17</v>
      </c>
      <c r="L9" s="17"/>
      <c r="M9" s="17" t="s">
        <v>18</v>
      </c>
      <c r="N9" s="17"/>
      <c r="O9" s="17" t="s">
        <v>19</v>
      </c>
      <c r="P9" s="6"/>
      <c r="Q9" s="2" t="s">
        <v>20</v>
      </c>
      <c r="R9" s="1"/>
      <c r="S9" s="6" t="s">
        <v>21</v>
      </c>
      <c r="T9" s="9"/>
      <c r="U9" s="131" t="s">
        <v>219</v>
      </c>
      <c r="V9" s="128"/>
      <c r="W9" s="146" t="s">
        <v>220</v>
      </c>
      <c r="X9" s="128"/>
      <c r="Y9" s="147" t="s">
        <v>221</v>
      </c>
    </row>
    <row r="10" spans="1:25" ht="15.75" x14ac:dyDescent="0.25">
      <c r="A10" s="9"/>
      <c r="B10" s="7"/>
      <c r="C10" s="11">
        <v>-1</v>
      </c>
      <c r="D10" s="5"/>
      <c r="E10" s="11">
        <v>-2</v>
      </c>
      <c r="F10" s="5"/>
      <c r="G10" s="13">
        <v>-3</v>
      </c>
      <c r="H10" s="5"/>
      <c r="I10" s="11">
        <v>-4</v>
      </c>
      <c r="J10" s="5"/>
      <c r="K10" s="11">
        <v>-5</v>
      </c>
      <c r="L10" s="17"/>
      <c r="M10" s="11">
        <v>-6</v>
      </c>
      <c r="N10" s="17"/>
      <c r="O10" s="11">
        <v>-7</v>
      </c>
      <c r="P10" s="5"/>
      <c r="Q10" s="3" t="s">
        <v>22</v>
      </c>
      <c r="S10" s="3" t="s">
        <v>23</v>
      </c>
      <c r="T10" s="9"/>
      <c r="U10" s="127">
        <v>-10</v>
      </c>
      <c r="V10" s="128"/>
      <c r="W10" s="148" t="s">
        <v>222</v>
      </c>
      <c r="X10" s="128"/>
      <c r="Y10" s="149" t="s">
        <v>223</v>
      </c>
    </row>
    <row r="11" spans="1:25" ht="15.75" x14ac:dyDescent="0.25">
      <c r="A11" s="9"/>
      <c r="B11" s="7"/>
      <c r="C11" s="5"/>
      <c r="D11" s="5"/>
      <c r="E11" s="5"/>
      <c r="F11" s="5"/>
      <c r="G11" s="12"/>
      <c r="H11" s="5"/>
      <c r="I11" s="5"/>
      <c r="J11" s="5"/>
      <c r="K11" s="17"/>
      <c r="L11" s="17"/>
      <c r="M11" s="17"/>
      <c r="N11" s="17"/>
      <c r="O11" s="17"/>
      <c r="P11" s="5"/>
      <c r="Q11" s="5"/>
      <c r="S11" s="5"/>
      <c r="T11" s="9"/>
      <c r="X11" s="135"/>
    </row>
    <row r="12" spans="1:25" ht="15.75" x14ac:dyDescent="0.25">
      <c r="A12" s="9"/>
      <c r="C12" s="8" t="s">
        <v>56</v>
      </c>
      <c r="K12" s="14"/>
      <c r="L12" s="14"/>
      <c r="M12" s="14"/>
      <c r="N12" s="14"/>
      <c r="O12" s="14"/>
      <c r="T12" s="9"/>
      <c r="X12" s="135"/>
    </row>
    <row r="13" spans="1:25" x14ac:dyDescent="0.2">
      <c r="A13" s="9"/>
      <c r="K13" s="14"/>
      <c r="L13" s="14"/>
      <c r="M13" s="14"/>
      <c r="N13" s="14"/>
      <c r="O13" s="14"/>
      <c r="T13" s="9"/>
      <c r="X13" s="135"/>
    </row>
    <row r="14" spans="1:25" ht="15.75" x14ac:dyDescent="0.25">
      <c r="A14" s="9"/>
      <c r="C14" s="70" t="s">
        <v>157</v>
      </c>
      <c r="K14" s="14"/>
      <c r="L14" s="14"/>
      <c r="M14" s="14"/>
      <c r="N14" s="14"/>
      <c r="O14" s="14"/>
      <c r="T14" s="9"/>
      <c r="X14" s="135"/>
    </row>
    <row r="15" spans="1:25" x14ac:dyDescent="0.2">
      <c r="A15" s="9"/>
      <c r="K15" s="14"/>
      <c r="L15" s="14"/>
      <c r="M15" s="14"/>
      <c r="N15" s="14"/>
      <c r="O15" s="14"/>
      <c r="T15" s="9"/>
      <c r="X15" s="135"/>
    </row>
    <row r="16" spans="1:25" x14ac:dyDescent="0.2">
      <c r="A16" s="26">
        <v>302</v>
      </c>
      <c r="B16" s="27"/>
      <c r="C16" s="59" t="s">
        <v>156</v>
      </c>
      <c r="D16" s="27"/>
      <c r="E16" s="20" t="s">
        <v>150</v>
      </c>
      <c r="F16" s="20"/>
      <c r="G16" s="19">
        <v>0</v>
      </c>
      <c r="H16" s="27"/>
      <c r="I16" s="29">
        <v>55918.83</v>
      </c>
      <c r="J16" s="100"/>
      <c r="K16" s="29">
        <v>21074</v>
      </c>
      <c r="L16" s="34"/>
      <c r="M16" s="45">
        <v>34845</v>
      </c>
      <c r="N16" s="45"/>
      <c r="O16" s="45">
        <v>10503</v>
      </c>
      <c r="P16" s="27"/>
      <c r="Q16" s="116">
        <f>IF(O16/I16*100=0,"-     ",ROUND(O16/I16*100,2))</f>
        <v>18.78</v>
      </c>
      <c r="S16" s="117">
        <f t="shared" ref="S16" si="0">IF(O16=0,"-     ",ROUND(M16/O16,1))</f>
        <v>3.3</v>
      </c>
      <c r="T16" s="32"/>
      <c r="U16" s="120">
        <v>0</v>
      </c>
      <c r="W16" s="145">
        <f>I16*U16</f>
        <v>0</v>
      </c>
      <c r="X16" s="135"/>
      <c r="Y16" s="144">
        <f>O16-W16</f>
        <v>10503</v>
      </c>
    </row>
    <row r="17" spans="1:25" x14ac:dyDescent="0.2">
      <c r="A17" s="26">
        <v>303</v>
      </c>
      <c r="B17" s="27"/>
      <c r="C17" s="27" t="s">
        <v>50</v>
      </c>
      <c r="D17" s="27"/>
      <c r="E17" s="20" t="s">
        <v>153</v>
      </c>
      <c r="F17" s="20"/>
      <c r="G17" s="19">
        <v>0</v>
      </c>
      <c r="H17" s="27"/>
      <c r="I17" s="29">
        <v>18338712.02</v>
      </c>
      <c r="J17" s="100"/>
      <c r="K17" s="29">
        <v>7484852</v>
      </c>
      <c r="L17" s="34"/>
      <c r="M17" s="45">
        <v>10853860</v>
      </c>
      <c r="N17" s="45"/>
      <c r="O17" s="45">
        <v>2801459</v>
      </c>
      <c r="P17" s="27"/>
      <c r="Q17" s="116">
        <f t="shared" ref="Q17:Q18" si="1">IF(O17/I17*100=0,"-     ",ROUND(O17/I17*100,2))</f>
        <v>15.28</v>
      </c>
      <c r="S17" s="117">
        <f t="shared" ref="S17:S18" si="2">IF(O17=0,"-     ",ROUND(M17/O17,1))</f>
        <v>3.9</v>
      </c>
      <c r="T17" s="32"/>
      <c r="U17" s="120">
        <v>0.2</v>
      </c>
      <c r="W17" s="145">
        <f t="shared" ref="W17:W18" si="3">I17*U17</f>
        <v>3667742.4040000001</v>
      </c>
      <c r="X17" s="135"/>
      <c r="Y17" s="144">
        <f t="shared" ref="Y17:Y18" si="4">O17-W17</f>
        <v>-866283.4040000001</v>
      </c>
    </row>
    <row r="18" spans="1:25" x14ac:dyDescent="0.2">
      <c r="A18" s="26">
        <v>303.10000000000002</v>
      </c>
      <c r="B18" s="27"/>
      <c r="C18" s="27" t="s">
        <v>92</v>
      </c>
      <c r="D18" s="27"/>
      <c r="E18" s="20" t="s">
        <v>132</v>
      </c>
      <c r="F18" s="20" t="s">
        <v>64</v>
      </c>
      <c r="G18" s="19">
        <v>0</v>
      </c>
      <c r="H18" s="27"/>
      <c r="I18" s="47">
        <v>40210208.289999999</v>
      </c>
      <c r="J18" s="100"/>
      <c r="K18" s="47">
        <v>10240838</v>
      </c>
      <c r="L18" s="34"/>
      <c r="M18" s="90">
        <v>29969370</v>
      </c>
      <c r="N18" s="45"/>
      <c r="O18" s="90">
        <v>3995916</v>
      </c>
      <c r="P18" s="27"/>
      <c r="Q18" s="116">
        <f t="shared" si="1"/>
        <v>9.94</v>
      </c>
      <c r="S18" s="117">
        <f t="shared" si="2"/>
        <v>7.5</v>
      </c>
      <c r="T18" s="32"/>
      <c r="U18" s="120">
        <v>0.1</v>
      </c>
      <c r="W18" s="145">
        <f t="shared" si="3"/>
        <v>4021020.8289999999</v>
      </c>
      <c r="X18" s="135"/>
      <c r="Y18" s="144">
        <f t="shared" si="4"/>
        <v>-25104.828999999911</v>
      </c>
    </row>
    <row r="19" spans="1:25" x14ac:dyDescent="0.2">
      <c r="A19" s="9"/>
      <c r="K19" s="14"/>
      <c r="L19" s="14"/>
      <c r="M19" s="14"/>
      <c r="N19" s="14"/>
      <c r="O19" s="14"/>
      <c r="T19" s="9"/>
      <c r="U19" s="120"/>
      <c r="X19" s="135"/>
    </row>
    <row r="20" spans="1:25" ht="15.75" x14ac:dyDescent="0.25">
      <c r="A20" s="9"/>
      <c r="C20" s="64" t="s">
        <v>158</v>
      </c>
      <c r="I20" s="52">
        <f>+SUBTOTAL(9,I16:I19)</f>
        <v>58604839.140000001</v>
      </c>
      <c r="J20" s="30"/>
      <c r="K20" s="31">
        <f>+SUBTOTAL(9,K16:K19)</f>
        <v>17746764</v>
      </c>
      <c r="L20" s="31"/>
      <c r="M20" s="31">
        <f>+SUBTOTAL(9,M16:M19)</f>
        <v>40858075</v>
      </c>
      <c r="N20" s="31"/>
      <c r="O20" s="31">
        <f>+SUBTOTAL(9,O16:O19)</f>
        <v>6807878</v>
      </c>
      <c r="Q20" s="61">
        <f>+ROUND(O20/I20*100,2)</f>
        <v>11.62</v>
      </c>
      <c r="T20" s="9"/>
      <c r="U20" s="120"/>
      <c r="W20" s="132">
        <f>+SUBTOTAL(9,W16:W19)</f>
        <v>7688763.233</v>
      </c>
      <c r="X20" s="135"/>
      <c r="Y20" s="144">
        <f>O20-W20</f>
        <v>-880885.23300000001</v>
      </c>
    </row>
    <row r="21" spans="1:25" ht="15.75" x14ac:dyDescent="0.25">
      <c r="A21" s="9"/>
      <c r="C21" s="50"/>
      <c r="K21" s="14"/>
      <c r="L21" s="14"/>
      <c r="M21" s="14"/>
      <c r="N21" s="14"/>
      <c r="O21" s="14"/>
      <c r="T21" s="9"/>
      <c r="U21" s="120"/>
      <c r="W21" s="143"/>
      <c r="X21" s="135"/>
      <c r="Y21" s="155"/>
    </row>
    <row r="22" spans="1:25" ht="15.75" x14ac:dyDescent="0.25">
      <c r="A22" s="9"/>
      <c r="K22" s="14"/>
      <c r="L22" s="14"/>
      <c r="M22" s="14"/>
      <c r="N22" s="14"/>
      <c r="O22" s="14"/>
      <c r="T22" s="9"/>
      <c r="U22" s="120"/>
      <c r="W22" s="143"/>
      <c r="X22" s="135"/>
      <c r="Y22" s="155"/>
    </row>
    <row r="23" spans="1:25" ht="15.75" x14ac:dyDescent="0.25">
      <c r="A23" s="32"/>
      <c r="B23" s="27"/>
      <c r="C23" s="53" t="s">
        <v>24</v>
      </c>
      <c r="D23" s="27"/>
      <c r="E23" s="56"/>
      <c r="F23" s="56"/>
      <c r="G23" s="66"/>
      <c r="H23" s="27"/>
      <c r="I23" s="27"/>
      <c r="J23" s="27"/>
      <c r="K23" s="34"/>
      <c r="L23" s="34"/>
      <c r="M23" s="34"/>
      <c r="N23" s="34"/>
      <c r="O23" s="34"/>
      <c r="P23" s="27"/>
      <c r="Q23" s="62"/>
      <c r="R23" s="27"/>
      <c r="S23" s="26"/>
      <c r="T23" s="32"/>
      <c r="U23" s="120"/>
      <c r="X23" s="135"/>
    </row>
    <row r="24" spans="1:25" ht="15.75" x14ac:dyDescent="0.25">
      <c r="A24" s="32"/>
      <c r="B24" s="27"/>
      <c r="C24" s="43"/>
      <c r="D24" s="27"/>
      <c r="E24" s="56"/>
      <c r="F24" s="56"/>
      <c r="G24" s="66"/>
      <c r="H24" s="27"/>
      <c r="I24" s="27"/>
      <c r="J24" s="27"/>
      <c r="K24" s="34"/>
      <c r="L24" s="34"/>
      <c r="M24" s="34"/>
      <c r="N24" s="34"/>
      <c r="O24" s="34"/>
      <c r="P24" s="27"/>
      <c r="Q24" s="62"/>
      <c r="R24" s="27"/>
      <c r="S24" s="26"/>
      <c r="T24" s="32"/>
      <c r="U24" s="120"/>
      <c r="X24" s="135"/>
    </row>
    <row r="25" spans="1:25" x14ac:dyDescent="0.2">
      <c r="A25" s="26">
        <v>311</v>
      </c>
      <c r="B25" s="27"/>
      <c r="C25" s="27" t="s">
        <v>25</v>
      </c>
      <c r="D25" s="27"/>
      <c r="E25" s="20"/>
      <c r="F25" s="20"/>
      <c r="G25" s="19"/>
      <c r="H25" s="27"/>
      <c r="I25" s="29"/>
      <c r="J25" s="44"/>
      <c r="K25" s="45"/>
      <c r="L25" s="45"/>
      <c r="M25" s="45"/>
      <c r="N25" s="45"/>
      <c r="O25" s="45"/>
      <c r="P25" s="27"/>
      <c r="Q25" s="26"/>
      <c r="R25" s="27"/>
      <c r="S25" s="62"/>
      <c r="T25" s="32"/>
      <c r="U25" s="120"/>
      <c r="X25" s="135"/>
    </row>
    <row r="26" spans="1:25" x14ac:dyDescent="0.2">
      <c r="A26" s="26"/>
      <c r="B26" s="27"/>
      <c r="C26" s="59" t="s">
        <v>93</v>
      </c>
      <c r="D26" s="27"/>
      <c r="E26" s="20" t="s">
        <v>191</v>
      </c>
      <c r="F26" s="20" t="s">
        <v>64</v>
      </c>
      <c r="G26" s="19">
        <v>-15</v>
      </c>
      <c r="H26" s="27"/>
      <c r="I26" s="29">
        <v>106290580.94</v>
      </c>
      <c r="J26" s="44"/>
      <c r="K26" s="45">
        <v>18699136</v>
      </c>
      <c r="L26" s="45"/>
      <c r="M26" s="45">
        <v>103535032</v>
      </c>
      <c r="N26" s="45"/>
      <c r="O26" s="45">
        <v>2021312</v>
      </c>
      <c r="P26" s="27"/>
      <c r="Q26" s="116">
        <f t="shared" ref="Q26:Q44" si="5">IF(O26/I26*100=0,"-     ",ROUND(O26/I26*100,2))</f>
        <v>1.9</v>
      </c>
      <c r="S26" s="117">
        <f t="shared" ref="S26:S44" si="6">IF(O26=0,"-     ",ROUND(M26/O26,1))</f>
        <v>51.2</v>
      </c>
      <c r="T26" s="32"/>
      <c r="U26" s="120">
        <v>2.1000000000000001E-2</v>
      </c>
      <c r="W26" s="145">
        <f t="shared" ref="W26:W44" si="7">I26*U26</f>
        <v>2232102.1997400001</v>
      </c>
      <c r="X26" s="135"/>
      <c r="Y26" s="144">
        <f t="shared" ref="Y26:Y44" si="8">O26-W26</f>
        <v>-210790.19974000007</v>
      </c>
    </row>
    <row r="27" spans="1:25" x14ac:dyDescent="0.2">
      <c r="A27" s="26"/>
      <c r="B27" s="27"/>
      <c r="C27" s="59" t="s">
        <v>94</v>
      </c>
      <c r="D27" s="27"/>
      <c r="E27" s="20" t="s">
        <v>191</v>
      </c>
      <c r="F27" s="20" t="s">
        <v>64</v>
      </c>
      <c r="G27" s="19">
        <v>-15</v>
      </c>
      <c r="H27" s="27"/>
      <c r="I27" s="29">
        <v>5522306.9800000004</v>
      </c>
      <c r="J27" s="44"/>
      <c r="K27" s="45">
        <v>2689746</v>
      </c>
      <c r="L27" s="45"/>
      <c r="M27" s="45">
        <v>3660907</v>
      </c>
      <c r="N27" s="45"/>
      <c r="O27" s="45">
        <v>75374</v>
      </c>
      <c r="P27" s="27"/>
      <c r="Q27" s="116">
        <f t="shared" si="5"/>
        <v>1.36</v>
      </c>
      <c r="S27" s="117">
        <f t="shared" si="6"/>
        <v>48.6</v>
      </c>
      <c r="T27" s="32"/>
      <c r="U27" s="120">
        <v>2.1000000000000001E-2</v>
      </c>
      <c r="W27" s="145">
        <f t="shared" si="7"/>
        <v>115968.44658000002</v>
      </c>
      <c r="X27" s="135"/>
      <c r="Y27" s="144">
        <f t="shared" si="8"/>
        <v>-40594.446580000018</v>
      </c>
    </row>
    <row r="28" spans="1:25" x14ac:dyDescent="0.2">
      <c r="A28" s="26"/>
      <c r="B28" s="27"/>
      <c r="C28" s="59" t="s">
        <v>95</v>
      </c>
      <c r="D28" s="27"/>
      <c r="E28" s="20" t="s">
        <v>191</v>
      </c>
      <c r="F28" s="20" t="s">
        <v>64</v>
      </c>
      <c r="G28" s="19">
        <v>-1</v>
      </c>
      <c r="H28" s="27"/>
      <c r="I28" s="29">
        <v>824968.82</v>
      </c>
      <c r="J28" s="44"/>
      <c r="K28" s="45">
        <v>609422</v>
      </c>
      <c r="L28" s="45"/>
      <c r="M28" s="45">
        <v>223797</v>
      </c>
      <c r="N28" s="45"/>
      <c r="O28" s="45">
        <v>8170</v>
      </c>
      <c r="P28" s="27"/>
      <c r="Q28" s="116">
        <f t="shared" si="5"/>
        <v>0.99</v>
      </c>
      <c r="S28" s="117">
        <f t="shared" si="6"/>
        <v>27.4</v>
      </c>
      <c r="T28" s="32"/>
      <c r="U28" s="120">
        <v>1.54E-2</v>
      </c>
      <c r="W28" s="145">
        <f t="shared" si="7"/>
        <v>12704.519828</v>
      </c>
      <c r="X28" s="135"/>
      <c r="Y28" s="144">
        <f t="shared" si="8"/>
        <v>-4534.5198280000004</v>
      </c>
    </row>
    <row r="29" spans="1:25" x14ac:dyDescent="0.2">
      <c r="A29" s="26"/>
      <c r="B29" s="27"/>
      <c r="C29" s="59" t="s">
        <v>96</v>
      </c>
      <c r="D29" s="27"/>
      <c r="E29" s="20" t="s">
        <v>191</v>
      </c>
      <c r="F29" s="20" t="s">
        <v>64</v>
      </c>
      <c r="G29" s="19">
        <v>-10</v>
      </c>
      <c r="H29" s="27"/>
      <c r="I29" s="29">
        <v>5608825.0700000003</v>
      </c>
      <c r="J29" s="44"/>
      <c r="K29" s="45">
        <v>6169708</v>
      </c>
      <c r="L29" s="45"/>
      <c r="M29" s="45">
        <v>0</v>
      </c>
      <c r="N29" s="45"/>
      <c r="O29" s="45">
        <v>0</v>
      </c>
      <c r="P29" s="27"/>
      <c r="Q29" s="116" t="str">
        <f t="shared" si="5"/>
        <v xml:space="preserve">-     </v>
      </c>
      <c r="S29" s="117" t="str">
        <f t="shared" si="6"/>
        <v xml:space="preserve">-     </v>
      </c>
      <c r="T29" s="32"/>
      <c r="U29" s="120">
        <v>0</v>
      </c>
      <c r="W29" s="145">
        <f t="shared" si="7"/>
        <v>0</v>
      </c>
      <c r="X29" s="135"/>
      <c r="Y29" s="144">
        <f t="shared" si="8"/>
        <v>0</v>
      </c>
    </row>
    <row r="30" spans="1:25" x14ac:dyDescent="0.2">
      <c r="A30" s="26"/>
      <c r="B30" s="27"/>
      <c r="C30" s="59" t="s">
        <v>97</v>
      </c>
      <c r="D30" s="27"/>
      <c r="E30" s="20" t="s">
        <v>159</v>
      </c>
      <c r="F30" s="20" t="s">
        <v>64</v>
      </c>
      <c r="G30" s="19">
        <v>-10</v>
      </c>
      <c r="H30" s="27"/>
      <c r="I30" s="29">
        <v>583381.43999999994</v>
      </c>
      <c r="J30" s="44"/>
      <c r="K30" s="45">
        <v>641720</v>
      </c>
      <c r="L30" s="45"/>
      <c r="M30" s="45">
        <v>0</v>
      </c>
      <c r="N30" s="45"/>
      <c r="O30" s="45">
        <v>0</v>
      </c>
      <c r="P30" s="27"/>
      <c r="Q30" s="116" t="str">
        <f t="shared" si="5"/>
        <v xml:space="preserve">-     </v>
      </c>
      <c r="S30" s="117" t="str">
        <f t="shared" si="6"/>
        <v xml:space="preserve">-     </v>
      </c>
      <c r="T30" s="32"/>
      <c r="U30" s="120">
        <v>0</v>
      </c>
      <c r="W30" s="145">
        <f t="shared" si="7"/>
        <v>0</v>
      </c>
      <c r="X30" s="135"/>
      <c r="Y30" s="144">
        <f t="shared" si="8"/>
        <v>0</v>
      </c>
    </row>
    <row r="31" spans="1:25" x14ac:dyDescent="0.2">
      <c r="A31" s="26"/>
      <c r="B31" s="27"/>
      <c r="C31" s="63" t="s">
        <v>98</v>
      </c>
      <c r="D31" s="27"/>
      <c r="E31" s="20" t="s">
        <v>191</v>
      </c>
      <c r="F31" s="20" t="s">
        <v>64</v>
      </c>
      <c r="G31" s="19">
        <v>-10</v>
      </c>
      <c r="H31" s="27"/>
      <c r="I31" s="29">
        <v>2821436.66</v>
      </c>
      <c r="J31" s="44"/>
      <c r="K31" s="45">
        <v>3103580</v>
      </c>
      <c r="L31" s="45"/>
      <c r="M31" s="45">
        <v>0</v>
      </c>
      <c r="N31" s="45"/>
      <c r="O31" s="45">
        <v>0</v>
      </c>
      <c r="P31" s="27"/>
      <c r="Q31" s="116" t="str">
        <f t="shared" si="5"/>
        <v xml:space="preserve">-     </v>
      </c>
      <c r="S31" s="117" t="str">
        <f t="shared" si="6"/>
        <v xml:space="preserve">-     </v>
      </c>
      <c r="T31" s="32"/>
      <c r="U31" s="120">
        <v>0</v>
      </c>
      <c r="W31" s="145">
        <f t="shared" si="7"/>
        <v>0</v>
      </c>
      <c r="X31" s="135"/>
      <c r="Y31" s="144">
        <f t="shared" si="8"/>
        <v>0</v>
      </c>
    </row>
    <row r="32" spans="1:25" x14ac:dyDescent="0.2">
      <c r="A32" s="26"/>
      <c r="B32" s="27"/>
      <c r="C32" s="63" t="s">
        <v>99</v>
      </c>
      <c r="D32" s="27"/>
      <c r="E32" s="20" t="s">
        <v>191</v>
      </c>
      <c r="F32" s="20" t="s">
        <v>64</v>
      </c>
      <c r="G32" s="19">
        <v>-10</v>
      </c>
      <c r="H32" s="27"/>
      <c r="I32" s="29">
        <v>5476054.2999999998</v>
      </c>
      <c r="J32" s="44"/>
      <c r="K32" s="45">
        <v>4320817</v>
      </c>
      <c r="L32" s="45"/>
      <c r="M32" s="45">
        <v>1702843</v>
      </c>
      <c r="N32" s="45"/>
      <c r="O32" s="45">
        <v>426905</v>
      </c>
      <c r="P32" s="27"/>
      <c r="Q32" s="116">
        <f t="shared" si="5"/>
        <v>7.8</v>
      </c>
      <c r="S32" s="117">
        <f t="shared" si="6"/>
        <v>4</v>
      </c>
      <c r="T32" s="32"/>
      <c r="U32" s="120">
        <v>0</v>
      </c>
      <c r="W32" s="145">
        <f t="shared" si="7"/>
        <v>0</v>
      </c>
      <c r="X32" s="135"/>
      <c r="Y32" s="144">
        <f t="shared" si="8"/>
        <v>426905</v>
      </c>
    </row>
    <row r="33" spans="1:25" x14ac:dyDescent="0.2">
      <c r="A33" s="26"/>
      <c r="B33" s="27"/>
      <c r="C33" s="63" t="s">
        <v>100</v>
      </c>
      <c r="D33" s="27"/>
      <c r="E33" s="20" t="s">
        <v>159</v>
      </c>
      <c r="F33" s="20" t="s">
        <v>64</v>
      </c>
      <c r="G33" s="19">
        <v>-10</v>
      </c>
      <c r="H33" s="27"/>
      <c r="I33" s="29">
        <v>2560764.1800000002</v>
      </c>
      <c r="J33" s="44"/>
      <c r="K33" s="45">
        <v>2816841</v>
      </c>
      <c r="L33" s="45"/>
      <c r="M33" s="45">
        <v>0</v>
      </c>
      <c r="N33" s="45"/>
      <c r="O33" s="45">
        <v>0</v>
      </c>
      <c r="P33" s="27"/>
      <c r="Q33" s="116" t="str">
        <f t="shared" si="5"/>
        <v xml:space="preserve">-     </v>
      </c>
      <c r="S33" s="117" t="str">
        <f t="shared" si="6"/>
        <v xml:space="preserve">-     </v>
      </c>
      <c r="T33" s="32"/>
      <c r="U33" s="120">
        <v>0</v>
      </c>
      <c r="W33" s="145">
        <f t="shared" si="7"/>
        <v>0</v>
      </c>
      <c r="X33" s="135"/>
      <c r="Y33" s="144">
        <f t="shared" si="8"/>
        <v>0</v>
      </c>
    </row>
    <row r="34" spans="1:25" x14ac:dyDescent="0.2">
      <c r="A34" s="26"/>
      <c r="B34" s="27"/>
      <c r="C34" s="63" t="s">
        <v>101</v>
      </c>
      <c r="D34" s="27"/>
      <c r="E34" s="20" t="s">
        <v>191</v>
      </c>
      <c r="F34" s="20" t="s">
        <v>64</v>
      </c>
      <c r="G34" s="19">
        <v>-11</v>
      </c>
      <c r="H34" s="27"/>
      <c r="I34" s="29">
        <v>4703189.76</v>
      </c>
      <c r="J34" s="44"/>
      <c r="K34" s="45">
        <v>4861747</v>
      </c>
      <c r="L34" s="45"/>
      <c r="M34" s="45">
        <v>358794</v>
      </c>
      <c r="N34" s="45"/>
      <c r="O34" s="45">
        <v>21822</v>
      </c>
      <c r="P34" s="27"/>
      <c r="Q34" s="116">
        <f t="shared" si="5"/>
        <v>0.46</v>
      </c>
      <c r="S34" s="117">
        <f t="shared" si="6"/>
        <v>16.399999999999999</v>
      </c>
      <c r="T34" s="32"/>
      <c r="U34" s="120">
        <v>6.0000000000000001E-3</v>
      </c>
      <c r="W34" s="145">
        <f t="shared" si="7"/>
        <v>28219.138559999999</v>
      </c>
      <c r="X34" s="135"/>
      <c r="Y34" s="144">
        <f t="shared" si="8"/>
        <v>-6397.1385599999994</v>
      </c>
    </row>
    <row r="35" spans="1:25" x14ac:dyDescent="0.2">
      <c r="A35" s="26"/>
      <c r="B35" s="27"/>
      <c r="C35" s="63" t="s">
        <v>102</v>
      </c>
      <c r="D35" s="27"/>
      <c r="E35" s="20" t="s">
        <v>191</v>
      </c>
      <c r="F35" s="20" t="s">
        <v>64</v>
      </c>
      <c r="G35" s="19">
        <v>-11</v>
      </c>
      <c r="H35" s="27"/>
      <c r="I35" s="29">
        <v>2232100.04</v>
      </c>
      <c r="J35" s="44"/>
      <c r="K35" s="45">
        <v>2028873</v>
      </c>
      <c r="L35" s="45"/>
      <c r="M35" s="45">
        <v>448758</v>
      </c>
      <c r="N35" s="45"/>
      <c r="O35" s="45">
        <v>20077</v>
      </c>
      <c r="P35" s="27"/>
      <c r="Q35" s="116">
        <f t="shared" si="5"/>
        <v>0.9</v>
      </c>
      <c r="S35" s="117">
        <f t="shared" si="6"/>
        <v>22.4</v>
      </c>
      <c r="T35" s="32"/>
      <c r="U35" s="120">
        <v>8.0000000000000004E-4</v>
      </c>
      <c r="W35" s="145">
        <f t="shared" si="7"/>
        <v>1785.6800320000002</v>
      </c>
      <c r="X35" s="135"/>
      <c r="Y35" s="144">
        <f t="shared" si="8"/>
        <v>18291.319968</v>
      </c>
    </row>
    <row r="36" spans="1:25" x14ac:dyDescent="0.2">
      <c r="A36" s="26"/>
      <c r="B36" s="27"/>
      <c r="C36" s="63" t="s">
        <v>103</v>
      </c>
      <c r="D36" s="27"/>
      <c r="E36" s="20" t="s">
        <v>191</v>
      </c>
      <c r="F36" s="20" t="s">
        <v>64</v>
      </c>
      <c r="G36" s="19">
        <v>-11</v>
      </c>
      <c r="H36" s="27"/>
      <c r="I36" s="29">
        <v>21039674.359999999</v>
      </c>
      <c r="J36" s="44"/>
      <c r="K36" s="45">
        <v>14064263</v>
      </c>
      <c r="L36" s="45"/>
      <c r="M36" s="45">
        <v>9289776</v>
      </c>
      <c r="N36" s="45"/>
      <c r="O36" s="45">
        <v>400691</v>
      </c>
      <c r="P36" s="27"/>
      <c r="Q36" s="116">
        <f t="shared" si="5"/>
        <v>1.9</v>
      </c>
      <c r="S36" s="117">
        <f t="shared" si="6"/>
        <v>23.2</v>
      </c>
      <c r="T36" s="32"/>
      <c r="U36" s="120">
        <v>5.4000000000000003E-3</v>
      </c>
      <c r="W36" s="145">
        <f t="shared" si="7"/>
        <v>113614.241544</v>
      </c>
      <c r="X36" s="135"/>
      <c r="Y36" s="144">
        <f t="shared" si="8"/>
        <v>287076.75845600001</v>
      </c>
    </row>
    <row r="37" spans="1:25" x14ac:dyDescent="0.2">
      <c r="A37" s="26"/>
      <c r="B37" s="27"/>
      <c r="C37" s="63" t="s">
        <v>186</v>
      </c>
      <c r="D37" s="27"/>
      <c r="E37" s="20" t="s">
        <v>191</v>
      </c>
      <c r="F37" s="20" t="s">
        <v>64</v>
      </c>
      <c r="G37" s="19">
        <v>-11</v>
      </c>
      <c r="H37" s="27"/>
      <c r="I37" s="29">
        <v>43917221.149999999</v>
      </c>
      <c r="J37" s="44"/>
      <c r="K37" s="45">
        <v>1760616</v>
      </c>
      <c r="L37" s="45"/>
      <c r="M37" s="45">
        <v>46987499</v>
      </c>
      <c r="N37" s="45"/>
      <c r="O37" s="45">
        <v>2010590</v>
      </c>
      <c r="P37" s="27"/>
      <c r="Q37" s="116">
        <f t="shared" si="5"/>
        <v>4.58</v>
      </c>
      <c r="S37" s="117">
        <f t="shared" si="6"/>
        <v>23.4</v>
      </c>
      <c r="T37" s="32"/>
      <c r="U37" s="120">
        <v>2.6499999999999999E-2</v>
      </c>
      <c r="W37" s="145">
        <f t="shared" si="7"/>
        <v>1163806.360475</v>
      </c>
      <c r="X37" s="135"/>
      <c r="Y37" s="144">
        <f t="shared" si="8"/>
        <v>846783.63952500001</v>
      </c>
    </row>
    <row r="38" spans="1:25" x14ac:dyDescent="0.2">
      <c r="A38" s="26"/>
      <c r="B38" s="27"/>
      <c r="C38" s="63" t="s">
        <v>104</v>
      </c>
      <c r="D38" s="27"/>
      <c r="E38" s="20" t="s">
        <v>159</v>
      </c>
      <c r="F38" s="20" t="s">
        <v>64</v>
      </c>
      <c r="G38" s="19">
        <v>-10</v>
      </c>
      <c r="H38" s="27"/>
      <c r="I38" s="29">
        <v>16204.29</v>
      </c>
      <c r="J38" s="44"/>
      <c r="K38" s="45">
        <v>17825</v>
      </c>
      <c r="L38" s="45"/>
      <c r="M38" s="45">
        <v>0</v>
      </c>
      <c r="N38" s="45"/>
      <c r="O38" s="45">
        <v>0</v>
      </c>
      <c r="P38" s="27"/>
      <c r="Q38" s="116" t="str">
        <f t="shared" si="5"/>
        <v xml:space="preserve">-     </v>
      </c>
      <c r="S38" s="117" t="str">
        <f t="shared" si="6"/>
        <v xml:space="preserve">-     </v>
      </c>
      <c r="T38" s="32"/>
      <c r="U38" s="120">
        <v>0</v>
      </c>
      <c r="W38" s="145">
        <f t="shared" si="7"/>
        <v>0</v>
      </c>
      <c r="X38" s="135"/>
      <c r="Y38" s="144">
        <f t="shared" si="8"/>
        <v>0</v>
      </c>
    </row>
    <row r="39" spans="1:25" x14ac:dyDescent="0.2">
      <c r="A39" s="26"/>
      <c r="B39" s="27"/>
      <c r="C39" s="63" t="s">
        <v>105</v>
      </c>
      <c r="D39" s="27"/>
      <c r="E39" s="20" t="s">
        <v>191</v>
      </c>
      <c r="F39" s="20" t="s">
        <v>64</v>
      </c>
      <c r="G39" s="19">
        <v>-12</v>
      </c>
      <c r="H39" s="27"/>
      <c r="I39" s="29">
        <v>8483789.2300000004</v>
      </c>
      <c r="J39" s="44"/>
      <c r="K39" s="45">
        <v>6985454</v>
      </c>
      <c r="L39" s="45"/>
      <c r="M39" s="45">
        <v>2516390</v>
      </c>
      <c r="N39" s="45"/>
      <c r="O39" s="45">
        <v>113954</v>
      </c>
      <c r="P39" s="27"/>
      <c r="Q39" s="116">
        <f t="shared" si="5"/>
        <v>1.34</v>
      </c>
      <c r="S39" s="117">
        <f t="shared" si="6"/>
        <v>22.1</v>
      </c>
      <c r="T39" s="32"/>
      <c r="U39" s="120">
        <v>2.6499999999999999E-2</v>
      </c>
      <c r="W39" s="145">
        <f t="shared" si="7"/>
        <v>224820.41459500001</v>
      </c>
      <c r="X39" s="135"/>
      <c r="Y39" s="144">
        <f t="shared" si="8"/>
        <v>-110866.41459500001</v>
      </c>
    </row>
    <row r="40" spans="1:25" x14ac:dyDescent="0.2">
      <c r="A40" s="26"/>
      <c r="B40" s="27"/>
      <c r="C40" s="63" t="s">
        <v>106</v>
      </c>
      <c r="D40" s="27"/>
      <c r="E40" s="20" t="s">
        <v>191</v>
      </c>
      <c r="F40" s="20" t="s">
        <v>64</v>
      </c>
      <c r="G40" s="19">
        <v>-12</v>
      </c>
      <c r="H40" s="27"/>
      <c r="I40" s="29">
        <v>18842151.210000001</v>
      </c>
      <c r="J40" s="44"/>
      <c r="K40" s="45">
        <v>18621064</v>
      </c>
      <c r="L40" s="45"/>
      <c r="M40" s="45">
        <v>2482145</v>
      </c>
      <c r="N40" s="45"/>
      <c r="O40" s="45">
        <v>111264</v>
      </c>
      <c r="P40" s="27"/>
      <c r="Q40" s="116">
        <f t="shared" si="5"/>
        <v>0.59</v>
      </c>
      <c r="S40" s="117">
        <f t="shared" si="6"/>
        <v>22.3</v>
      </c>
      <c r="T40" s="32"/>
      <c r="U40" s="120">
        <v>3.8999999999999998E-3</v>
      </c>
      <c r="W40" s="145">
        <f t="shared" si="7"/>
        <v>73484.389718999999</v>
      </c>
      <c r="X40" s="135"/>
      <c r="Y40" s="144">
        <f t="shared" si="8"/>
        <v>37779.610281000001</v>
      </c>
    </row>
    <row r="41" spans="1:25" x14ac:dyDescent="0.2">
      <c r="A41" s="26"/>
      <c r="B41" s="27"/>
      <c r="C41" s="63" t="s">
        <v>107</v>
      </c>
      <c r="D41" s="27"/>
      <c r="E41" s="20" t="s">
        <v>191</v>
      </c>
      <c r="F41" s="20" t="s">
        <v>64</v>
      </c>
      <c r="G41" s="19">
        <v>-12</v>
      </c>
      <c r="H41" s="27"/>
      <c r="I41" s="29">
        <v>16011012.98</v>
      </c>
      <c r="J41" s="44"/>
      <c r="K41" s="45">
        <v>14142566</v>
      </c>
      <c r="L41" s="45"/>
      <c r="M41" s="45">
        <v>3789769</v>
      </c>
      <c r="N41" s="45"/>
      <c r="O41" s="45">
        <v>176840</v>
      </c>
      <c r="P41" s="27"/>
      <c r="Q41" s="116">
        <f t="shared" si="5"/>
        <v>1.1000000000000001</v>
      </c>
      <c r="S41" s="117">
        <f t="shared" si="6"/>
        <v>21.4</v>
      </c>
      <c r="T41" s="32"/>
      <c r="U41" s="120">
        <v>5.0000000000000001E-3</v>
      </c>
      <c r="W41" s="145">
        <f t="shared" si="7"/>
        <v>80055.064899999998</v>
      </c>
      <c r="X41" s="135"/>
      <c r="Y41" s="144">
        <f t="shared" si="8"/>
        <v>96784.935100000002</v>
      </c>
    </row>
    <row r="42" spans="1:25" x14ac:dyDescent="0.2">
      <c r="A42" s="26"/>
      <c r="B42" s="27"/>
      <c r="C42" s="63" t="s">
        <v>108</v>
      </c>
      <c r="D42" s="27"/>
      <c r="E42" s="20" t="s">
        <v>191</v>
      </c>
      <c r="F42" s="20" t="s">
        <v>64</v>
      </c>
      <c r="G42" s="19">
        <v>-12</v>
      </c>
      <c r="H42" s="27"/>
      <c r="I42" s="29">
        <v>42177125.670000002</v>
      </c>
      <c r="J42" s="44"/>
      <c r="K42" s="45">
        <v>30851643</v>
      </c>
      <c r="L42" s="45"/>
      <c r="M42" s="45">
        <v>16386738</v>
      </c>
      <c r="N42" s="45"/>
      <c r="O42" s="45">
        <v>671100</v>
      </c>
      <c r="P42" s="27"/>
      <c r="Q42" s="116">
        <f t="shared" si="5"/>
        <v>1.59</v>
      </c>
      <c r="S42" s="117">
        <f t="shared" si="6"/>
        <v>24.4</v>
      </c>
      <c r="T42" s="32"/>
      <c r="U42" s="120">
        <v>1.1900000000000001E-2</v>
      </c>
      <c r="W42" s="145">
        <f t="shared" si="7"/>
        <v>501907.79547300003</v>
      </c>
      <c r="X42" s="135"/>
      <c r="Y42" s="144">
        <f t="shared" si="8"/>
        <v>169192.20452699997</v>
      </c>
    </row>
    <row r="43" spans="1:25" x14ac:dyDescent="0.2">
      <c r="A43" s="26"/>
      <c r="B43" s="27"/>
      <c r="C43" s="63" t="s">
        <v>109</v>
      </c>
      <c r="D43" s="27"/>
      <c r="E43" s="20" t="s">
        <v>191</v>
      </c>
      <c r="F43" s="20" t="s">
        <v>64</v>
      </c>
      <c r="G43" s="19">
        <v>-12</v>
      </c>
      <c r="H43" s="27"/>
      <c r="I43" s="29">
        <v>31022090.5</v>
      </c>
      <c r="J43" s="44"/>
      <c r="K43" s="45">
        <v>14920226</v>
      </c>
      <c r="L43" s="45"/>
      <c r="M43" s="45">
        <v>19824515</v>
      </c>
      <c r="N43" s="45"/>
      <c r="O43" s="45">
        <v>770327</v>
      </c>
      <c r="P43" s="27"/>
      <c r="Q43" s="116">
        <f t="shared" si="5"/>
        <v>2.48</v>
      </c>
      <c r="S43" s="117">
        <f t="shared" si="6"/>
        <v>25.7</v>
      </c>
      <c r="T43" s="32"/>
      <c r="U43" s="120">
        <v>1.41E-2</v>
      </c>
      <c r="W43" s="145">
        <f t="shared" si="7"/>
        <v>437411.47605</v>
      </c>
      <c r="X43" s="135"/>
      <c r="Y43" s="144">
        <f t="shared" si="8"/>
        <v>332915.52395</v>
      </c>
    </row>
    <row r="44" spans="1:25" x14ac:dyDescent="0.2">
      <c r="A44" s="26"/>
      <c r="B44" s="27"/>
      <c r="C44" s="63" t="s">
        <v>110</v>
      </c>
      <c r="D44" s="27"/>
      <c r="E44" s="20" t="s">
        <v>191</v>
      </c>
      <c r="F44" s="20" t="s">
        <v>64</v>
      </c>
      <c r="G44" s="19">
        <v>-12</v>
      </c>
      <c r="H44" s="27"/>
      <c r="I44" s="47">
        <v>15817337.720000001</v>
      </c>
      <c r="J44" s="44"/>
      <c r="K44" s="45">
        <v>12919945</v>
      </c>
      <c r="L44" s="45"/>
      <c r="M44" s="45">
        <v>4795473</v>
      </c>
      <c r="N44" s="45"/>
      <c r="O44" s="45">
        <v>218174</v>
      </c>
      <c r="P44" s="27"/>
      <c r="Q44" s="116">
        <f t="shared" si="5"/>
        <v>1.38</v>
      </c>
      <c r="S44" s="117">
        <f t="shared" si="6"/>
        <v>22</v>
      </c>
      <c r="T44" s="32"/>
      <c r="U44" s="120">
        <v>2.6499999999999999E-2</v>
      </c>
      <c r="W44" s="158">
        <f t="shared" si="7"/>
        <v>419159.44958000001</v>
      </c>
      <c r="X44" s="135"/>
      <c r="Y44" s="144">
        <f t="shared" si="8"/>
        <v>-200985.44958000001</v>
      </c>
    </row>
    <row r="45" spans="1:25" x14ac:dyDescent="0.2">
      <c r="A45" s="26"/>
      <c r="B45" s="27"/>
      <c r="C45" s="27"/>
      <c r="D45" s="27"/>
      <c r="E45" s="20"/>
      <c r="F45" s="20"/>
      <c r="G45" s="19"/>
      <c r="H45" s="27"/>
      <c r="I45" s="29"/>
      <c r="J45" s="27"/>
      <c r="K45" s="49"/>
      <c r="L45" s="34"/>
      <c r="M45" s="49"/>
      <c r="N45" s="34"/>
      <c r="O45" s="49"/>
      <c r="P45" s="27"/>
      <c r="Q45" s="26"/>
      <c r="R45" s="27"/>
      <c r="S45" s="62"/>
      <c r="T45" s="32"/>
      <c r="U45" s="120"/>
      <c r="X45" s="135"/>
    </row>
    <row r="46" spans="1:25" x14ac:dyDescent="0.2">
      <c r="A46" s="26"/>
      <c r="B46" s="27"/>
      <c r="C46" s="65" t="s">
        <v>26</v>
      </c>
      <c r="D46" s="27"/>
      <c r="E46" s="20"/>
      <c r="F46" s="20"/>
      <c r="G46" s="19"/>
      <c r="H46" s="27"/>
      <c r="I46" s="29">
        <f>+SUBTOTAL(9,I26:I45)</f>
        <v>333950215.30000001</v>
      </c>
      <c r="J46" s="27"/>
      <c r="K46" s="34">
        <f>+SUBTOTAL(9,K26:K45)</f>
        <v>160225192</v>
      </c>
      <c r="L46" s="34"/>
      <c r="M46" s="34">
        <f>+SUBTOTAL(9,M26:M45)</f>
        <v>216002436</v>
      </c>
      <c r="N46" s="34"/>
      <c r="O46" s="34">
        <f>+SUBTOTAL(9,O26:O45)</f>
        <v>7046600</v>
      </c>
      <c r="P46" s="27"/>
      <c r="Q46" s="116">
        <f>IF(O46/I46*100=0,"-     ",ROUND(O46/I46*100,2))</f>
        <v>2.11</v>
      </c>
      <c r="S46" s="117">
        <f t="shared" ref="S46" si="9">IF(O46=0,"-     ",ROUND(M46/O46,1))</f>
        <v>30.7</v>
      </c>
      <c r="T46" s="32"/>
      <c r="U46" s="120"/>
      <c r="W46" s="118">
        <f>+SUBTOTAL(9,W26:W45)</f>
        <v>5405039.1770759998</v>
      </c>
      <c r="X46" s="135"/>
      <c r="Y46" s="144">
        <f>O46-W46</f>
        <v>1641560.8229240002</v>
      </c>
    </row>
    <row r="47" spans="1:25" x14ac:dyDescent="0.2">
      <c r="A47" s="26"/>
      <c r="B47" s="27"/>
      <c r="C47" s="27"/>
      <c r="D47" s="27"/>
      <c r="E47" s="20"/>
      <c r="F47" s="20"/>
      <c r="G47" s="19"/>
      <c r="H47" s="27"/>
      <c r="I47" s="29"/>
      <c r="J47" s="27"/>
      <c r="K47" s="34"/>
      <c r="L47" s="34"/>
      <c r="M47" s="34"/>
      <c r="N47" s="34"/>
      <c r="O47" s="34"/>
      <c r="P47" s="27"/>
      <c r="Q47" s="26"/>
      <c r="R47" s="27"/>
      <c r="S47" s="62"/>
      <c r="T47" s="32"/>
      <c r="U47" s="120"/>
      <c r="X47" s="135"/>
    </row>
    <row r="48" spans="1:25" x14ac:dyDescent="0.2">
      <c r="A48" s="26">
        <v>312</v>
      </c>
      <c r="B48" s="27"/>
      <c r="C48" s="27" t="s">
        <v>27</v>
      </c>
      <c r="D48" s="27"/>
      <c r="E48" s="56"/>
      <c r="F48" s="56"/>
      <c r="G48" s="66"/>
      <c r="H48" s="27"/>
      <c r="I48" s="29"/>
      <c r="J48" s="27"/>
      <c r="K48" s="34"/>
      <c r="L48" s="34"/>
      <c r="M48" s="34"/>
      <c r="N48" s="34"/>
      <c r="O48" s="34"/>
      <c r="P48" s="27"/>
      <c r="Q48" s="26"/>
      <c r="R48" s="27"/>
      <c r="S48" s="62"/>
      <c r="T48" s="32"/>
      <c r="U48" s="120"/>
      <c r="X48" s="135"/>
    </row>
    <row r="49" spans="1:25" x14ac:dyDescent="0.2">
      <c r="A49" s="26"/>
      <c r="B49" s="27"/>
      <c r="C49" s="59" t="s">
        <v>93</v>
      </c>
      <c r="D49" s="27"/>
      <c r="E49" s="56" t="s">
        <v>134</v>
      </c>
      <c r="F49" s="56" t="s">
        <v>64</v>
      </c>
      <c r="G49" s="66">
        <v>-15</v>
      </c>
      <c r="H49" s="27"/>
      <c r="I49" s="29">
        <v>505158968.56999999</v>
      </c>
      <c r="J49" s="27"/>
      <c r="K49" s="34">
        <v>44042332</v>
      </c>
      <c r="L49" s="34"/>
      <c r="M49" s="34">
        <v>536890482</v>
      </c>
      <c r="N49" s="34"/>
      <c r="O49" s="34">
        <v>11040635</v>
      </c>
      <c r="P49" s="27"/>
      <c r="Q49" s="116">
        <f t="shared" ref="Q49:Q68" si="10">IF(O49/I49*100=0,"-     ",ROUND(O49/I49*100,2))</f>
        <v>2.19</v>
      </c>
      <c r="S49" s="117">
        <f t="shared" ref="S49:S68" si="11">IF(O49=0,"-     ",ROUND(M49/O49,1))</f>
        <v>48.6</v>
      </c>
      <c r="T49" s="32"/>
      <c r="U49" s="120">
        <v>4.2799999999999998E-2</v>
      </c>
      <c r="W49" s="145">
        <f t="shared" ref="W49:W68" si="12">I49*U49</f>
        <v>21620803.854796</v>
      </c>
      <c r="X49" s="135"/>
      <c r="Y49" s="144">
        <f t="shared" ref="Y49:Y68" si="13">O49-W49</f>
        <v>-10580168.854796</v>
      </c>
    </row>
    <row r="50" spans="1:25" x14ac:dyDescent="0.2">
      <c r="A50" s="26"/>
      <c r="B50" s="27"/>
      <c r="C50" s="59" t="s">
        <v>94</v>
      </c>
      <c r="D50" s="27"/>
      <c r="E50" s="56" t="s">
        <v>134</v>
      </c>
      <c r="F50" s="56" t="s">
        <v>64</v>
      </c>
      <c r="G50" s="66">
        <v>-15</v>
      </c>
      <c r="H50" s="27"/>
      <c r="I50" s="29">
        <v>70735319.609999999</v>
      </c>
      <c r="J50" s="27"/>
      <c r="K50" s="34">
        <v>11271211</v>
      </c>
      <c r="L50" s="34"/>
      <c r="M50" s="34">
        <v>70074407</v>
      </c>
      <c r="N50" s="34"/>
      <c r="O50" s="34">
        <v>1453909</v>
      </c>
      <c r="P50" s="27"/>
      <c r="Q50" s="116">
        <f t="shared" si="10"/>
        <v>2.06</v>
      </c>
      <c r="S50" s="117">
        <f t="shared" si="11"/>
        <v>48.2</v>
      </c>
      <c r="T50" s="32"/>
      <c r="U50" s="120">
        <v>4.2799999999999998E-2</v>
      </c>
      <c r="W50" s="145">
        <f t="shared" si="12"/>
        <v>3027471.679308</v>
      </c>
      <c r="X50" s="135"/>
      <c r="Y50" s="144">
        <f t="shared" si="13"/>
        <v>-1573562.679308</v>
      </c>
    </row>
    <row r="51" spans="1:25" x14ac:dyDescent="0.2">
      <c r="A51" s="26"/>
      <c r="B51" s="27"/>
      <c r="C51" s="59" t="s">
        <v>96</v>
      </c>
      <c r="D51" s="27"/>
      <c r="E51" s="56" t="s">
        <v>134</v>
      </c>
      <c r="F51" s="56" t="s">
        <v>64</v>
      </c>
      <c r="G51" s="66">
        <v>-10</v>
      </c>
      <c r="H51" s="27"/>
      <c r="I51" s="29">
        <v>13993285.779999999</v>
      </c>
      <c r="J51" s="27"/>
      <c r="K51" s="34">
        <v>11103677</v>
      </c>
      <c r="L51" s="34"/>
      <c r="M51" s="34">
        <v>4288937</v>
      </c>
      <c r="N51" s="34"/>
      <c r="O51" s="34">
        <v>1082465</v>
      </c>
      <c r="P51" s="27"/>
      <c r="Q51" s="116">
        <f t="shared" si="10"/>
        <v>7.74</v>
      </c>
      <c r="S51" s="117">
        <f t="shared" si="11"/>
        <v>4</v>
      </c>
      <c r="T51" s="32"/>
      <c r="U51" s="120">
        <v>3.9899999999999998E-2</v>
      </c>
      <c r="W51" s="145">
        <f t="shared" si="12"/>
        <v>558332.10262199992</v>
      </c>
      <c r="X51" s="135"/>
      <c r="Y51" s="144">
        <f t="shared" si="13"/>
        <v>524132.89737800008</v>
      </c>
    </row>
    <row r="52" spans="1:25" x14ac:dyDescent="0.2">
      <c r="A52" s="26"/>
      <c r="B52" s="27"/>
      <c r="C52" s="59" t="s">
        <v>97</v>
      </c>
      <c r="D52" s="27"/>
      <c r="E52" s="20" t="s">
        <v>159</v>
      </c>
      <c r="F52" s="56" t="s">
        <v>64</v>
      </c>
      <c r="G52" s="66">
        <v>-10</v>
      </c>
      <c r="H52" s="27"/>
      <c r="I52" s="29">
        <v>421899.96</v>
      </c>
      <c r="J52" s="27"/>
      <c r="K52" s="34">
        <v>464090</v>
      </c>
      <c r="L52" s="34"/>
      <c r="M52" s="34">
        <v>0</v>
      </c>
      <c r="N52" s="34"/>
      <c r="O52" s="34">
        <v>0</v>
      </c>
      <c r="P52" s="27"/>
      <c r="Q52" s="116" t="str">
        <f t="shared" si="10"/>
        <v xml:space="preserve">-     </v>
      </c>
      <c r="S52" s="117" t="str">
        <f t="shared" si="11"/>
        <v xml:space="preserve">-     </v>
      </c>
      <c r="T52" s="32"/>
      <c r="U52" s="120">
        <v>1.4E-3</v>
      </c>
      <c r="W52" s="145">
        <f t="shared" si="12"/>
        <v>590.659944</v>
      </c>
      <c r="X52" s="135"/>
      <c r="Y52" s="144">
        <f t="shared" si="13"/>
        <v>-590.659944</v>
      </c>
    </row>
    <row r="53" spans="1:25" x14ac:dyDescent="0.2">
      <c r="B53" s="27"/>
      <c r="C53" s="63" t="s">
        <v>98</v>
      </c>
      <c r="D53" s="27"/>
      <c r="E53" s="56" t="s">
        <v>134</v>
      </c>
      <c r="F53" s="56" t="s">
        <v>64</v>
      </c>
      <c r="G53" s="66">
        <v>-10</v>
      </c>
      <c r="H53" s="27"/>
      <c r="I53" s="29">
        <v>12145770.439999999</v>
      </c>
      <c r="J53" s="27"/>
      <c r="K53" s="34">
        <v>9725542</v>
      </c>
      <c r="L53" s="34"/>
      <c r="M53" s="34">
        <v>3634805</v>
      </c>
      <c r="N53" s="34"/>
      <c r="O53" s="34">
        <v>922012</v>
      </c>
      <c r="P53" s="27"/>
      <c r="Q53" s="116">
        <f t="shared" si="10"/>
        <v>7.59</v>
      </c>
      <c r="S53" s="117">
        <f t="shared" si="11"/>
        <v>3.9</v>
      </c>
      <c r="T53" s="32"/>
      <c r="U53" s="120">
        <v>3.0800000000000001E-2</v>
      </c>
      <c r="W53" s="145">
        <f t="shared" si="12"/>
        <v>374089.729552</v>
      </c>
      <c r="X53" s="135"/>
      <c r="Y53" s="144">
        <f t="shared" si="13"/>
        <v>547922.27044799994</v>
      </c>
    </row>
    <row r="54" spans="1:25" x14ac:dyDescent="0.2">
      <c r="A54" s="26"/>
      <c r="B54" s="27"/>
      <c r="C54" s="63" t="s">
        <v>99</v>
      </c>
      <c r="D54" s="27"/>
      <c r="E54" s="20" t="s">
        <v>134</v>
      </c>
      <c r="F54" s="20" t="s">
        <v>64</v>
      </c>
      <c r="G54" s="19">
        <v>-10</v>
      </c>
      <c r="H54" s="27"/>
      <c r="I54" s="29">
        <v>25165914.239999998</v>
      </c>
      <c r="J54" s="44"/>
      <c r="K54" s="45">
        <v>20127163</v>
      </c>
      <c r="L54" s="45"/>
      <c r="M54" s="45">
        <v>7555343</v>
      </c>
      <c r="N54" s="45"/>
      <c r="O54" s="45">
        <v>1903819</v>
      </c>
      <c r="P54" s="27"/>
      <c r="Q54" s="116">
        <f t="shared" si="10"/>
        <v>7.57</v>
      </c>
      <c r="S54" s="117">
        <f t="shared" si="11"/>
        <v>4</v>
      </c>
      <c r="T54" s="32"/>
      <c r="U54" s="120">
        <v>4.2000000000000003E-2</v>
      </c>
      <c r="W54" s="145">
        <f t="shared" si="12"/>
        <v>1056968.39808</v>
      </c>
      <c r="X54" s="135"/>
      <c r="Y54" s="144">
        <f t="shared" si="13"/>
        <v>846850.60192000004</v>
      </c>
    </row>
    <row r="55" spans="1:25" x14ac:dyDescent="0.2">
      <c r="A55" s="26"/>
      <c r="B55" s="27"/>
      <c r="C55" s="63" t="s">
        <v>100</v>
      </c>
      <c r="D55" s="27"/>
      <c r="E55" s="20" t="s">
        <v>159</v>
      </c>
      <c r="F55" s="20" t="s">
        <v>64</v>
      </c>
      <c r="G55" s="19">
        <v>-10</v>
      </c>
      <c r="H55" s="27"/>
      <c r="I55" s="29">
        <v>349297.88</v>
      </c>
      <c r="J55" s="44"/>
      <c r="K55" s="45">
        <v>384228</v>
      </c>
      <c r="L55" s="45"/>
      <c r="M55" s="45">
        <v>0</v>
      </c>
      <c r="N55" s="45"/>
      <c r="O55" s="45">
        <v>0</v>
      </c>
      <c r="P55" s="27"/>
      <c r="Q55" s="116" t="str">
        <f t="shared" si="10"/>
        <v xml:space="preserve">-     </v>
      </c>
      <c r="S55" s="117" t="str">
        <f t="shared" si="11"/>
        <v xml:space="preserve">-     </v>
      </c>
      <c r="T55" s="32"/>
      <c r="U55" s="120">
        <v>2.18E-2</v>
      </c>
      <c r="W55" s="145">
        <f t="shared" si="12"/>
        <v>7614.6937840000001</v>
      </c>
      <c r="X55" s="135"/>
      <c r="Y55" s="144">
        <f t="shared" si="13"/>
        <v>-7614.6937840000001</v>
      </c>
    </row>
    <row r="56" spans="1:25" x14ac:dyDescent="0.2">
      <c r="A56" s="26"/>
      <c r="B56" s="27"/>
      <c r="C56" s="63" t="s">
        <v>101</v>
      </c>
      <c r="D56" s="27"/>
      <c r="E56" s="20" t="s">
        <v>134</v>
      </c>
      <c r="F56" s="20" t="s">
        <v>64</v>
      </c>
      <c r="G56" s="19">
        <v>-11</v>
      </c>
      <c r="H56" s="27"/>
      <c r="I56" s="29">
        <v>45302489.090000004</v>
      </c>
      <c r="J56" s="44"/>
      <c r="K56" s="45">
        <v>26739197</v>
      </c>
      <c r="L56" s="45"/>
      <c r="M56" s="45">
        <v>23546566</v>
      </c>
      <c r="N56" s="45"/>
      <c r="O56" s="45">
        <v>1471865</v>
      </c>
      <c r="P56" s="27"/>
      <c r="Q56" s="116">
        <f t="shared" si="10"/>
        <v>3.25</v>
      </c>
      <c r="S56" s="117">
        <f t="shared" si="11"/>
        <v>16</v>
      </c>
      <c r="T56" s="32"/>
      <c r="U56" s="120">
        <v>2.98E-2</v>
      </c>
      <c r="W56" s="145">
        <f t="shared" si="12"/>
        <v>1350014.1748820001</v>
      </c>
      <c r="X56" s="135"/>
      <c r="Y56" s="144">
        <f t="shared" si="13"/>
        <v>121850.82511799992</v>
      </c>
    </row>
    <row r="57" spans="1:25" x14ac:dyDescent="0.2">
      <c r="A57" s="26"/>
      <c r="B57" s="27"/>
      <c r="C57" s="63" t="s">
        <v>102</v>
      </c>
      <c r="D57" s="27"/>
      <c r="E57" s="20" t="s">
        <v>134</v>
      </c>
      <c r="F57" s="20" t="s">
        <v>64</v>
      </c>
      <c r="G57" s="19">
        <v>-11</v>
      </c>
      <c r="H57" s="27"/>
      <c r="I57" s="29">
        <v>41956868.140000001</v>
      </c>
      <c r="J57" s="44"/>
      <c r="K57" s="45">
        <v>19641359</v>
      </c>
      <c r="L57" s="45"/>
      <c r="M57" s="45">
        <v>26930765</v>
      </c>
      <c r="N57" s="45"/>
      <c r="O57" s="45">
        <v>1252209</v>
      </c>
      <c r="P57" s="27"/>
      <c r="Q57" s="116">
        <f t="shared" si="10"/>
        <v>2.98</v>
      </c>
      <c r="S57" s="117">
        <f t="shared" si="11"/>
        <v>21.5</v>
      </c>
      <c r="T57" s="32"/>
      <c r="U57" s="120">
        <v>3.0099999999999998E-2</v>
      </c>
      <c r="W57" s="145">
        <f t="shared" si="12"/>
        <v>1262901.731014</v>
      </c>
      <c r="X57" s="135"/>
      <c r="Y57" s="144">
        <f t="shared" si="13"/>
        <v>-10692.731014000019</v>
      </c>
    </row>
    <row r="58" spans="1:25" x14ac:dyDescent="0.2">
      <c r="A58" s="26"/>
      <c r="B58" s="27"/>
      <c r="C58" s="63" t="s">
        <v>103</v>
      </c>
      <c r="D58" s="27"/>
      <c r="E58" s="20" t="s">
        <v>134</v>
      </c>
      <c r="F58" s="20" t="s">
        <v>64</v>
      </c>
      <c r="G58" s="19">
        <v>-11</v>
      </c>
      <c r="H58" s="27"/>
      <c r="I58" s="29">
        <v>142628390.37</v>
      </c>
      <c r="J58" s="44"/>
      <c r="K58" s="45">
        <v>71929055</v>
      </c>
      <c r="L58" s="45"/>
      <c r="M58" s="45">
        <v>86388458</v>
      </c>
      <c r="N58" s="45"/>
      <c r="O58" s="45">
        <v>3809860</v>
      </c>
      <c r="P58" s="27"/>
      <c r="Q58" s="116">
        <f t="shared" si="10"/>
        <v>2.67</v>
      </c>
      <c r="S58" s="117">
        <f t="shared" si="11"/>
        <v>22.7</v>
      </c>
      <c r="T58" s="32"/>
      <c r="U58" s="120">
        <v>2.8000000000000001E-2</v>
      </c>
      <c r="W58" s="145">
        <f t="shared" si="12"/>
        <v>3993594.9303600001</v>
      </c>
      <c r="X58" s="135"/>
      <c r="Y58" s="144">
        <f t="shared" si="13"/>
        <v>-183734.93036000011</v>
      </c>
    </row>
    <row r="59" spans="1:25" x14ac:dyDescent="0.2">
      <c r="A59" s="26"/>
      <c r="B59" s="27"/>
      <c r="C59" s="63" t="s">
        <v>186</v>
      </c>
      <c r="D59" s="27"/>
      <c r="E59" s="20" t="s">
        <v>134</v>
      </c>
      <c r="F59" s="20" t="s">
        <v>64</v>
      </c>
      <c r="G59" s="19">
        <v>-11</v>
      </c>
      <c r="H59" s="27"/>
      <c r="I59" s="29">
        <v>323725098.68000001</v>
      </c>
      <c r="J59" s="44"/>
      <c r="K59" s="45">
        <v>18469817</v>
      </c>
      <c r="L59" s="45"/>
      <c r="M59" s="45">
        <v>340865043</v>
      </c>
      <c r="N59" s="45"/>
      <c r="O59" s="45">
        <v>14820202</v>
      </c>
      <c r="P59" s="27"/>
      <c r="Q59" s="116">
        <f t="shared" si="10"/>
        <v>4.58</v>
      </c>
      <c r="S59" s="117">
        <f t="shared" si="11"/>
        <v>23</v>
      </c>
      <c r="T59" s="32"/>
      <c r="U59" s="120">
        <v>3.8699999999999998E-2</v>
      </c>
      <c r="W59" s="145">
        <f t="shared" si="12"/>
        <v>12528161.318916</v>
      </c>
      <c r="X59" s="135"/>
      <c r="Y59" s="144">
        <f t="shared" si="13"/>
        <v>2292040.6810839996</v>
      </c>
    </row>
    <row r="60" spans="1:25" x14ac:dyDescent="0.2">
      <c r="A60" s="26"/>
      <c r="B60" s="27"/>
      <c r="C60" s="63" t="s">
        <v>104</v>
      </c>
      <c r="D60" s="27"/>
      <c r="E60" s="20" t="s">
        <v>159</v>
      </c>
      <c r="F60" s="20" t="s">
        <v>64</v>
      </c>
      <c r="G60" s="19">
        <v>-10</v>
      </c>
      <c r="H60" s="27"/>
      <c r="I60" s="29">
        <v>236470.42</v>
      </c>
      <c r="J60" s="44"/>
      <c r="K60" s="45">
        <v>260117</v>
      </c>
      <c r="L60" s="45"/>
      <c r="M60" s="45">
        <v>0</v>
      </c>
      <c r="N60" s="45"/>
      <c r="O60" s="45">
        <v>0</v>
      </c>
      <c r="P60" s="27"/>
      <c r="Q60" s="116" t="str">
        <f t="shared" si="10"/>
        <v xml:space="preserve">-     </v>
      </c>
      <c r="S60" s="117" t="str">
        <f t="shared" si="11"/>
        <v xml:space="preserve">-     </v>
      </c>
      <c r="T60" s="32"/>
      <c r="U60" s="120">
        <v>0</v>
      </c>
      <c r="W60" s="145">
        <f t="shared" si="12"/>
        <v>0</v>
      </c>
      <c r="X60" s="135"/>
      <c r="Y60" s="144">
        <f t="shared" si="13"/>
        <v>0</v>
      </c>
    </row>
    <row r="61" spans="1:25" x14ac:dyDescent="0.2">
      <c r="A61" s="26"/>
      <c r="B61" s="27"/>
      <c r="C61" s="63" t="s">
        <v>105</v>
      </c>
      <c r="D61" s="27"/>
      <c r="E61" s="20" t="s">
        <v>134</v>
      </c>
      <c r="F61" s="20" t="s">
        <v>64</v>
      </c>
      <c r="G61" s="19">
        <v>-12</v>
      </c>
      <c r="H61" s="27"/>
      <c r="I61" s="29">
        <v>144202759.28</v>
      </c>
      <c r="J61" s="44"/>
      <c r="K61" s="45">
        <v>34075530</v>
      </c>
      <c r="L61" s="45"/>
      <c r="M61" s="45">
        <v>127431560</v>
      </c>
      <c r="N61" s="45"/>
      <c r="O61" s="45">
        <v>5799995</v>
      </c>
      <c r="P61" s="27"/>
      <c r="Q61" s="116">
        <f t="shared" si="10"/>
        <v>4.0199999999999996</v>
      </c>
      <c r="S61" s="117">
        <f t="shared" si="11"/>
        <v>22</v>
      </c>
      <c r="T61" s="32"/>
      <c r="U61" s="120">
        <v>3.8699999999999998E-2</v>
      </c>
      <c r="W61" s="145">
        <f t="shared" si="12"/>
        <v>5580646.7841360001</v>
      </c>
      <c r="X61" s="135"/>
      <c r="Y61" s="144">
        <f t="shared" si="13"/>
        <v>219348.21586399991</v>
      </c>
    </row>
    <row r="62" spans="1:25" x14ac:dyDescent="0.2">
      <c r="A62" s="26"/>
      <c r="B62" s="27"/>
      <c r="C62" s="63" t="s">
        <v>106</v>
      </c>
      <c r="D62" s="27"/>
      <c r="E62" s="20" t="s">
        <v>134</v>
      </c>
      <c r="F62" s="20" t="s">
        <v>64</v>
      </c>
      <c r="G62" s="19">
        <v>-12</v>
      </c>
      <c r="H62" s="27"/>
      <c r="I62" s="29">
        <v>198785055.46000001</v>
      </c>
      <c r="J62" s="44"/>
      <c r="K62" s="45">
        <v>96800340</v>
      </c>
      <c r="L62" s="45"/>
      <c r="M62" s="45">
        <v>125838922</v>
      </c>
      <c r="N62" s="45"/>
      <c r="O62" s="45">
        <v>5834075</v>
      </c>
      <c r="P62" s="27"/>
      <c r="Q62" s="116">
        <f t="shared" si="10"/>
        <v>2.93</v>
      </c>
      <c r="S62" s="117">
        <f t="shared" si="11"/>
        <v>21.6</v>
      </c>
      <c r="T62" s="32"/>
      <c r="U62" s="120">
        <v>3.8399999999999997E-2</v>
      </c>
      <c r="W62" s="145">
        <f t="shared" si="12"/>
        <v>7633346.1296639992</v>
      </c>
      <c r="X62" s="135"/>
      <c r="Y62" s="144">
        <f t="shared" si="13"/>
        <v>-1799271.1296639992</v>
      </c>
    </row>
    <row r="63" spans="1:25" x14ac:dyDescent="0.2">
      <c r="A63" s="26"/>
      <c r="B63" s="27"/>
      <c r="C63" s="63" t="s">
        <v>107</v>
      </c>
      <c r="D63" s="27"/>
      <c r="E63" s="20" t="s">
        <v>134</v>
      </c>
      <c r="F63" s="20" t="s">
        <v>64</v>
      </c>
      <c r="G63" s="19">
        <v>-12</v>
      </c>
      <c r="H63" s="27"/>
      <c r="I63" s="29">
        <v>98446686.349999994</v>
      </c>
      <c r="J63" s="44"/>
      <c r="K63" s="45">
        <v>73285978</v>
      </c>
      <c r="L63" s="45"/>
      <c r="M63" s="45">
        <v>36974311</v>
      </c>
      <c r="N63" s="45"/>
      <c r="O63" s="45">
        <v>1779312</v>
      </c>
      <c r="P63" s="27"/>
      <c r="Q63" s="116">
        <f t="shared" si="10"/>
        <v>1.81</v>
      </c>
      <c r="S63" s="117">
        <f t="shared" si="11"/>
        <v>20.8</v>
      </c>
      <c r="T63" s="32"/>
      <c r="U63" s="120">
        <v>2.3300000000000001E-2</v>
      </c>
      <c r="W63" s="145">
        <f t="shared" si="12"/>
        <v>2293807.7919549998</v>
      </c>
      <c r="X63" s="135"/>
      <c r="Y63" s="144">
        <f t="shared" si="13"/>
        <v>-514495.79195499979</v>
      </c>
    </row>
    <row r="64" spans="1:25" x14ac:dyDescent="0.2">
      <c r="A64" s="26"/>
      <c r="B64" s="27"/>
      <c r="C64" s="63" t="s">
        <v>108</v>
      </c>
      <c r="D64" s="27"/>
      <c r="E64" s="20" t="s">
        <v>134</v>
      </c>
      <c r="F64" s="20" t="s">
        <v>64</v>
      </c>
      <c r="G64" s="19">
        <v>-12</v>
      </c>
      <c r="H64" s="27"/>
      <c r="I64" s="29">
        <v>254967909.72</v>
      </c>
      <c r="J64" s="44"/>
      <c r="K64" s="45">
        <v>146662379</v>
      </c>
      <c r="L64" s="45"/>
      <c r="M64" s="45">
        <v>138901680</v>
      </c>
      <c r="N64" s="45"/>
      <c r="O64" s="45">
        <v>5879680</v>
      </c>
      <c r="P64" s="27"/>
      <c r="Q64" s="116">
        <f t="shared" si="10"/>
        <v>2.31</v>
      </c>
      <c r="S64" s="117">
        <f t="shared" si="11"/>
        <v>23.6</v>
      </c>
      <c r="T64" s="32"/>
      <c r="U64" s="120">
        <v>2.63E-2</v>
      </c>
      <c r="W64" s="145">
        <f t="shared" si="12"/>
        <v>6705656.0256359996</v>
      </c>
      <c r="X64" s="135"/>
      <c r="Y64" s="144">
        <f t="shared" si="13"/>
        <v>-825976.02563599963</v>
      </c>
    </row>
    <row r="65" spans="1:25" x14ac:dyDescent="0.2">
      <c r="A65" s="26"/>
      <c r="B65" s="27"/>
      <c r="C65" s="63" t="s">
        <v>109</v>
      </c>
      <c r="D65" s="27"/>
      <c r="E65" s="20" t="s">
        <v>134</v>
      </c>
      <c r="F65" s="20" t="s">
        <v>64</v>
      </c>
      <c r="G65" s="19">
        <v>-12</v>
      </c>
      <c r="H65" s="27"/>
      <c r="I65" s="29">
        <v>267856280.18000001</v>
      </c>
      <c r="J65" s="44"/>
      <c r="K65" s="45">
        <v>128461343</v>
      </c>
      <c r="L65" s="45"/>
      <c r="M65" s="45">
        <v>171537691</v>
      </c>
      <c r="N65" s="45"/>
      <c r="O65" s="45">
        <v>6953070</v>
      </c>
      <c r="P65" s="27"/>
      <c r="Q65" s="116">
        <f t="shared" si="10"/>
        <v>2.6</v>
      </c>
      <c r="S65" s="117">
        <f t="shared" si="11"/>
        <v>24.7</v>
      </c>
      <c r="T65" s="32"/>
      <c r="U65" s="120">
        <v>2.7900000000000001E-2</v>
      </c>
      <c r="W65" s="145">
        <f t="shared" si="12"/>
        <v>7473190.2170220008</v>
      </c>
      <c r="X65" s="135"/>
      <c r="Y65" s="144">
        <f t="shared" si="13"/>
        <v>-520120.21702200081</v>
      </c>
    </row>
    <row r="66" spans="1:25" x14ac:dyDescent="0.2">
      <c r="A66" s="114" t="s">
        <v>160</v>
      </c>
      <c r="B66" s="27"/>
      <c r="C66" s="63" t="s">
        <v>110</v>
      </c>
      <c r="D66" s="27"/>
      <c r="E66" s="20" t="s">
        <v>134</v>
      </c>
      <c r="F66" s="20" t="s">
        <v>64</v>
      </c>
      <c r="G66" s="19">
        <v>-12</v>
      </c>
      <c r="H66" s="27"/>
      <c r="I66" s="29">
        <v>93278511.280000001</v>
      </c>
      <c r="J66" s="44"/>
      <c r="K66" s="45">
        <v>55024079</v>
      </c>
      <c r="L66" s="45"/>
      <c r="M66" s="45">
        <v>49447854</v>
      </c>
      <c r="N66" s="45"/>
      <c r="O66" s="45">
        <v>2270953</v>
      </c>
      <c r="P66" s="27"/>
      <c r="Q66" s="116">
        <f t="shared" si="10"/>
        <v>2.4300000000000002</v>
      </c>
      <c r="S66" s="117">
        <f t="shared" si="11"/>
        <v>21.8</v>
      </c>
      <c r="T66" s="32"/>
      <c r="U66" s="120">
        <v>3.8699999999999998E-2</v>
      </c>
      <c r="W66" s="145">
        <f t="shared" si="12"/>
        <v>3609878.3865359998</v>
      </c>
      <c r="X66" s="135"/>
      <c r="Y66" s="144">
        <f t="shared" si="13"/>
        <v>-1338925.3865359998</v>
      </c>
    </row>
    <row r="67" spans="1:25" x14ac:dyDescent="0.2">
      <c r="A67" s="26"/>
      <c r="B67" s="27"/>
      <c r="C67" s="63" t="s">
        <v>111</v>
      </c>
      <c r="D67" s="27"/>
      <c r="E67" s="20" t="s">
        <v>134</v>
      </c>
      <c r="F67" s="20" t="s">
        <v>64</v>
      </c>
      <c r="G67" s="19">
        <v>-12</v>
      </c>
      <c r="H67" s="27"/>
      <c r="I67" s="40">
        <v>127988949.01000001</v>
      </c>
      <c r="J67" s="44"/>
      <c r="K67" s="45">
        <v>24898056</v>
      </c>
      <c r="L67" s="45"/>
      <c r="M67" s="45">
        <v>118449567</v>
      </c>
      <c r="N67" s="45"/>
      <c r="O67" s="45">
        <v>4782967</v>
      </c>
      <c r="P67" s="27"/>
      <c r="Q67" s="116">
        <f t="shared" si="10"/>
        <v>3.74</v>
      </c>
      <c r="S67" s="117">
        <f t="shared" si="11"/>
        <v>24.8</v>
      </c>
      <c r="T67" s="32"/>
      <c r="U67" s="120">
        <v>3.8699999999999998E-2</v>
      </c>
      <c r="W67" s="145">
        <f t="shared" si="12"/>
        <v>4953172.3266869998</v>
      </c>
      <c r="X67" s="135"/>
      <c r="Y67" s="144">
        <f t="shared" si="13"/>
        <v>-170205.32668699976</v>
      </c>
    </row>
    <row r="68" spans="1:25" x14ac:dyDescent="0.2">
      <c r="A68" s="26"/>
      <c r="B68" s="27"/>
      <c r="C68" s="63" t="s">
        <v>112</v>
      </c>
      <c r="D68" s="27"/>
      <c r="E68" s="20" t="s">
        <v>134</v>
      </c>
      <c r="F68" s="20" t="s">
        <v>64</v>
      </c>
      <c r="G68" s="19">
        <v>-12</v>
      </c>
      <c r="H68" s="27"/>
      <c r="I68" s="47">
        <v>307100358.5</v>
      </c>
      <c r="J68" s="44"/>
      <c r="K68" s="45">
        <v>41271827</v>
      </c>
      <c r="L68" s="45"/>
      <c r="M68" s="45">
        <v>302680575</v>
      </c>
      <c r="N68" s="45"/>
      <c r="O68" s="45">
        <v>11768189</v>
      </c>
      <c r="P68" s="27"/>
      <c r="Q68" s="116">
        <f t="shared" si="10"/>
        <v>3.83</v>
      </c>
      <c r="S68" s="117">
        <f t="shared" si="11"/>
        <v>25.7</v>
      </c>
      <c r="T68" s="32"/>
      <c r="U68" s="120">
        <v>3.8699999999999998E-2</v>
      </c>
      <c r="W68" s="158">
        <f t="shared" si="12"/>
        <v>11884783.873949999</v>
      </c>
      <c r="X68" s="135"/>
      <c r="Y68" s="144">
        <f t="shared" si="13"/>
        <v>-116594.87394999899</v>
      </c>
    </row>
    <row r="69" spans="1:25" x14ac:dyDescent="0.2">
      <c r="A69" s="26"/>
      <c r="B69" s="27"/>
      <c r="C69" s="27"/>
      <c r="D69" s="27"/>
      <c r="E69" s="20"/>
      <c r="F69" s="20"/>
      <c r="G69" s="19"/>
      <c r="H69" s="27"/>
      <c r="I69" s="29"/>
      <c r="J69" s="27"/>
      <c r="K69" s="49"/>
      <c r="L69" s="34"/>
      <c r="M69" s="49"/>
      <c r="N69" s="34"/>
      <c r="O69" s="49"/>
      <c r="P69" s="27"/>
      <c r="Q69" s="26"/>
      <c r="R69" s="27"/>
      <c r="S69" s="62"/>
      <c r="T69" s="32"/>
      <c r="U69" s="120"/>
      <c r="X69" s="135"/>
    </row>
    <row r="70" spans="1:25" x14ac:dyDescent="0.2">
      <c r="A70" s="26"/>
      <c r="B70" s="27"/>
      <c r="C70" s="65" t="s">
        <v>28</v>
      </c>
      <c r="D70" s="27"/>
      <c r="E70" s="20"/>
      <c r="F70" s="20"/>
      <c r="G70" s="19"/>
      <c r="H70" s="27"/>
      <c r="I70" s="29">
        <f>+SUBTOTAL(9,I49:I69)</f>
        <v>2674446282.9600005</v>
      </c>
      <c r="J70" s="27"/>
      <c r="K70" s="34">
        <f>+SUBTOTAL(9,K49:K69)</f>
        <v>834637320</v>
      </c>
      <c r="L70" s="34"/>
      <c r="M70" s="34">
        <f>+SUBTOTAL(9,M49:M69)</f>
        <v>2171436966</v>
      </c>
      <c r="N70" s="34"/>
      <c r="O70" s="34">
        <f>+SUBTOTAL(9,O49:O69)</f>
        <v>82825217</v>
      </c>
      <c r="P70" s="27"/>
      <c r="Q70" s="116">
        <f>IF(O70/I70*100=0,"-     ",ROUND(O70/I70*100,2))</f>
        <v>3.1</v>
      </c>
      <c r="S70" s="117">
        <f t="shared" ref="S70" si="14">IF(O70=0,"-     ",ROUND(M70/O70,1))</f>
        <v>26.2</v>
      </c>
      <c r="T70" s="32"/>
      <c r="U70" s="120"/>
      <c r="W70" s="118">
        <f>+SUBTOTAL(9,W49:W69)</f>
        <v>95915024.808844</v>
      </c>
      <c r="X70" s="135"/>
      <c r="Y70" s="144">
        <f>O70-W70</f>
        <v>-13089807.808844</v>
      </c>
    </row>
    <row r="71" spans="1:25" x14ac:dyDescent="0.2">
      <c r="A71" s="26"/>
      <c r="B71" s="27"/>
      <c r="C71" s="65"/>
      <c r="D71" s="27"/>
      <c r="E71" s="20"/>
      <c r="F71" s="20"/>
      <c r="G71" s="19"/>
      <c r="H71" s="27"/>
      <c r="I71" s="29"/>
      <c r="J71" s="27"/>
      <c r="K71" s="34"/>
      <c r="L71" s="34"/>
      <c r="M71" s="34"/>
      <c r="N71" s="34"/>
      <c r="O71" s="34"/>
      <c r="P71" s="27"/>
      <c r="Q71" s="26"/>
      <c r="R71" s="27"/>
      <c r="S71" s="62"/>
      <c r="T71" s="32"/>
      <c r="U71" s="120"/>
      <c r="X71" s="135"/>
    </row>
    <row r="72" spans="1:25" x14ac:dyDescent="0.2">
      <c r="A72" s="26">
        <v>314</v>
      </c>
      <c r="B72" s="27"/>
      <c r="C72" s="27" t="s">
        <v>29</v>
      </c>
      <c r="D72" s="27"/>
      <c r="E72" s="56"/>
      <c r="F72" s="56"/>
      <c r="G72" s="66"/>
      <c r="H72" s="27"/>
      <c r="I72" s="29"/>
      <c r="J72" s="27"/>
      <c r="K72" s="34"/>
      <c r="L72" s="34"/>
      <c r="M72" s="34"/>
      <c r="N72" s="34"/>
      <c r="O72" s="34"/>
      <c r="P72" s="27"/>
      <c r="Q72" s="26"/>
      <c r="R72" s="27"/>
      <c r="S72" s="62"/>
      <c r="T72" s="32"/>
      <c r="U72" s="120"/>
      <c r="X72" s="135"/>
    </row>
    <row r="73" spans="1:25" x14ac:dyDescent="0.2">
      <c r="A73" s="26"/>
      <c r="B73" s="27"/>
      <c r="C73" s="63" t="s">
        <v>93</v>
      </c>
      <c r="D73" s="27"/>
      <c r="E73" s="20" t="s">
        <v>192</v>
      </c>
      <c r="F73" s="20" t="s">
        <v>64</v>
      </c>
      <c r="G73" s="19">
        <v>-15</v>
      </c>
      <c r="H73" s="27"/>
      <c r="I73" s="29">
        <v>83994732.760000005</v>
      </c>
      <c r="J73" s="44"/>
      <c r="K73" s="45">
        <v>12471959</v>
      </c>
      <c r="L73" s="45"/>
      <c r="M73" s="45">
        <v>84121984</v>
      </c>
      <c r="N73" s="45"/>
      <c r="O73" s="45">
        <v>1836110</v>
      </c>
      <c r="P73" s="27"/>
      <c r="Q73" s="116">
        <f t="shared" ref="Q73:Q84" si="15">IF(O73/I73*100=0,"-     ",ROUND(O73/I73*100,2))</f>
        <v>2.19</v>
      </c>
      <c r="S73" s="117">
        <f t="shared" ref="S73:S84" si="16">IF(O73=0,"-     ",ROUND(M73/O73,1))</f>
        <v>45.8</v>
      </c>
      <c r="T73" s="32"/>
      <c r="U73" s="120">
        <v>2.7799999999999998E-2</v>
      </c>
      <c r="W73" s="145">
        <f t="shared" ref="W73:W84" si="17">I73*U73</f>
        <v>2335053.5707279998</v>
      </c>
      <c r="X73" s="135"/>
      <c r="Y73" s="144">
        <f t="shared" ref="Y73:Y84" si="18">O73-W73</f>
        <v>-498943.57072799979</v>
      </c>
    </row>
    <row r="74" spans="1:25" x14ac:dyDescent="0.2">
      <c r="A74" s="26"/>
      <c r="B74" s="27"/>
      <c r="C74" s="59" t="s">
        <v>96</v>
      </c>
      <c r="D74" s="27"/>
      <c r="E74" s="20" t="s">
        <v>192</v>
      </c>
      <c r="F74" s="20" t="s">
        <v>64</v>
      </c>
      <c r="G74" s="19">
        <v>-10</v>
      </c>
      <c r="H74" s="27"/>
      <c r="I74" s="29">
        <v>4805513.66</v>
      </c>
      <c r="J74" s="44"/>
      <c r="K74" s="45">
        <v>3825756</v>
      </c>
      <c r="L74" s="45"/>
      <c r="M74" s="45">
        <v>1460309</v>
      </c>
      <c r="N74" s="45"/>
      <c r="O74" s="45">
        <v>370738</v>
      </c>
      <c r="P74" s="27"/>
      <c r="Q74" s="116">
        <f t="shared" si="15"/>
        <v>7.71</v>
      </c>
      <c r="S74" s="117">
        <f t="shared" si="16"/>
        <v>3.9</v>
      </c>
      <c r="T74" s="32"/>
      <c r="U74" s="120">
        <v>3.44E-2</v>
      </c>
      <c r="W74" s="145">
        <f t="shared" si="17"/>
        <v>165309.66990400001</v>
      </c>
      <c r="X74" s="135"/>
      <c r="Y74" s="144">
        <f t="shared" si="18"/>
        <v>205428.33009599999</v>
      </c>
    </row>
    <row r="75" spans="1:25" x14ac:dyDescent="0.2">
      <c r="A75" s="26"/>
      <c r="B75" s="27"/>
      <c r="C75" s="59" t="s">
        <v>97</v>
      </c>
      <c r="D75" s="27"/>
      <c r="E75" s="20" t="s">
        <v>159</v>
      </c>
      <c r="F75" s="20" t="s">
        <v>64</v>
      </c>
      <c r="G75" s="19">
        <v>-10</v>
      </c>
      <c r="H75" s="27"/>
      <c r="I75" s="29">
        <v>68205.72</v>
      </c>
      <c r="J75" s="44"/>
      <c r="K75" s="45">
        <v>75026</v>
      </c>
      <c r="L75" s="45"/>
      <c r="M75" s="45">
        <v>0</v>
      </c>
      <c r="N75" s="45"/>
      <c r="O75" s="45">
        <v>0</v>
      </c>
      <c r="P75" s="27"/>
      <c r="Q75" s="116" t="str">
        <f t="shared" si="15"/>
        <v xml:space="preserve">-     </v>
      </c>
      <c r="S75" s="117" t="str">
        <f t="shared" si="16"/>
        <v xml:space="preserve">-     </v>
      </c>
      <c r="T75" s="32"/>
      <c r="U75" s="120">
        <v>0</v>
      </c>
      <c r="W75" s="145">
        <f t="shared" si="17"/>
        <v>0</v>
      </c>
      <c r="X75" s="135"/>
      <c r="Y75" s="144">
        <f t="shared" si="18"/>
        <v>0</v>
      </c>
    </row>
    <row r="76" spans="1:25" x14ac:dyDescent="0.2">
      <c r="A76" s="26"/>
      <c r="B76" s="27"/>
      <c r="C76" s="63" t="s">
        <v>98</v>
      </c>
      <c r="D76" s="27"/>
      <c r="E76" s="20" t="s">
        <v>192</v>
      </c>
      <c r="F76" s="20" t="s">
        <v>64</v>
      </c>
      <c r="G76" s="19">
        <v>-10</v>
      </c>
      <c r="H76" s="27"/>
      <c r="I76" s="29">
        <v>4562193.51</v>
      </c>
      <c r="J76" s="44"/>
      <c r="K76" s="45">
        <v>4064201</v>
      </c>
      <c r="L76" s="45"/>
      <c r="M76" s="45">
        <v>954212</v>
      </c>
      <c r="N76" s="45"/>
      <c r="O76" s="45">
        <v>241317</v>
      </c>
      <c r="P76" s="27"/>
      <c r="Q76" s="116">
        <f t="shared" si="15"/>
        <v>5.29</v>
      </c>
      <c r="S76" s="117">
        <f t="shared" si="16"/>
        <v>4</v>
      </c>
      <c r="T76" s="32"/>
      <c r="U76" s="120">
        <v>2.9000000000000001E-2</v>
      </c>
      <c r="W76" s="145">
        <f t="shared" si="17"/>
        <v>132303.61179</v>
      </c>
      <c r="X76" s="135"/>
      <c r="Y76" s="144">
        <f t="shared" si="18"/>
        <v>109013.38821</v>
      </c>
    </row>
    <row r="77" spans="1:25" x14ac:dyDescent="0.2">
      <c r="A77" s="26"/>
      <c r="B77" s="27"/>
      <c r="C77" s="63" t="s">
        <v>99</v>
      </c>
      <c r="D77" s="27"/>
      <c r="E77" s="20" t="s">
        <v>192</v>
      </c>
      <c r="F77" s="20" t="s">
        <v>64</v>
      </c>
      <c r="G77" s="19">
        <v>-10</v>
      </c>
      <c r="H77" s="27"/>
      <c r="I77" s="29">
        <v>10390485.9</v>
      </c>
      <c r="J77" s="44"/>
      <c r="K77" s="45">
        <v>9545563</v>
      </c>
      <c r="L77" s="45"/>
      <c r="M77" s="45">
        <v>1883971</v>
      </c>
      <c r="N77" s="45"/>
      <c r="O77" s="45">
        <v>472404</v>
      </c>
      <c r="P77" s="27"/>
      <c r="Q77" s="116">
        <f t="shared" si="15"/>
        <v>4.55</v>
      </c>
      <c r="S77" s="117">
        <f t="shared" si="16"/>
        <v>4</v>
      </c>
      <c r="T77" s="32"/>
      <c r="U77" s="120">
        <v>3.7900000000000003E-2</v>
      </c>
      <c r="W77" s="145">
        <f t="shared" si="17"/>
        <v>393799.41561000003</v>
      </c>
      <c r="X77" s="135"/>
      <c r="Y77" s="144">
        <f t="shared" si="18"/>
        <v>78604.584389999975</v>
      </c>
    </row>
    <row r="78" spans="1:25" x14ac:dyDescent="0.2">
      <c r="A78" s="26"/>
      <c r="B78" s="27"/>
      <c r="C78" s="63" t="s">
        <v>101</v>
      </c>
      <c r="D78" s="27"/>
      <c r="E78" s="20" t="s">
        <v>192</v>
      </c>
      <c r="F78" s="20" t="s">
        <v>64</v>
      </c>
      <c r="G78" s="19">
        <v>-11</v>
      </c>
      <c r="H78" s="27"/>
      <c r="I78" s="29">
        <v>7512824.9500000002</v>
      </c>
      <c r="J78" s="44"/>
      <c r="K78" s="45">
        <v>4893897</v>
      </c>
      <c r="L78" s="45"/>
      <c r="M78" s="45">
        <v>3445339</v>
      </c>
      <c r="N78" s="45"/>
      <c r="O78" s="45">
        <v>215514</v>
      </c>
      <c r="P78" s="27"/>
      <c r="Q78" s="116">
        <f t="shared" si="15"/>
        <v>2.87</v>
      </c>
      <c r="S78" s="117">
        <f t="shared" si="16"/>
        <v>16</v>
      </c>
      <c r="T78" s="32"/>
      <c r="U78" s="120">
        <v>1.12E-2</v>
      </c>
      <c r="W78" s="145">
        <f t="shared" si="17"/>
        <v>84143.639439999999</v>
      </c>
      <c r="X78" s="135"/>
      <c r="Y78" s="144">
        <f t="shared" si="18"/>
        <v>131370.36056</v>
      </c>
    </row>
    <row r="79" spans="1:25" x14ac:dyDescent="0.2">
      <c r="A79" s="26"/>
      <c r="B79" s="27"/>
      <c r="C79" s="63" t="s">
        <v>102</v>
      </c>
      <c r="D79" s="27"/>
      <c r="E79" s="20" t="s">
        <v>192</v>
      </c>
      <c r="F79" s="20" t="s">
        <v>64</v>
      </c>
      <c r="G79" s="19">
        <v>-11</v>
      </c>
      <c r="H79" s="27"/>
      <c r="I79" s="29">
        <v>12299721.869999999</v>
      </c>
      <c r="J79" s="44"/>
      <c r="K79" s="45">
        <v>8687176</v>
      </c>
      <c r="L79" s="45"/>
      <c r="M79" s="45">
        <v>4965515</v>
      </c>
      <c r="N79" s="45"/>
      <c r="O79" s="45">
        <v>228841</v>
      </c>
      <c r="P79" s="27"/>
      <c r="Q79" s="116">
        <f t="shared" si="15"/>
        <v>1.86</v>
      </c>
      <c r="S79" s="117">
        <f t="shared" si="16"/>
        <v>21.7</v>
      </c>
      <c r="T79" s="32"/>
      <c r="U79" s="120">
        <v>2.9100000000000001E-2</v>
      </c>
      <c r="W79" s="145">
        <f t="shared" si="17"/>
        <v>357921.90641699999</v>
      </c>
      <c r="X79" s="135"/>
      <c r="Y79" s="144">
        <f t="shared" si="18"/>
        <v>-129080.90641699999</v>
      </c>
    </row>
    <row r="80" spans="1:25" x14ac:dyDescent="0.2">
      <c r="A80" s="26"/>
      <c r="B80" s="27"/>
      <c r="C80" s="63" t="s">
        <v>103</v>
      </c>
      <c r="D80" s="27"/>
      <c r="E80" s="20" t="s">
        <v>192</v>
      </c>
      <c r="F80" s="20" t="s">
        <v>64</v>
      </c>
      <c r="G80" s="19">
        <v>-11</v>
      </c>
      <c r="H80" s="27"/>
      <c r="I80" s="29">
        <v>29293398.16</v>
      </c>
      <c r="J80" s="44"/>
      <c r="K80" s="45">
        <v>20414202</v>
      </c>
      <c r="L80" s="45"/>
      <c r="M80" s="45">
        <v>12101470</v>
      </c>
      <c r="N80" s="45"/>
      <c r="O80" s="45">
        <v>543748</v>
      </c>
      <c r="P80" s="27"/>
      <c r="Q80" s="116">
        <f t="shared" si="15"/>
        <v>1.86</v>
      </c>
      <c r="S80" s="117">
        <f t="shared" si="16"/>
        <v>22.3</v>
      </c>
      <c r="T80" s="32"/>
      <c r="U80" s="120">
        <v>3.1699999999999999E-2</v>
      </c>
      <c r="W80" s="145">
        <f t="shared" si="17"/>
        <v>928600.72167200001</v>
      </c>
      <c r="X80" s="135"/>
      <c r="Y80" s="144">
        <f t="shared" si="18"/>
        <v>-384852.72167200001</v>
      </c>
    </row>
    <row r="81" spans="1:25" x14ac:dyDescent="0.2">
      <c r="A81" s="26"/>
      <c r="B81" s="27"/>
      <c r="C81" s="63" t="s">
        <v>106</v>
      </c>
      <c r="D81" s="27"/>
      <c r="E81" s="20" t="s">
        <v>192</v>
      </c>
      <c r="F81" s="20" t="s">
        <v>64</v>
      </c>
      <c r="G81" s="19">
        <v>-12</v>
      </c>
      <c r="H81" s="27"/>
      <c r="I81" s="29">
        <v>36687321.399999999</v>
      </c>
      <c r="J81" s="44"/>
      <c r="K81" s="45">
        <v>20194109</v>
      </c>
      <c r="L81" s="45"/>
      <c r="M81" s="45">
        <v>20895691</v>
      </c>
      <c r="N81" s="45"/>
      <c r="O81" s="45">
        <v>978789</v>
      </c>
      <c r="P81" s="27"/>
      <c r="Q81" s="116">
        <f t="shared" si="15"/>
        <v>2.67</v>
      </c>
      <c r="S81" s="117">
        <f t="shared" si="16"/>
        <v>21.3</v>
      </c>
      <c r="T81" s="32"/>
      <c r="U81" s="120">
        <v>2.23E-2</v>
      </c>
      <c r="W81" s="145">
        <f t="shared" si="17"/>
        <v>818127.26722000004</v>
      </c>
      <c r="X81" s="135"/>
      <c r="Y81" s="144">
        <f t="shared" si="18"/>
        <v>160661.73277999996</v>
      </c>
    </row>
    <row r="82" spans="1:25" x14ac:dyDescent="0.2">
      <c r="A82" s="26"/>
      <c r="B82" s="67"/>
      <c r="C82" s="63" t="s">
        <v>107</v>
      </c>
      <c r="D82" s="32"/>
      <c r="E82" s="20" t="s">
        <v>192</v>
      </c>
      <c r="F82" s="20" t="s">
        <v>64</v>
      </c>
      <c r="G82" s="19">
        <v>-12</v>
      </c>
      <c r="H82" s="32"/>
      <c r="I82" s="29">
        <v>30417591.789999999</v>
      </c>
      <c r="J82" s="44"/>
      <c r="K82" s="45">
        <v>20815737</v>
      </c>
      <c r="L82" s="45"/>
      <c r="M82" s="45">
        <v>13251966</v>
      </c>
      <c r="N82" s="45"/>
      <c r="O82" s="45">
        <v>682670</v>
      </c>
      <c r="P82" s="32"/>
      <c r="Q82" s="116">
        <f t="shared" si="15"/>
        <v>2.2400000000000002</v>
      </c>
      <c r="S82" s="117">
        <f t="shared" si="16"/>
        <v>19.399999999999999</v>
      </c>
      <c r="T82" s="32"/>
      <c r="U82" s="120">
        <v>2.0799999999999999E-2</v>
      </c>
      <c r="W82" s="145">
        <f t="shared" si="17"/>
        <v>632685.90923200001</v>
      </c>
      <c r="X82" s="135"/>
      <c r="Y82" s="144">
        <f t="shared" si="18"/>
        <v>49984.090767999995</v>
      </c>
    </row>
    <row r="83" spans="1:25" x14ac:dyDescent="0.2">
      <c r="A83" s="26"/>
      <c r="B83" s="27"/>
      <c r="C83" s="63" t="s">
        <v>108</v>
      </c>
      <c r="D83" s="27"/>
      <c r="E83" s="20" t="s">
        <v>192</v>
      </c>
      <c r="F83" s="20" t="s">
        <v>64</v>
      </c>
      <c r="G83" s="19">
        <v>-12</v>
      </c>
      <c r="H83" s="27"/>
      <c r="I83" s="29">
        <v>42595556.799999997</v>
      </c>
      <c r="J83" s="44"/>
      <c r="K83" s="45">
        <v>28152257</v>
      </c>
      <c r="L83" s="45"/>
      <c r="M83" s="45">
        <v>19554767</v>
      </c>
      <c r="N83" s="45"/>
      <c r="O83" s="45">
        <v>887493</v>
      </c>
      <c r="P83" s="27"/>
      <c r="Q83" s="116">
        <f t="shared" si="15"/>
        <v>2.08</v>
      </c>
      <c r="S83" s="117">
        <f t="shared" si="16"/>
        <v>22</v>
      </c>
      <c r="T83" s="32"/>
      <c r="U83" s="120">
        <v>2.0299999999999999E-2</v>
      </c>
      <c r="W83" s="145">
        <f t="shared" si="17"/>
        <v>864689.80303999991</v>
      </c>
      <c r="X83" s="135"/>
      <c r="Y83" s="144">
        <f t="shared" si="18"/>
        <v>22803.196960000088</v>
      </c>
    </row>
    <row r="84" spans="1:25" x14ac:dyDescent="0.2">
      <c r="A84" s="26"/>
      <c r="B84" s="27"/>
      <c r="C84" s="63" t="s">
        <v>109</v>
      </c>
      <c r="D84" s="27"/>
      <c r="E84" s="20" t="s">
        <v>192</v>
      </c>
      <c r="F84" s="20" t="s">
        <v>64</v>
      </c>
      <c r="G84" s="19">
        <v>-12</v>
      </c>
      <c r="H84" s="27"/>
      <c r="I84" s="47">
        <v>57036973.140000001</v>
      </c>
      <c r="J84" s="44"/>
      <c r="K84" s="45">
        <v>32047642</v>
      </c>
      <c r="L84" s="45"/>
      <c r="M84" s="45">
        <v>31833768</v>
      </c>
      <c r="N84" s="45"/>
      <c r="O84" s="45">
        <v>1388323</v>
      </c>
      <c r="P84" s="27"/>
      <c r="Q84" s="116">
        <f t="shared" si="15"/>
        <v>2.4300000000000002</v>
      </c>
      <c r="S84" s="117">
        <f t="shared" si="16"/>
        <v>22.9</v>
      </c>
      <c r="T84" s="32"/>
      <c r="U84" s="120">
        <v>2.1999999999999999E-2</v>
      </c>
      <c r="W84" s="158">
        <f t="shared" si="17"/>
        <v>1254813.4090799999</v>
      </c>
      <c r="X84" s="135"/>
      <c r="Y84" s="144">
        <f t="shared" si="18"/>
        <v>133509.5909200001</v>
      </c>
    </row>
    <row r="85" spans="1:25" x14ac:dyDescent="0.2">
      <c r="A85" s="26"/>
      <c r="B85" s="27"/>
      <c r="C85" s="27"/>
      <c r="D85" s="27"/>
      <c r="E85" s="20"/>
      <c r="F85" s="20"/>
      <c r="G85" s="19"/>
      <c r="H85" s="27"/>
      <c r="I85" s="29"/>
      <c r="J85" s="27"/>
      <c r="K85" s="49"/>
      <c r="L85" s="34"/>
      <c r="M85" s="49"/>
      <c r="N85" s="34"/>
      <c r="O85" s="49"/>
      <c r="P85" s="27"/>
      <c r="Q85" s="26"/>
      <c r="R85" s="27"/>
      <c r="S85" s="62"/>
      <c r="T85" s="32"/>
      <c r="U85" s="120"/>
      <c r="X85" s="135"/>
    </row>
    <row r="86" spans="1:25" x14ac:dyDescent="0.2">
      <c r="A86" s="26"/>
      <c r="B86" s="27"/>
      <c r="C86" s="65" t="s">
        <v>30</v>
      </c>
      <c r="D86" s="27"/>
      <c r="E86" s="20"/>
      <c r="F86" s="20"/>
      <c r="G86" s="19"/>
      <c r="H86" s="27"/>
      <c r="I86" s="29">
        <f>+SUBTOTAL(9,I73:I85)</f>
        <v>319664519.66000003</v>
      </c>
      <c r="J86" s="27"/>
      <c r="K86" s="34">
        <f>+SUBTOTAL(9,K73:K85)</f>
        <v>165187525</v>
      </c>
      <c r="L86" s="34"/>
      <c r="M86" s="34">
        <f>+SUBTOTAL(9,M73:M85)</f>
        <v>194468992</v>
      </c>
      <c r="N86" s="34"/>
      <c r="O86" s="34">
        <f>+SUBTOTAL(9,O73:O85)</f>
        <v>7845947</v>
      </c>
      <c r="P86" s="27"/>
      <c r="Q86" s="116">
        <f>IF(O86/I86*100=0,"-     ",ROUND(O86/I86*100,2))</f>
        <v>2.4500000000000002</v>
      </c>
      <c r="S86" s="117">
        <f t="shared" ref="S86" si="19">IF(O86=0,"-     ",ROUND(M86/O86,1))</f>
        <v>24.8</v>
      </c>
      <c r="T86" s="32"/>
      <c r="U86" s="120"/>
      <c r="W86" s="118">
        <f>+SUBTOTAL(9,W73:W85)</f>
        <v>7967448.924132999</v>
      </c>
      <c r="X86" s="135"/>
      <c r="Y86" s="144">
        <f>O86-W86</f>
        <v>-121501.92413299903</v>
      </c>
    </row>
    <row r="87" spans="1:25" x14ac:dyDescent="0.2">
      <c r="A87" s="26"/>
      <c r="B87" s="27"/>
      <c r="C87" s="27"/>
      <c r="D87" s="27"/>
      <c r="E87" s="20"/>
      <c r="F87" s="20"/>
      <c r="G87" s="19"/>
      <c r="H87" s="27"/>
      <c r="I87" s="29"/>
      <c r="J87" s="27"/>
      <c r="K87" s="34"/>
      <c r="L87" s="34"/>
      <c r="M87" s="34"/>
      <c r="N87" s="34"/>
      <c r="O87" s="34"/>
      <c r="P87" s="27"/>
      <c r="Q87" s="26"/>
      <c r="R87" s="27"/>
      <c r="S87" s="62"/>
      <c r="T87" s="32"/>
      <c r="U87" s="120"/>
      <c r="X87" s="135"/>
    </row>
    <row r="88" spans="1:25" x14ac:dyDescent="0.2">
      <c r="A88" s="26">
        <v>315</v>
      </c>
      <c r="B88" s="27"/>
      <c r="C88" s="27" t="s">
        <v>31</v>
      </c>
      <c r="D88" s="27"/>
      <c r="E88" s="56"/>
      <c r="F88" s="56"/>
      <c r="G88" s="66"/>
      <c r="H88" s="27"/>
      <c r="I88" s="29"/>
      <c r="J88" s="27"/>
      <c r="K88" s="34"/>
      <c r="L88" s="34"/>
      <c r="M88" s="34"/>
      <c r="N88" s="34"/>
      <c r="O88" s="34"/>
      <c r="P88" s="27"/>
      <c r="Q88" s="26"/>
      <c r="R88" s="27"/>
      <c r="S88" s="62"/>
      <c r="T88" s="32"/>
      <c r="U88" s="120"/>
      <c r="X88" s="135"/>
    </row>
    <row r="89" spans="1:25" x14ac:dyDescent="0.2">
      <c r="A89" s="26"/>
      <c r="B89" s="27"/>
      <c r="C89" s="59" t="s">
        <v>93</v>
      </c>
      <c r="D89" s="27"/>
      <c r="E89" s="56" t="s">
        <v>135</v>
      </c>
      <c r="F89" s="56" t="s">
        <v>64</v>
      </c>
      <c r="G89" s="66">
        <v>-15</v>
      </c>
      <c r="H89" s="27"/>
      <c r="I89" s="29">
        <v>41600356.799999997</v>
      </c>
      <c r="J89" s="27"/>
      <c r="K89" s="34">
        <v>4958709</v>
      </c>
      <c r="L89" s="34"/>
      <c r="M89" s="34">
        <v>42881701</v>
      </c>
      <c r="N89" s="34"/>
      <c r="O89" s="34">
        <v>836186</v>
      </c>
      <c r="P89" s="27"/>
      <c r="Q89" s="116">
        <f t="shared" ref="Q89:Q106" si="20">IF(O89/I89*100=0,"-     ",ROUND(O89/I89*100,2))</f>
        <v>2.0099999999999998</v>
      </c>
      <c r="S89" s="117">
        <f t="shared" ref="S89:S106" si="21">IF(O89=0,"-     ",ROUND(M89/O89,1))</f>
        <v>51.3</v>
      </c>
      <c r="T89" s="32"/>
      <c r="U89" s="120">
        <v>2.4899999999999999E-2</v>
      </c>
      <c r="W89" s="145">
        <f t="shared" ref="W89:W106" si="22">I89*U89</f>
        <v>1035848.8843199998</v>
      </c>
      <c r="X89" s="135"/>
      <c r="Y89" s="144">
        <f t="shared" ref="Y89:Y106" si="23">O89-W89</f>
        <v>-199662.88431999984</v>
      </c>
    </row>
    <row r="90" spans="1:25" x14ac:dyDescent="0.2">
      <c r="A90" s="26"/>
      <c r="B90" s="27"/>
      <c r="C90" s="59" t="s">
        <v>94</v>
      </c>
      <c r="D90" s="27"/>
      <c r="E90" s="56" t="s">
        <v>135</v>
      </c>
      <c r="F90" s="56" t="s">
        <v>64</v>
      </c>
      <c r="G90" s="66">
        <v>-15</v>
      </c>
      <c r="H90" s="27"/>
      <c r="I90" s="29">
        <v>1415469.1</v>
      </c>
      <c r="J90" s="27"/>
      <c r="K90" s="34">
        <v>653351</v>
      </c>
      <c r="L90" s="34"/>
      <c r="M90" s="34">
        <v>974438</v>
      </c>
      <c r="N90" s="34"/>
      <c r="O90" s="34">
        <v>22036</v>
      </c>
      <c r="P90" s="27"/>
      <c r="Q90" s="116">
        <f t="shared" si="20"/>
        <v>1.56</v>
      </c>
      <c r="S90" s="117">
        <f t="shared" si="21"/>
        <v>44.2</v>
      </c>
      <c r="T90" s="32"/>
      <c r="U90" s="120">
        <v>2.4899999999999999E-2</v>
      </c>
      <c r="W90" s="145">
        <f t="shared" si="22"/>
        <v>35245.180590000004</v>
      </c>
      <c r="X90" s="135"/>
      <c r="Y90" s="144">
        <f t="shared" si="23"/>
        <v>-13209.180590000004</v>
      </c>
    </row>
    <row r="91" spans="1:25" x14ac:dyDescent="0.2">
      <c r="A91" s="26"/>
      <c r="B91" s="27"/>
      <c r="C91" s="59" t="s">
        <v>96</v>
      </c>
      <c r="D91" s="27"/>
      <c r="E91" s="56" t="s">
        <v>135</v>
      </c>
      <c r="F91" s="56" t="s">
        <v>64</v>
      </c>
      <c r="G91" s="66">
        <v>-10</v>
      </c>
      <c r="H91" s="27"/>
      <c r="I91" s="29">
        <v>2081692.71</v>
      </c>
      <c r="J91" s="27"/>
      <c r="K91" s="34">
        <v>1087407</v>
      </c>
      <c r="L91" s="34"/>
      <c r="M91" s="34">
        <v>1202455</v>
      </c>
      <c r="N91" s="34"/>
      <c r="O91" s="34">
        <v>305060</v>
      </c>
      <c r="P91" s="27"/>
      <c r="Q91" s="116">
        <f t="shared" si="20"/>
        <v>14.65</v>
      </c>
      <c r="S91" s="117">
        <f t="shared" si="21"/>
        <v>3.9</v>
      </c>
      <c r="T91" s="32"/>
      <c r="U91" s="120">
        <v>0</v>
      </c>
      <c r="W91" s="145">
        <f t="shared" si="22"/>
        <v>0</v>
      </c>
      <c r="X91" s="135"/>
      <c r="Y91" s="144">
        <f t="shared" si="23"/>
        <v>305060</v>
      </c>
    </row>
    <row r="92" spans="1:25" x14ac:dyDescent="0.2">
      <c r="A92" s="26"/>
      <c r="B92" s="27"/>
      <c r="C92" s="59" t="s">
        <v>97</v>
      </c>
      <c r="D92" s="27"/>
      <c r="E92" s="20" t="s">
        <v>159</v>
      </c>
      <c r="F92" s="56" t="s">
        <v>64</v>
      </c>
      <c r="G92" s="66">
        <v>-10</v>
      </c>
      <c r="H92" s="27"/>
      <c r="I92" s="29">
        <v>99210.72</v>
      </c>
      <c r="J92" s="27"/>
      <c r="K92" s="34">
        <v>109132</v>
      </c>
      <c r="L92" s="34"/>
      <c r="M92" s="34">
        <v>0</v>
      </c>
      <c r="N92" s="34"/>
      <c r="O92" s="34">
        <v>0</v>
      </c>
      <c r="P92" s="27"/>
      <c r="Q92" s="116" t="str">
        <f t="shared" si="20"/>
        <v xml:space="preserve">-     </v>
      </c>
      <c r="S92" s="117" t="str">
        <f t="shared" si="21"/>
        <v xml:space="preserve">-     </v>
      </c>
      <c r="T92" s="32"/>
      <c r="U92" s="120">
        <v>0</v>
      </c>
      <c r="W92" s="145">
        <f t="shared" si="22"/>
        <v>0</v>
      </c>
      <c r="X92" s="135"/>
      <c r="Y92" s="144">
        <f t="shared" si="23"/>
        <v>0</v>
      </c>
    </row>
    <row r="93" spans="1:25" x14ac:dyDescent="0.2">
      <c r="A93" s="26"/>
      <c r="B93" s="27"/>
      <c r="C93" s="63" t="s">
        <v>98</v>
      </c>
      <c r="D93" s="27"/>
      <c r="E93" s="56" t="s">
        <v>135</v>
      </c>
      <c r="F93" s="56" t="s">
        <v>64</v>
      </c>
      <c r="G93" s="66">
        <v>-10</v>
      </c>
      <c r="H93" s="27"/>
      <c r="I93" s="29">
        <v>1205362.18</v>
      </c>
      <c r="J93" s="27"/>
      <c r="K93" s="34">
        <v>554397</v>
      </c>
      <c r="L93" s="34"/>
      <c r="M93" s="34">
        <v>771501</v>
      </c>
      <c r="N93" s="34"/>
      <c r="O93" s="34">
        <v>194829</v>
      </c>
      <c r="P93" s="27"/>
      <c r="Q93" s="116">
        <f t="shared" si="20"/>
        <v>16.16</v>
      </c>
      <c r="S93" s="117">
        <f t="shared" si="21"/>
        <v>4</v>
      </c>
      <c r="T93" s="32"/>
      <c r="U93" s="120">
        <v>0</v>
      </c>
      <c r="W93" s="145">
        <f t="shared" si="22"/>
        <v>0</v>
      </c>
      <c r="X93" s="135"/>
      <c r="Y93" s="144">
        <f t="shared" si="23"/>
        <v>194829</v>
      </c>
    </row>
    <row r="94" spans="1:25" x14ac:dyDescent="0.2">
      <c r="A94" s="26"/>
      <c r="B94" s="27"/>
      <c r="C94" s="63" t="s">
        <v>99</v>
      </c>
      <c r="D94" s="27"/>
      <c r="E94" s="20" t="s">
        <v>135</v>
      </c>
      <c r="F94" s="20" t="s">
        <v>64</v>
      </c>
      <c r="G94" s="19">
        <v>-10</v>
      </c>
      <c r="H94" s="27"/>
      <c r="I94" s="29">
        <v>2695328.66</v>
      </c>
      <c r="J94" s="44"/>
      <c r="K94" s="45">
        <v>1846556</v>
      </c>
      <c r="L94" s="45"/>
      <c r="M94" s="45">
        <v>1118306</v>
      </c>
      <c r="N94" s="45"/>
      <c r="O94" s="45">
        <v>283879</v>
      </c>
      <c r="P94" s="27"/>
      <c r="Q94" s="116">
        <f t="shared" si="20"/>
        <v>10.53</v>
      </c>
      <c r="S94" s="117">
        <f t="shared" si="21"/>
        <v>3.9</v>
      </c>
      <c r="T94" s="32"/>
      <c r="U94" s="120">
        <v>1.46E-2</v>
      </c>
      <c r="W94" s="145">
        <f t="shared" si="22"/>
        <v>39351.798436000005</v>
      </c>
      <c r="X94" s="135"/>
      <c r="Y94" s="144">
        <f t="shared" si="23"/>
        <v>244527.20156399999</v>
      </c>
    </row>
    <row r="95" spans="1:25" x14ac:dyDescent="0.2">
      <c r="A95" s="26"/>
      <c r="B95" s="27"/>
      <c r="C95" s="63" t="s">
        <v>101</v>
      </c>
      <c r="D95" s="27"/>
      <c r="E95" s="20" t="s">
        <v>135</v>
      </c>
      <c r="F95" s="20" t="s">
        <v>64</v>
      </c>
      <c r="G95" s="19">
        <v>-11</v>
      </c>
      <c r="H95" s="27"/>
      <c r="I95" s="29">
        <v>3859109.33</v>
      </c>
      <c r="J95" s="44"/>
      <c r="K95" s="45">
        <v>3259464</v>
      </c>
      <c r="L95" s="45"/>
      <c r="M95" s="45">
        <v>1024147</v>
      </c>
      <c r="N95" s="45"/>
      <c r="O95" s="45">
        <v>62118</v>
      </c>
      <c r="P95" s="27"/>
      <c r="Q95" s="116">
        <f t="shared" si="20"/>
        <v>1.61</v>
      </c>
      <c r="S95" s="117">
        <f t="shared" si="21"/>
        <v>16.5</v>
      </c>
      <c r="T95" s="32"/>
      <c r="U95" s="120">
        <v>2.1000000000000001E-2</v>
      </c>
      <c r="W95" s="145">
        <f t="shared" si="22"/>
        <v>81041.295930000008</v>
      </c>
      <c r="X95" s="135"/>
      <c r="Y95" s="144">
        <f t="shared" si="23"/>
        <v>-18923.295930000008</v>
      </c>
    </row>
    <row r="96" spans="1:25" x14ac:dyDescent="0.2">
      <c r="A96" s="26"/>
      <c r="B96" s="27"/>
      <c r="C96" s="63" t="s">
        <v>102</v>
      </c>
      <c r="D96" s="27"/>
      <c r="E96" s="20" t="s">
        <v>135</v>
      </c>
      <c r="F96" s="20" t="s">
        <v>64</v>
      </c>
      <c r="G96" s="19">
        <v>-11</v>
      </c>
      <c r="H96" s="27"/>
      <c r="I96" s="29">
        <v>2165576.9900000002</v>
      </c>
      <c r="J96" s="44"/>
      <c r="K96" s="45">
        <v>1331430</v>
      </c>
      <c r="L96" s="45"/>
      <c r="M96" s="45">
        <v>1072360</v>
      </c>
      <c r="N96" s="45"/>
      <c r="O96" s="45">
        <v>47686</v>
      </c>
      <c r="P96" s="27"/>
      <c r="Q96" s="116">
        <f t="shared" si="20"/>
        <v>2.2000000000000002</v>
      </c>
      <c r="S96" s="117">
        <f t="shared" si="21"/>
        <v>22.5</v>
      </c>
      <c r="T96" s="32"/>
      <c r="U96" s="120">
        <v>4.7999999999999996E-3</v>
      </c>
      <c r="W96" s="145">
        <f t="shared" si="22"/>
        <v>10394.769552</v>
      </c>
      <c r="X96" s="135"/>
      <c r="Y96" s="144">
        <f t="shared" si="23"/>
        <v>37291.230448000002</v>
      </c>
    </row>
    <row r="97" spans="1:25" x14ac:dyDescent="0.2">
      <c r="A97" s="26"/>
      <c r="B97" s="27"/>
      <c r="C97" s="63" t="s">
        <v>103</v>
      </c>
      <c r="D97" s="27"/>
      <c r="E97" s="20" t="s">
        <v>135</v>
      </c>
      <c r="F97" s="20" t="s">
        <v>64</v>
      </c>
      <c r="G97" s="19">
        <v>-11</v>
      </c>
      <c r="H97" s="27"/>
      <c r="I97" s="29">
        <v>8597465.8800000008</v>
      </c>
      <c r="J97" s="44"/>
      <c r="K97" s="45">
        <v>6533915</v>
      </c>
      <c r="L97" s="45"/>
      <c r="M97" s="45">
        <v>3009272</v>
      </c>
      <c r="N97" s="45"/>
      <c r="O97" s="45">
        <v>128146</v>
      </c>
      <c r="P97" s="27"/>
      <c r="Q97" s="116">
        <f t="shared" si="20"/>
        <v>1.49</v>
      </c>
      <c r="S97" s="117">
        <f t="shared" si="21"/>
        <v>23.5</v>
      </c>
      <c r="T97" s="32"/>
      <c r="U97" s="120">
        <v>5.4000000000000003E-3</v>
      </c>
      <c r="W97" s="145">
        <f t="shared" si="22"/>
        <v>46426.31575200001</v>
      </c>
      <c r="X97" s="135"/>
      <c r="Y97" s="144">
        <f t="shared" si="23"/>
        <v>81719.68424799999</v>
      </c>
    </row>
    <row r="98" spans="1:25" x14ac:dyDescent="0.2">
      <c r="A98" s="26"/>
      <c r="B98" s="27"/>
      <c r="C98" s="63" t="s">
        <v>186</v>
      </c>
      <c r="D98" s="27"/>
      <c r="E98" s="20" t="s">
        <v>135</v>
      </c>
      <c r="F98" s="20" t="s">
        <v>64</v>
      </c>
      <c r="G98" s="19">
        <v>-11</v>
      </c>
      <c r="H98" s="27"/>
      <c r="I98" s="29">
        <v>29503821.449999999</v>
      </c>
      <c r="J98" s="44"/>
      <c r="K98" s="45">
        <v>1205108</v>
      </c>
      <c r="L98" s="45"/>
      <c r="M98" s="45">
        <v>31544134</v>
      </c>
      <c r="N98" s="45"/>
      <c r="O98" s="45">
        <v>1342875</v>
      </c>
      <c r="P98" s="27"/>
      <c r="Q98" s="116">
        <f t="shared" si="20"/>
        <v>4.55</v>
      </c>
      <c r="S98" s="117">
        <f t="shared" si="21"/>
        <v>23.5</v>
      </c>
      <c r="T98" s="32"/>
      <c r="U98" s="120">
        <v>2.7E-2</v>
      </c>
      <c r="W98" s="145">
        <f t="shared" si="22"/>
        <v>796603.17914999998</v>
      </c>
      <c r="X98" s="135"/>
      <c r="Y98" s="144">
        <f t="shared" si="23"/>
        <v>546271.82085000002</v>
      </c>
    </row>
    <row r="99" spans="1:25" x14ac:dyDescent="0.2">
      <c r="A99" s="26"/>
      <c r="B99" s="27"/>
      <c r="C99" s="63" t="s">
        <v>105</v>
      </c>
      <c r="D99" s="27"/>
      <c r="E99" s="20" t="s">
        <v>135</v>
      </c>
      <c r="F99" s="20" t="s">
        <v>64</v>
      </c>
      <c r="G99" s="19">
        <v>-12</v>
      </c>
      <c r="H99" s="27"/>
      <c r="I99" s="29">
        <v>13292784.699999999</v>
      </c>
      <c r="J99" s="44"/>
      <c r="K99" s="45">
        <v>3266572</v>
      </c>
      <c r="L99" s="45"/>
      <c r="M99" s="45">
        <v>11621347</v>
      </c>
      <c r="N99" s="45"/>
      <c r="O99" s="45">
        <v>517122</v>
      </c>
      <c r="P99" s="27"/>
      <c r="Q99" s="116">
        <f t="shared" si="20"/>
        <v>3.89</v>
      </c>
      <c r="S99" s="117">
        <f t="shared" si="21"/>
        <v>22.5</v>
      </c>
      <c r="T99" s="32"/>
      <c r="U99" s="120">
        <v>2.7E-2</v>
      </c>
      <c r="W99" s="145">
        <f t="shared" si="22"/>
        <v>358905.18689999997</v>
      </c>
      <c r="X99" s="135"/>
      <c r="Y99" s="144">
        <f t="shared" si="23"/>
        <v>158216.81310000003</v>
      </c>
    </row>
    <row r="100" spans="1:25" x14ac:dyDescent="0.2">
      <c r="A100" s="26"/>
      <c r="B100" s="27"/>
      <c r="C100" s="63" t="s">
        <v>106</v>
      </c>
      <c r="D100" s="27"/>
      <c r="E100" s="20" t="s">
        <v>135</v>
      </c>
      <c r="F100" s="20" t="s">
        <v>64</v>
      </c>
      <c r="G100" s="19">
        <v>-12</v>
      </c>
      <c r="H100" s="27"/>
      <c r="I100" s="29">
        <v>8872543.2599999998</v>
      </c>
      <c r="J100" s="44"/>
      <c r="K100" s="45">
        <v>8274863</v>
      </c>
      <c r="L100" s="45"/>
      <c r="M100" s="45">
        <v>1662385</v>
      </c>
      <c r="N100" s="45"/>
      <c r="O100" s="45">
        <v>77332</v>
      </c>
      <c r="P100" s="27"/>
      <c r="Q100" s="116">
        <f t="shared" si="20"/>
        <v>0.87</v>
      </c>
      <c r="S100" s="117">
        <f t="shared" si="21"/>
        <v>21.5</v>
      </c>
      <c r="T100" s="32"/>
      <c r="U100" s="120">
        <v>5.4999999999999997E-3</v>
      </c>
      <c r="W100" s="145">
        <f t="shared" si="22"/>
        <v>48798.987929999996</v>
      </c>
      <c r="X100" s="135"/>
      <c r="Y100" s="144">
        <f t="shared" si="23"/>
        <v>28533.012070000004</v>
      </c>
    </row>
    <row r="101" spans="1:25" x14ac:dyDescent="0.2">
      <c r="A101" s="26"/>
      <c r="B101" s="27"/>
      <c r="C101" s="63" t="s">
        <v>107</v>
      </c>
      <c r="D101" s="27"/>
      <c r="E101" s="20" t="s">
        <v>135</v>
      </c>
      <c r="F101" s="20" t="s">
        <v>64</v>
      </c>
      <c r="G101" s="19">
        <v>-12</v>
      </c>
      <c r="H101" s="27"/>
      <c r="I101" s="29">
        <v>13858388.529999999</v>
      </c>
      <c r="J101" s="44"/>
      <c r="K101" s="45">
        <v>10602781</v>
      </c>
      <c r="L101" s="45"/>
      <c r="M101" s="45">
        <v>4918614</v>
      </c>
      <c r="N101" s="45"/>
      <c r="O101" s="45">
        <v>229310</v>
      </c>
      <c r="P101" s="27"/>
      <c r="Q101" s="116">
        <f t="shared" si="20"/>
        <v>1.65</v>
      </c>
      <c r="S101" s="117">
        <f t="shared" si="21"/>
        <v>21.4</v>
      </c>
      <c r="T101" s="32"/>
      <c r="U101" s="120">
        <v>6.0000000000000001E-3</v>
      </c>
      <c r="W101" s="145">
        <f t="shared" si="22"/>
        <v>83150.331179999994</v>
      </c>
      <c r="X101" s="135"/>
      <c r="Y101" s="144">
        <f t="shared" si="23"/>
        <v>146159.66882000002</v>
      </c>
    </row>
    <row r="102" spans="1:25" x14ac:dyDescent="0.2">
      <c r="A102" s="26"/>
      <c r="B102" s="27"/>
      <c r="C102" s="63" t="s">
        <v>108</v>
      </c>
      <c r="D102" s="27"/>
      <c r="E102" s="20" t="s">
        <v>135</v>
      </c>
      <c r="F102" s="20" t="s">
        <v>64</v>
      </c>
      <c r="G102" s="19">
        <v>-12</v>
      </c>
      <c r="H102" s="27"/>
      <c r="I102" s="29">
        <v>30932405.420000002</v>
      </c>
      <c r="J102" s="44"/>
      <c r="K102" s="45">
        <v>22826297</v>
      </c>
      <c r="L102" s="45"/>
      <c r="M102" s="45">
        <v>11817997</v>
      </c>
      <c r="N102" s="45"/>
      <c r="O102" s="45">
        <v>490361</v>
      </c>
      <c r="P102" s="27"/>
      <c r="Q102" s="116">
        <f t="shared" si="20"/>
        <v>1.59</v>
      </c>
      <c r="S102" s="117">
        <f t="shared" si="21"/>
        <v>24.1</v>
      </c>
      <c r="T102" s="32"/>
      <c r="U102" s="120">
        <v>1.03E-2</v>
      </c>
      <c r="W102" s="145">
        <f t="shared" si="22"/>
        <v>318603.77582600003</v>
      </c>
      <c r="X102" s="135"/>
      <c r="Y102" s="144">
        <f t="shared" si="23"/>
        <v>171757.22417399997</v>
      </c>
    </row>
    <row r="103" spans="1:25" x14ac:dyDescent="0.2">
      <c r="A103" s="26"/>
      <c r="B103" s="27"/>
      <c r="C103" s="63" t="s">
        <v>109</v>
      </c>
      <c r="D103" s="27"/>
      <c r="E103" s="20" t="s">
        <v>135</v>
      </c>
      <c r="F103" s="20" t="s">
        <v>64</v>
      </c>
      <c r="G103" s="19">
        <v>-12</v>
      </c>
      <c r="H103" s="27"/>
      <c r="I103" s="29">
        <v>24412796.920000002</v>
      </c>
      <c r="J103" s="44"/>
      <c r="K103" s="45">
        <v>16503145</v>
      </c>
      <c r="L103" s="45"/>
      <c r="M103" s="45">
        <v>10839188</v>
      </c>
      <c r="N103" s="45"/>
      <c r="O103" s="45">
        <v>429536</v>
      </c>
      <c r="P103" s="27"/>
      <c r="Q103" s="116">
        <f t="shared" si="20"/>
        <v>1.76</v>
      </c>
      <c r="S103" s="117">
        <f t="shared" si="21"/>
        <v>25.2</v>
      </c>
      <c r="T103" s="32"/>
      <c r="U103" s="120">
        <v>1.2200000000000001E-2</v>
      </c>
      <c r="W103" s="145">
        <f t="shared" si="22"/>
        <v>297836.12242400006</v>
      </c>
      <c r="X103" s="135"/>
      <c r="Y103" s="144">
        <f t="shared" si="23"/>
        <v>131699.87757599994</v>
      </c>
    </row>
    <row r="104" spans="1:25" x14ac:dyDescent="0.2">
      <c r="A104" s="26"/>
      <c r="B104" s="27"/>
      <c r="C104" s="63" t="s">
        <v>110</v>
      </c>
      <c r="D104" s="27"/>
      <c r="E104" s="20" t="s">
        <v>135</v>
      </c>
      <c r="F104" s="20" t="s">
        <v>64</v>
      </c>
      <c r="G104" s="19">
        <v>-12</v>
      </c>
      <c r="H104" s="27"/>
      <c r="I104" s="29">
        <v>1155753.06</v>
      </c>
      <c r="J104" s="44"/>
      <c r="K104" s="45">
        <v>73909</v>
      </c>
      <c r="L104" s="45"/>
      <c r="M104" s="45">
        <v>1220534</v>
      </c>
      <c r="N104" s="45"/>
      <c r="O104" s="45">
        <v>54270</v>
      </c>
      <c r="P104" s="27"/>
      <c r="Q104" s="116">
        <f t="shared" si="20"/>
        <v>4.7</v>
      </c>
      <c r="S104" s="117">
        <f t="shared" si="21"/>
        <v>22.5</v>
      </c>
      <c r="T104" s="32"/>
      <c r="U104" s="120">
        <v>2.7E-2</v>
      </c>
      <c r="W104" s="145">
        <f t="shared" si="22"/>
        <v>31205.332620000001</v>
      </c>
      <c r="X104" s="135"/>
      <c r="Y104" s="144">
        <f t="shared" si="23"/>
        <v>23064.667379999999</v>
      </c>
    </row>
    <row r="105" spans="1:25" x14ac:dyDescent="0.2">
      <c r="A105" s="26"/>
      <c r="B105" s="27"/>
      <c r="C105" s="63" t="s">
        <v>111</v>
      </c>
      <c r="D105" s="27"/>
      <c r="E105" s="20" t="s">
        <v>135</v>
      </c>
      <c r="F105" s="20" t="s">
        <v>64</v>
      </c>
      <c r="G105" s="19">
        <v>-12</v>
      </c>
      <c r="H105" s="27"/>
      <c r="I105" s="29">
        <v>12041998.279999999</v>
      </c>
      <c r="J105" s="44"/>
      <c r="K105" s="45">
        <v>1992181</v>
      </c>
      <c r="L105" s="45"/>
      <c r="M105" s="45">
        <v>11494857</v>
      </c>
      <c r="N105" s="45"/>
      <c r="O105" s="45">
        <v>451284</v>
      </c>
      <c r="P105" s="27"/>
      <c r="Q105" s="116">
        <f t="shared" si="20"/>
        <v>3.75</v>
      </c>
      <c r="S105" s="117">
        <f t="shared" si="21"/>
        <v>25.5</v>
      </c>
      <c r="T105" s="32"/>
      <c r="U105" s="120">
        <v>2.7E-2</v>
      </c>
      <c r="W105" s="145">
        <f t="shared" si="22"/>
        <v>325133.95355999999</v>
      </c>
      <c r="X105" s="135"/>
      <c r="Y105" s="144">
        <f t="shared" si="23"/>
        <v>126150.04644000001</v>
      </c>
    </row>
    <row r="106" spans="1:25" x14ac:dyDescent="0.2">
      <c r="A106" s="26"/>
      <c r="B106" s="27"/>
      <c r="C106" s="63" t="s">
        <v>112</v>
      </c>
      <c r="D106" s="27"/>
      <c r="E106" s="20" t="s">
        <v>135</v>
      </c>
      <c r="F106" s="20" t="s">
        <v>64</v>
      </c>
      <c r="G106" s="19">
        <v>-12</v>
      </c>
      <c r="H106" s="27"/>
      <c r="I106" s="47">
        <v>3844595.46</v>
      </c>
      <c r="J106" s="44"/>
      <c r="K106" s="45">
        <v>381019</v>
      </c>
      <c r="L106" s="45"/>
      <c r="M106" s="45">
        <v>3924928</v>
      </c>
      <c r="N106" s="45"/>
      <c r="O106" s="45">
        <v>148278</v>
      </c>
      <c r="P106" s="27"/>
      <c r="Q106" s="116">
        <f t="shared" si="20"/>
        <v>3.86</v>
      </c>
      <c r="S106" s="117">
        <f t="shared" si="21"/>
        <v>26.5</v>
      </c>
      <c r="T106" s="32"/>
      <c r="U106" s="120">
        <v>2.7E-2</v>
      </c>
      <c r="W106" s="158">
        <f t="shared" si="22"/>
        <v>103804.07742</v>
      </c>
      <c r="X106" s="135"/>
      <c r="Y106" s="144">
        <f t="shared" si="23"/>
        <v>44473.922579999999</v>
      </c>
    </row>
    <row r="107" spans="1:25" x14ac:dyDescent="0.2">
      <c r="A107" s="26"/>
      <c r="B107" s="27"/>
      <c r="C107" s="27"/>
      <c r="D107" s="27"/>
      <c r="E107" s="20"/>
      <c r="F107" s="20"/>
      <c r="G107" s="19"/>
      <c r="H107" s="27"/>
      <c r="I107" s="29"/>
      <c r="J107" s="27"/>
      <c r="K107" s="49"/>
      <c r="L107" s="34"/>
      <c r="M107" s="49"/>
      <c r="N107" s="34"/>
      <c r="O107" s="49"/>
      <c r="P107" s="27"/>
      <c r="Q107" s="26"/>
      <c r="R107" s="27"/>
      <c r="S107" s="62"/>
      <c r="T107" s="32"/>
      <c r="U107" s="120"/>
      <c r="X107" s="135"/>
    </row>
    <row r="108" spans="1:25" x14ac:dyDescent="0.2">
      <c r="A108" s="26"/>
      <c r="B108" s="27"/>
      <c r="C108" s="65" t="s">
        <v>32</v>
      </c>
      <c r="D108" s="27"/>
      <c r="E108" s="20"/>
      <c r="F108" s="20"/>
      <c r="G108" s="19"/>
      <c r="H108" s="27"/>
      <c r="I108" s="29">
        <f>+SUBTOTAL(9,I89:I107)</f>
        <v>201634659.45000005</v>
      </c>
      <c r="J108" s="27"/>
      <c r="K108" s="34">
        <f>+SUBTOTAL(9,K89:K107)</f>
        <v>85460236</v>
      </c>
      <c r="L108" s="34"/>
      <c r="M108" s="34">
        <f>+SUBTOTAL(9,M89:M107)</f>
        <v>141098164</v>
      </c>
      <c r="N108" s="34"/>
      <c r="O108" s="34">
        <f>+SUBTOTAL(9,O89:O107)</f>
        <v>5620308</v>
      </c>
      <c r="P108" s="27"/>
      <c r="Q108" s="116">
        <f>IF(O108/I108*100=0,"-     ",ROUND(O108/I108*100,2))</f>
        <v>2.79</v>
      </c>
      <c r="S108" s="117">
        <f t="shared" ref="S108" si="24">IF(O108=0,"-     ",ROUND(M108/O108,1))</f>
        <v>25.1</v>
      </c>
      <c r="T108" s="32"/>
      <c r="U108" s="120"/>
      <c r="W108" s="118">
        <f>+SUBTOTAL(9,W89:W107)</f>
        <v>3612349.1915899999</v>
      </c>
      <c r="X108" s="135"/>
      <c r="Y108" s="144">
        <f>O108-W108</f>
        <v>2007958.8084100001</v>
      </c>
    </row>
    <row r="109" spans="1:25" x14ac:dyDescent="0.2">
      <c r="A109" s="26"/>
      <c r="B109" s="27"/>
      <c r="C109" s="27"/>
      <c r="D109" s="27"/>
      <c r="E109" s="20"/>
      <c r="F109" s="20"/>
      <c r="G109" s="19"/>
      <c r="H109" s="27"/>
      <c r="I109" s="29"/>
      <c r="J109" s="27"/>
      <c r="K109" s="34"/>
      <c r="L109" s="34"/>
      <c r="M109" s="34"/>
      <c r="N109" s="34"/>
      <c r="O109" s="34"/>
      <c r="P109" s="27"/>
      <c r="Q109" s="26"/>
      <c r="R109" s="27"/>
      <c r="S109" s="62"/>
      <c r="T109" s="32"/>
      <c r="U109" s="120"/>
      <c r="X109" s="135"/>
    </row>
    <row r="110" spans="1:25" x14ac:dyDescent="0.2">
      <c r="A110" s="26">
        <v>316</v>
      </c>
      <c r="B110" s="27" t="s">
        <v>1</v>
      </c>
      <c r="C110" s="59" t="s">
        <v>170</v>
      </c>
      <c r="D110" s="27"/>
      <c r="E110" s="56"/>
      <c r="F110" s="56"/>
      <c r="G110" s="66"/>
      <c r="H110" s="27"/>
      <c r="I110" s="29"/>
      <c r="J110" s="27"/>
      <c r="K110" s="34"/>
      <c r="L110" s="34"/>
      <c r="M110" s="34"/>
      <c r="N110" s="34"/>
      <c r="O110" s="34"/>
      <c r="P110" s="27"/>
      <c r="Q110" s="26"/>
      <c r="R110" s="27"/>
      <c r="S110" s="62"/>
      <c r="T110" s="32"/>
      <c r="U110" s="120"/>
      <c r="X110" s="135"/>
    </row>
    <row r="111" spans="1:25" x14ac:dyDescent="0.2">
      <c r="A111" s="26"/>
      <c r="B111" s="27"/>
      <c r="C111" s="63" t="s">
        <v>93</v>
      </c>
      <c r="D111" s="27"/>
      <c r="E111" s="20" t="s">
        <v>136</v>
      </c>
      <c r="F111" s="20" t="s">
        <v>64</v>
      </c>
      <c r="G111" s="19">
        <v>-15</v>
      </c>
      <c r="H111" s="27"/>
      <c r="I111" s="29">
        <v>3502446.96</v>
      </c>
      <c r="J111" s="44"/>
      <c r="K111" s="45">
        <v>126166</v>
      </c>
      <c r="L111" s="45"/>
      <c r="M111" s="45">
        <v>3901648</v>
      </c>
      <c r="N111" s="45"/>
      <c r="O111" s="45">
        <v>81004</v>
      </c>
      <c r="P111" s="27"/>
      <c r="Q111" s="116">
        <f t="shared" ref="Q111:Q125" si="25">IF(O111/I111*100=0,"-     ",ROUND(O111/I111*100,2))</f>
        <v>2.31</v>
      </c>
      <c r="S111" s="117">
        <f t="shared" ref="S111:S125" si="26">IF(O111=0,"-     ",ROUND(M111/O111,1))</f>
        <v>48.2</v>
      </c>
      <c r="T111" s="32"/>
      <c r="U111" s="120">
        <v>0.03</v>
      </c>
      <c r="W111" s="145">
        <f t="shared" ref="W111:W125" si="27">I111*U111</f>
        <v>105073.40879999999</v>
      </c>
      <c r="X111" s="135"/>
      <c r="Y111" s="144">
        <f t="shared" ref="Y111:Y125" si="28">O111-W111</f>
        <v>-24069.40879999999</v>
      </c>
    </row>
    <row r="112" spans="1:25" x14ac:dyDescent="0.2">
      <c r="A112" s="26"/>
      <c r="B112" s="27"/>
      <c r="C112" s="59" t="s">
        <v>95</v>
      </c>
      <c r="D112" s="27"/>
      <c r="E112" s="20" t="s">
        <v>136</v>
      </c>
      <c r="F112" s="20" t="s">
        <v>64</v>
      </c>
      <c r="G112" s="19">
        <v>-1</v>
      </c>
      <c r="H112" s="27"/>
      <c r="I112" s="29">
        <v>2763048.67</v>
      </c>
      <c r="J112" s="44"/>
      <c r="K112" s="45">
        <v>790095</v>
      </c>
      <c r="L112" s="45"/>
      <c r="M112" s="45">
        <v>2000584</v>
      </c>
      <c r="N112" s="45"/>
      <c r="O112" s="45">
        <v>74526</v>
      </c>
      <c r="P112" s="27"/>
      <c r="Q112" s="116">
        <f t="shared" si="25"/>
        <v>2.7</v>
      </c>
      <c r="S112" s="117">
        <f t="shared" si="26"/>
        <v>26.8</v>
      </c>
      <c r="T112" s="32"/>
      <c r="U112" s="120">
        <v>2.7400000000000001E-2</v>
      </c>
      <c r="W112" s="145">
        <f t="shared" si="27"/>
        <v>75707.533557999996</v>
      </c>
      <c r="X112" s="135"/>
      <c r="Y112" s="144">
        <f t="shared" si="28"/>
        <v>-1181.5335579999955</v>
      </c>
    </row>
    <row r="113" spans="1:25" x14ac:dyDescent="0.2">
      <c r="A113" s="26"/>
      <c r="B113" s="27"/>
      <c r="C113" s="59" t="s">
        <v>96</v>
      </c>
      <c r="D113" s="27"/>
      <c r="E113" s="20" t="s">
        <v>136</v>
      </c>
      <c r="F113" s="20" t="s">
        <v>64</v>
      </c>
      <c r="G113" s="19">
        <v>-10</v>
      </c>
      <c r="H113" s="27"/>
      <c r="I113" s="29">
        <v>553355.01</v>
      </c>
      <c r="J113" s="44"/>
      <c r="K113" s="45">
        <v>251724</v>
      </c>
      <c r="L113" s="45"/>
      <c r="M113" s="45">
        <v>356967</v>
      </c>
      <c r="N113" s="45"/>
      <c r="O113" s="45">
        <v>90112</v>
      </c>
      <c r="P113" s="27"/>
      <c r="Q113" s="116">
        <f t="shared" si="25"/>
        <v>16.28</v>
      </c>
      <c r="S113" s="117">
        <f t="shared" si="26"/>
        <v>4</v>
      </c>
      <c r="T113" s="32"/>
      <c r="U113" s="120">
        <v>3.1199999999999999E-2</v>
      </c>
      <c r="W113" s="145">
        <f t="shared" si="27"/>
        <v>17264.676312</v>
      </c>
      <c r="X113" s="135"/>
      <c r="Y113" s="144">
        <f t="shared" si="28"/>
        <v>72847.323688000004</v>
      </c>
    </row>
    <row r="114" spans="1:25" x14ac:dyDescent="0.2">
      <c r="A114" s="26"/>
      <c r="B114" s="27"/>
      <c r="C114" s="59" t="s">
        <v>97</v>
      </c>
      <c r="D114" s="27"/>
      <c r="E114" s="20" t="s">
        <v>159</v>
      </c>
      <c r="F114" s="20" t="s">
        <v>64</v>
      </c>
      <c r="G114" s="19">
        <v>-10</v>
      </c>
      <c r="H114" s="27"/>
      <c r="I114" s="29">
        <v>50126.84</v>
      </c>
      <c r="J114" s="44"/>
      <c r="K114" s="45">
        <v>55140</v>
      </c>
      <c r="L114" s="45"/>
      <c r="M114" s="45">
        <v>0</v>
      </c>
      <c r="N114" s="45"/>
      <c r="O114" s="45">
        <v>0</v>
      </c>
      <c r="P114" s="27"/>
      <c r="Q114" s="116" t="str">
        <f t="shared" si="25"/>
        <v xml:space="preserve">-     </v>
      </c>
      <c r="S114" s="117" t="str">
        <f t="shared" si="26"/>
        <v xml:space="preserve">-     </v>
      </c>
      <c r="T114" s="32"/>
      <c r="U114" s="120">
        <v>0</v>
      </c>
      <c r="W114" s="145">
        <f t="shared" si="27"/>
        <v>0</v>
      </c>
      <c r="X114" s="135"/>
      <c r="Y114" s="144">
        <f t="shared" si="28"/>
        <v>0</v>
      </c>
    </row>
    <row r="115" spans="1:25" x14ac:dyDescent="0.2">
      <c r="A115" s="26"/>
      <c r="B115" s="27"/>
      <c r="C115" s="63" t="s">
        <v>98</v>
      </c>
      <c r="D115" s="27"/>
      <c r="E115" s="20" t="s">
        <v>136</v>
      </c>
      <c r="F115" s="20" t="s">
        <v>64</v>
      </c>
      <c r="G115" s="19">
        <v>-10</v>
      </c>
      <c r="H115" s="27"/>
      <c r="I115" s="29">
        <v>152146.47</v>
      </c>
      <c r="J115" s="44"/>
      <c r="K115" s="45">
        <v>101809</v>
      </c>
      <c r="L115" s="45"/>
      <c r="M115" s="45">
        <v>65552</v>
      </c>
      <c r="N115" s="45"/>
      <c r="O115" s="45">
        <v>16545</v>
      </c>
      <c r="P115" s="27"/>
      <c r="Q115" s="116">
        <f t="shared" si="25"/>
        <v>10.87</v>
      </c>
      <c r="S115" s="117">
        <f t="shared" si="26"/>
        <v>4</v>
      </c>
      <c r="T115" s="32"/>
      <c r="U115" s="120">
        <v>3.9699999999999999E-2</v>
      </c>
      <c r="W115" s="145">
        <f t="shared" si="27"/>
        <v>6040.2148589999997</v>
      </c>
      <c r="X115" s="135"/>
      <c r="Y115" s="144">
        <f t="shared" si="28"/>
        <v>10504.785141</v>
      </c>
    </row>
    <row r="116" spans="1:25" x14ac:dyDescent="0.2">
      <c r="A116" s="26"/>
      <c r="B116" s="27"/>
      <c r="C116" s="63" t="s">
        <v>99</v>
      </c>
      <c r="D116" s="27"/>
      <c r="E116" s="20" t="s">
        <v>136</v>
      </c>
      <c r="F116" s="20" t="s">
        <v>64</v>
      </c>
      <c r="G116" s="19">
        <v>-10</v>
      </c>
      <c r="H116" s="27"/>
      <c r="I116" s="29">
        <v>2408142.84</v>
      </c>
      <c r="J116" s="44"/>
      <c r="K116" s="45">
        <v>1418850</v>
      </c>
      <c r="L116" s="45"/>
      <c r="M116" s="45">
        <v>1230107</v>
      </c>
      <c r="N116" s="45"/>
      <c r="O116" s="45">
        <v>310000</v>
      </c>
      <c r="P116" s="27"/>
      <c r="Q116" s="116">
        <f t="shared" si="25"/>
        <v>12.87</v>
      </c>
      <c r="S116" s="117">
        <f t="shared" si="26"/>
        <v>4</v>
      </c>
      <c r="T116" s="32"/>
      <c r="U116" s="120">
        <v>2.7099999999999999E-2</v>
      </c>
      <c r="W116" s="145">
        <f t="shared" si="27"/>
        <v>65260.670963999997</v>
      </c>
      <c r="X116" s="135"/>
      <c r="Y116" s="144">
        <f t="shared" si="28"/>
        <v>244739.32903600001</v>
      </c>
    </row>
    <row r="117" spans="1:25" x14ac:dyDescent="0.2">
      <c r="A117" s="26"/>
      <c r="B117" s="27"/>
      <c r="C117" s="63" t="s">
        <v>100</v>
      </c>
      <c r="D117" s="27"/>
      <c r="E117" s="20" t="s">
        <v>159</v>
      </c>
      <c r="F117" s="20" t="s">
        <v>64</v>
      </c>
      <c r="G117" s="19">
        <v>-10</v>
      </c>
      <c r="H117" s="27"/>
      <c r="I117" s="29">
        <v>84749.53</v>
      </c>
      <c r="J117" s="44"/>
      <c r="K117" s="45">
        <v>93224</v>
      </c>
      <c r="L117" s="45"/>
      <c r="M117" s="45">
        <v>0</v>
      </c>
      <c r="N117" s="45"/>
      <c r="O117" s="45">
        <v>0</v>
      </c>
      <c r="P117" s="27"/>
      <c r="Q117" s="116" t="str">
        <f t="shared" si="25"/>
        <v xml:space="preserve">-     </v>
      </c>
      <c r="S117" s="117" t="str">
        <f t="shared" si="26"/>
        <v xml:space="preserve">-     </v>
      </c>
      <c r="T117" s="32"/>
      <c r="U117" s="120">
        <v>0</v>
      </c>
      <c r="W117" s="145">
        <f t="shared" si="27"/>
        <v>0</v>
      </c>
      <c r="X117" s="135"/>
      <c r="Y117" s="144">
        <f t="shared" si="28"/>
        <v>0</v>
      </c>
    </row>
    <row r="118" spans="1:25" x14ac:dyDescent="0.2">
      <c r="A118" s="26"/>
      <c r="B118" s="27"/>
      <c r="C118" s="63" t="s">
        <v>101</v>
      </c>
      <c r="D118" s="27"/>
      <c r="E118" s="20" t="s">
        <v>136</v>
      </c>
      <c r="F118" s="20" t="s">
        <v>64</v>
      </c>
      <c r="G118" s="19">
        <v>-11</v>
      </c>
      <c r="H118" s="27"/>
      <c r="I118" s="29">
        <v>432577.58</v>
      </c>
      <c r="J118" s="44"/>
      <c r="K118" s="45">
        <v>351287</v>
      </c>
      <c r="L118" s="45"/>
      <c r="M118" s="45">
        <v>128874</v>
      </c>
      <c r="N118" s="45"/>
      <c r="O118" s="45">
        <v>8059</v>
      </c>
      <c r="P118" s="27"/>
      <c r="Q118" s="116">
        <f t="shared" si="25"/>
        <v>1.86</v>
      </c>
      <c r="S118" s="117">
        <f t="shared" si="26"/>
        <v>16</v>
      </c>
      <c r="T118" s="32"/>
      <c r="U118" s="120">
        <v>2.2599999999999999E-2</v>
      </c>
      <c r="W118" s="145">
        <f t="shared" si="27"/>
        <v>9776.2533079999994</v>
      </c>
      <c r="X118" s="135"/>
      <c r="Y118" s="144">
        <f t="shared" si="28"/>
        <v>-1717.2533079999994</v>
      </c>
    </row>
    <row r="119" spans="1:25" x14ac:dyDescent="0.2">
      <c r="A119" s="26"/>
      <c r="B119" s="27"/>
      <c r="C119" s="63" t="s">
        <v>102</v>
      </c>
      <c r="D119" s="27"/>
      <c r="E119" s="20" t="s">
        <v>136</v>
      </c>
      <c r="F119" s="20" t="s">
        <v>64</v>
      </c>
      <c r="G119" s="19">
        <v>-11</v>
      </c>
      <c r="H119" s="27"/>
      <c r="I119" s="29">
        <v>106658.32</v>
      </c>
      <c r="J119" s="44"/>
      <c r="K119" s="45">
        <v>109842</v>
      </c>
      <c r="L119" s="45"/>
      <c r="M119" s="45">
        <v>8549</v>
      </c>
      <c r="N119" s="45"/>
      <c r="O119" s="45">
        <v>395</v>
      </c>
      <c r="P119" s="27"/>
      <c r="Q119" s="116">
        <f t="shared" si="25"/>
        <v>0.37</v>
      </c>
      <c r="S119" s="117">
        <f t="shared" si="26"/>
        <v>21.6</v>
      </c>
      <c r="T119" s="32"/>
      <c r="U119" s="120">
        <v>7.1000000000000004E-3</v>
      </c>
      <c r="W119" s="145">
        <f t="shared" si="27"/>
        <v>757.27407200000005</v>
      </c>
      <c r="X119" s="135"/>
      <c r="Y119" s="144">
        <f t="shared" si="28"/>
        <v>-362.27407200000005</v>
      </c>
    </row>
    <row r="120" spans="1:25" x14ac:dyDescent="0.2">
      <c r="A120" s="26"/>
      <c r="B120" s="27"/>
      <c r="C120" s="63" t="s">
        <v>103</v>
      </c>
      <c r="D120" s="27"/>
      <c r="E120" s="20" t="s">
        <v>136</v>
      </c>
      <c r="F120" s="20" t="s">
        <v>64</v>
      </c>
      <c r="G120" s="19">
        <v>-11</v>
      </c>
      <c r="H120" s="27"/>
      <c r="I120" s="29">
        <v>5070448.32</v>
      </c>
      <c r="J120" s="44"/>
      <c r="K120" s="45">
        <v>2925174</v>
      </c>
      <c r="L120" s="45"/>
      <c r="M120" s="45">
        <v>2703024</v>
      </c>
      <c r="N120" s="45"/>
      <c r="O120" s="45">
        <v>121490</v>
      </c>
      <c r="P120" s="27"/>
      <c r="Q120" s="116">
        <f t="shared" si="25"/>
        <v>2.4</v>
      </c>
      <c r="S120" s="117">
        <f t="shared" si="26"/>
        <v>22.2</v>
      </c>
      <c r="T120" s="32"/>
      <c r="U120" s="120">
        <v>2.3300000000000001E-2</v>
      </c>
      <c r="W120" s="145">
        <f t="shared" si="27"/>
        <v>118141.44585600002</v>
      </c>
      <c r="X120" s="135"/>
      <c r="Y120" s="144">
        <f t="shared" si="28"/>
        <v>3348.5541439999797</v>
      </c>
    </row>
    <row r="121" spans="1:25" x14ac:dyDescent="0.2">
      <c r="A121" s="114" t="s">
        <v>162</v>
      </c>
      <c r="B121" s="27"/>
      <c r="C121" s="63" t="s">
        <v>105</v>
      </c>
      <c r="D121" s="27"/>
      <c r="E121" s="20" t="s">
        <v>136</v>
      </c>
      <c r="F121" s="20" t="s">
        <v>64</v>
      </c>
      <c r="G121" s="19">
        <v>-12</v>
      </c>
      <c r="H121" s="27"/>
      <c r="I121" s="29">
        <v>1033027.09</v>
      </c>
      <c r="J121" s="44"/>
      <c r="K121" s="45">
        <v>834195</v>
      </c>
      <c r="L121" s="45"/>
      <c r="M121" s="45">
        <v>322795</v>
      </c>
      <c r="N121" s="45"/>
      <c r="O121" s="45">
        <v>15091</v>
      </c>
      <c r="P121" s="27"/>
      <c r="Q121" s="116">
        <f t="shared" si="25"/>
        <v>1.46</v>
      </c>
      <c r="S121" s="117">
        <f t="shared" si="26"/>
        <v>21.4</v>
      </c>
      <c r="T121" s="32"/>
      <c r="U121" s="120">
        <v>2.87E-2</v>
      </c>
      <c r="W121" s="145">
        <f t="shared" si="27"/>
        <v>29647.877483</v>
      </c>
      <c r="X121" s="135"/>
      <c r="Y121" s="144">
        <f t="shared" si="28"/>
        <v>-14556.877483</v>
      </c>
    </row>
    <row r="122" spans="1:25" x14ac:dyDescent="0.2">
      <c r="A122" s="26"/>
      <c r="B122" s="27"/>
      <c r="C122" s="63" t="s">
        <v>106</v>
      </c>
      <c r="D122" s="27"/>
      <c r="E122" s="20" t="s">
        <v>136</v>
      </c>
      <c r="F122" s="20" t="s">
        <v>64</v>
      </c>
      <c r="G122" s="19">
        <v>-12</v>
      </c>
      <c r="H122" s="27"/>
      <c r="I122" s="29">
        <v>1747526.86</v>
      </c>
      <c r="J122" s="44"/>
      <c r="K122" s="45">
        <v>1578287</v>
      </c>
      <c r="L122" s="45"/>
      <c r="M122" s="45">
        <v>378943</v>
      </c>
      <c r="N122" s="45"/>
      <c r="O122" s="45">
        <v>18058</v>
      </c>
      <c r="P122" s="27"/>
      <c r="Q122" s="116">
        <f t="shared" si="25"/>
        <v>1.03</v>
      </c>
      <c r="S122" s="117">
        <f t="shared" si="26"/>
        <v>21</v>
      </c>
      <c r="T122" s="32"/>
      <c r="U122" s="120">
        <v>1.38E-2</v>
      </c>
      <c r="W122" s="145">
        <f t="shared" si="27"/>
        <v>24115.870668</v>
      </c>
      <c r="X122" s="135"/>
      <c r="Y122" s="144">
        <f t="shared" si="28"/>
        <v>-6057.8706679999996</v>
      </c>
    </row>
    <row r="123" spans="1:25" x14ac:dyDescent="0.2">
      <c r="B123" s="27"/>
      <c r="C123" s="63" t="s">
        <v>107</v>
      </c>
      <c r="D123" s="27"/>
      <c r="E123" s="20" t="s">
        <v>136</v>
      </c>
      <c r="F123" s="20" t="s">
        <v>64</v>
      </c>
      <c r="G123" s="19">
        <v>-12</v>
      </c>
      <c r="H123" s="27"/>
      <c r="I123" s="29">
        <v>1500525.31</v>
      </c>
      <c r="J123" s="44"/>
      <c r="K123" s="45">
        <v>1397086</v>
      </c>
      <c r="L123" s="45"/>
      <c r="M123" s="45">
        <v>283502</v>
      </c>
      <c r="N123" s="45"/>
      <c r="O123" s="45">
        <v>13774</v>
      </c>
      <c r="P123" s="27"/>
      <c r="Q123" s="116">
        <f t="shared" si="25"/>
        <v>0.92</v>
      </c>
      <c r="S123" s="117">
        <f t="shared" si="26"/>
        <v>20.6</v>
      </c>
      <c r="T123" s="32"/>
      <c r="U123" s="120">
        <v>1.0699999999999999E-2</v>
      </c>
      <c r="W123" s="145">
        <f t="shared" si="27"/>
        <v>16055.620816999999</v>
      </c>
      <c r="X123" s="135"/>
      <c r="Y123" s="144">
        <f t="shared" si="28"/>
        <v>-2281.6208169999991</v>
      </c>
    </row>
    <row r="124" spans="1:25" x14ac:dyDescent="0.2">
      <c r="A124" s="26"/>
      <c r="B124" s="27"/>
      <c r="C124" s="63" t="s">
        <v>108</v>
      </c>
      <c r="D124" s="27"/>
      <c r="E124" s="20" t="s">
        <v>136</v>
      </c>
      <c r="F124" s="20" t="s">
        <v>64</v>
      </c>
      <c r="G124" s="19">
        <v>-12</v>
      </c>
      <c r="H124" s="27"/>
      <c r="I124" s="29">
        <v>3150437.55</v>
      </c>
      <c r="J124" s="44"/>
      <c r="K124" s="45">
        <v>2534754</v>
      </c>
      <c r="L124" s="45"/>
      <c r="M124" s="45">
        <v>993736</v>
      </c>
      <c r="N124" s="45"/>
      <c r="O124" s="45">
        <v>42799</v>
      </c>
      <c r="P124" s="27"/>
      <c r="Q124" s="116">
        <f t="shared" si="25"/>
        <v>1.36</v>
      </c>
      <c r="S124" s="117">
        <f t="shared" si="26"/>
        <v>23.2</v>
      </c>
      <c r="T124" s="32"/>
      <c r="U124" s="120">
        <v>1.4E-2</v>
      </c>
      <c r="W124" s="145">
        <f t="shared" si="27"/>
        <v>44106.125699999997</v>
      </c>
      <c r="X124" s="135"/>
      <c r="Y124" s="144">
        <f t="shared" si="28"/>
        <v>-1307.1256999999969</v>
      </c>
    </row>
    <row r="125" spans="1:25" x14ac:dyDescent="0.2">
      <c r="A125" s="26"/>
      <c r="B125" s="27"/>
      <c r="C125" s="63" t="s">
        <v>109</v>
      </c>
      <c r="D125" s="27"/>
      <c r="E125" s="20" t="s">
        <v>136</v>
      </c>
      <c r="F125" s="20" t="s">
        <v>64</v>
      </c>
      <c r="G125" s="19">
        <v>-12</v>
      </c>
      <c r="H125" s="27"/>
      <c r="I125" s="47">
        <v>7455181.3300000001</v>
      </c>
      <c r="J125" s="44"/>
      <c r="K125" s="45">
        <v>2842039</v>
      </c>
      <c r="L125" s="45"/>
      <c r="M125" s="45">
        <v>5507764</v>
      </c>
      <c r="N125" s="45"/>
      <c r="O125" s="45">
        <v>221851</v>
      </c>
      <c r="P125" s="27"/>
      <c r="Q125" s="116">
        <f t="shared" si="25"/>
        <v>2.98</v>
      </c>
      <c r="S125" s="117">
        <f t="shared" si="26"/>
        <v>24.8</v>
      </c>
      <c r="T125" s="32"/>
      <c r="U125" s="120">
        <v>2.0299999999999999E-2</v>
      </c>
      <c r="W125" s="158">
        <f t="shared" si="27"/>
        <v>151340.180999</v>
      </c>
      <c r="X125" s="135"/>
      <c r="Y125" s="144">
        <f t="shared" si="28"/>
        <v>70510.819000999996</v>
      </c>
    </row>
    <row r="126" spans="1:25" x14ac:dyDescent="0.2">
      <c r="A126" s="26"/>
      <c r="B126" s="27"/>
      <c r="C126" s="63"/>
      <c r="D126" s="27"/>
      <c r="E126" s="20"/>
      <c r="F126" s="20"/>
      <c r="G126" s="19"/>
      <c r="H126" s="27"/>
      <c r="I126" s="29"/>
      <c r="J126" s="27"/>
      <c r="K126" s="49"/>
      <c r="L126" s="34"/>
      <c r="M126" s="49"/>
      <c r="N126" s="34"/>
      <c r="O126" s="49"/>
      <c r="P126" s="27"/>
      <c r="Q126" s="26"/>
      <c r="R126" s="27"/>
      <c r="S126" s="62"/>
      <c r="T126" s="32"/>
      <c r="U126" s="120"/>
      <c r="X126" s="135"/>
    </row>
    <row r="127" spans="1:25" x14ac:dyDescent="0.2">
      <c r="A127" s="26"/>
      <c r="B127" s="27"/>
      <c r="C127" s="65" t="s">
        <v>178</v>
      </c>
      <c r="D127" s="27"/>
      <c r="E127" s="20"/>
      <c r="F127" s="20"/>
      <c r="G127" s="19"/>
      <c r="H127" s="27"/>
      <c r="I127" s="47">
        <f>+SUBTOTAL(9,I111:I126)</f>
        <v>30010398.68</v>
      </c>
      <c r="J127" s="27"/>
      <c r="K127" s="69">
        <f>+SUBTOTAL(9,K111:K126)</f>
        <v>15409672</v>
      </c>
      <c r="L127" s="34"/>
      <c r="M127" s="69">
        <f>+SUBTOTAL(9,M111:M126)</f>
        <v>17882045</v>
      </c>
      <c r="N127" s="34"/>
      <c r="O127" s="69">
        <f>+SUBTOTAL(9,O111:O126)</f>
        <v>1013704</v>
      </c>
      <c r="P127" s="27"/>
      <c r="Q127" s="116">
        <f>IF(O127/I127*100=0,"-     ",ROUND(O127/I127*100,2))</f>
        <v>3.38</v>
      </c>
      <c r="S127" s="117">
        <f t="shared" ref="S127" si="29">IF(O127=0,"-     ",ROUND(M127/O127,1))</f>
        <v>17.600000000000001</v>
      </c>
      <c r="T127" s="32"/>
      <c r="U127" s="120"/>
      <c r="W127" s="125">
        <f>+SUBTOTAL(9,W111:W126)</f>
        <v>663287.15339599992</v>
      </c>
      <c r="X127" s="135"/>
      <c r="Y127" s="144">
        <f>O127-W127</f>
        <v>350416.84660400008</v>
      </c>
    </row>
    <row r="128" spans="1:25" x14ac:dyDescent="0.2">
      <c r="A128" s="26"/>
      <c r="B128" s="27"/>
      <c r="C128" s="65"/>
      <c r="D128" s="27"/>
      <c r="E128" s="20"/>
      <c r="F128" s="20"/>
      <c r="G128" s="19"/>
      <c r="H128" s="27"/>
      <c r="I128" s="29"/>
      <c r="J128" s="27"/>
      <c r="K128" s="34"/>
      <c r="L128" s="34"/>
      <c r="M128" s="34"/>
      <c r="N128" s="34"/>
      <c r="O128" s="34"/>
      <c r="P128" s="27"/>
      <c r="Q128" s="26"/>
      <c r="R128" s="27"/>
      <c r="S128" s="62"/>
      <c r="T128" s="32"/>
      <c r="U128" s="120"/>
      <c r="X128" s="135"/>
    </row>
    <row r="129" spans="1:25" ht="15.75" x14ac:dyDescent="0.25">
      <c r="A129" s="26"/>
      <c r="B129" s="27"/>
      <c r="C129" s="50" t="s">
        <v>33</v>
      </c>
      <c r="D129" s="27"/>
      <c r="E129" s="20"/>
      <c r="F129" s="20"/>
      <c r="G129" s="19"/>
      <c r="H129" s="27"/>
      <c r="I129" s="52">
        <f>+SUBTOTAL(9,I25:I128)</f>
        <v>3559706076.0500011</v>
      </c>
      <c r="J129" s="30"/>
      <c r="K129" s="31">
        <f>+SUBTOTAL(9,K25:K128)</f>
        <v>1260919945</v>
      </c>
      <c r="L129" s="31"/>
      <c r="M129" s="31">
        <f>+SUBTOTAL(9,M25:M128)</f>
        <v>2740888603</v>
      </c>
      <c r="N129" s="31"/>
      <c r="O129" s="31">
        <f>+SUBTOTAL(9,O25:O128)</f>
        <v>104351776</v>
      </c>
      <c r="P129" s="27"/>
      <c r="Q129" s="61">
        <f>+ROUND(O129/I129*100,2)</f>
        <v>2.93</v>
      </c>
      <c r="R129" s="27"/>
      <c r="S129" s="62"/>
      <c r="T129" s="32"/>
      <c r="U129" s="120"/>
      <c r="W129" s="132">
        <f>+SUBTOTAL(9,W25:W128)</f>
        <v>113563149.25503902</v>
      </c>
      <c r="X129" s="135"/>
      <c r="Y129" s="144">
        <f>O129-W129</f>
        <v>-9211373.2550390214</v>
      </c>
    </row>
    <row r="130" spans="1:25" ht="15.75" x14ac:dyDescent="0.25">
      <c r="A130" s="26"/>
      <c r="B130" s="27"/>
      <c r="C130" s="50"/>
      <c r="D130" s="27"/>
      <c r="E130" s="20"/>
      <c r="F130" s="20"/>
      <c r="G130" s="19"/>
      <c r="H130" s="27"/>
      <c r="I130" s="29"/>
      <c r="J130" s="30"/>
      <c r="K130" s="31"/>
      <c r="L130" s="31"/>
      <c r="M130" s="31"/>
      <c r="N130" s="31"/>
      <c r="O130" s="31"/>
      <c r="P130" s="27"/>
      <c r="Q130" s="26"/>
      <c r="R130" s="27"/>
      <c r="S130" s="62"/>
      <c r="T130" s="32"/>
      <c r="U130" s="120"/>
      <c r="X130" s="135"/>
    </row>
    <row r="131" spans="1:25" ht="15.75" x14ac:dyDescent="0.25">
      <c r="A131" s="26"/>
      <c r="B131" s="27"/>
      <c r="C131" s="70" t="s">
        <v>187</v>
      </c>
      <c r="D131" s="27"/>
      <c r="E131" s="20"/>
      <c r="F131" s="20"/>
      <c r="G131" s="19"/>
      <c r="H131" s="27"/>
      <c r="I131" s="29"/>
      <c r="J131" s="30"/>
      <c r="K131" s="31"/>
      <c r="L131" s="31"/>
      <c r="M131" s="31"/>
      <c r="N131" s="31"/>
      <c r="O131" s="31"/>
      <c r="P131" s="27"/>
      <c r="Q131" s="26"/>
      <c r="R131" s="27"/>
      <c r="S131" s="62"/>
      <c r="T131" s="32"/>
      <c r="U131" s="120"/>
      <c r="X131" s="135"/>
    </row>
    <row r="132" spans="1:25" s="27" customFormat="1" ht="15.75" x14ac:dyDescent="0.25">
      <c r="A132" s="26"/>
      <c r="C132" s="28"/>
      <c r="E132" s="20"/>
      <c r="F132" s="20"/>
      <c r="G132" s="19"/>
      <c r="I132" s="29"/>
      <c r="J132" s="30"/>
      <c r="K132" s="31"/>
      <c r="L132" s="31"/>
      <c r="M132" s="31"/>
      <c r="N132" s="31"/>
      <c r="O132" s="31"/>
      <c r="Q132" s="26"/>
      <c r="S132" s="62"/>
      <c r="T132" s="32"/>
      <c r="U132" s="120"/>
      <c r="W132" s="150"/>
      <c r="X132" s="139"/>
      <c r="Y132" s="153"/>
    </row>
    <row r="133" spans="1:25" s="27" customFormat="1" ht="15.75" x14ac:dyDescent="0.25">
      <c r="A133" s="26">
        <v>330.1</v>
      </c>
      <c r="C133" s="57" t="s">
        <v>91</v>
      </c>
      <c r="E133" s="20"/>
      <c r="F133" s="20"/>
      <c r="G133" s="19"/>
      <c r="I133" s="29"/>
      <c r="J133" s="30"/>
      <c r="K133" s="31"/>
      <c r="L133" s="31"/>
      <c r="M133" s="31"/>
      <c r="N133" s="31"/>
      <c r="O133" s="31"/>
      <c r="Q133" s="26"/>
      <c r="S133" s="62"/>
      <c r="T133" s="32"/>
      <c r="U133" s="120"/>
      <c r="W133" s="150"/>
      <c r="X133" s="139"/>
      <c r="Y133" s="153"/>
    </row>
    <row r="134" spans="1:25" x14ac:dyDescent="0.2">
      <c r="A134" s="26"/>
      <c r="B134" s="27"/>
      <c r="C134" s="28" t="s">
        <v>57</v>
      </c>
      <c r="D134" s="27"/>
      <c r="E134" s="20" t="s">
        <v>137</v>
      </c>
      <c r="F134" s="20" t="s">
        <v>64</v>
      </c>
      <c r="G134" s="19">
        <v>0</v>
      </c>
      <c r="H134" s="27"/>
      <c r="I134" s="71">
        <v>879311.47</v>
      </c>
      <c r="J134" s="72"/>
      <c r="K134" s="73">
        <v>879311</v>
      </c>
      <c r="L134" s="75"/>
      <c r="M134" s="73">
        <v>0</v>
      </c>
      <c r="N134" s="75"/>
      <c r="O134" s="73">
        <v>0</v>
      </c>
      <c r="P134" s="27"/>
      <c r="Q134" s="116" t="str">
        <f>IF(O134/I134*100=0,"-     ",ROUND(O134/I134*100,2))</f>
        <v xml:space="preserve">-     </v>
      </c>
      <c r="S134" s="117" t="str">
        <f t="shared" ref="S134" si="30">IF(O134=0,"-     ",ROUND(M134/O134,1))</f>
        <v xml:space="preserve">-     </v>
      </c>
      <c r="T134" s="32"/>
      <c r="U134" s="120">
        <v>0</v>
      </c>
      <c r="W134" s="158">
        <f t="shared" ref="W134" si="31">I134*U134</f>
        <v>0</v>
      </c>
      <c r="X134" s="135"/>
      <c r="Y134" s="144">
        <f>O134-W134</f>
        <v>0</v>
      </c>
    </row>
    <row r="135" spans="1:25" x14ac:dyDescent="0.2">
      <c r="A135" s="26"/>
      <c r="B135" s="27"/>
      <c r="C135" s="28"/>
      <c r="D135" s="27"/>
      <c r="E135" s="20"/>
      <c r="F135" s="20"/>
      <c r="G135" s="19"/>
      <c r="H135" s="27"/>
      <c r="I135" s="74"/>
      <c r="J135" s="72"/>
      <c r="K135" s="75"/>
      <c r="L135" s="75"/>
      <c r="M135" s="75"/>
      <c r="N135" s="75"/>
      <c r="O135" s="75"/>
      <c r="P135" s="27"/>
      <c r="Q135" s="26"/>
      <c r="R135" s="27"/>
      <c r="S135" s="62"/>
      <c r="T135" s="32"/>
      <c r="U135" s="120"/>
      <c r="X135" s="135"/>
      <c r="Y135" s="159"/>
    </row>
    <row r="136" spans="1:25" x14ac:dyDescent="0.2">
      <c r="A136" s="26"/>
      <c r="B136" s="27"/>
      <c r="C136" s="76" t="s">
        <v>65</v>
      </c>
      <c r="D136" s="27"/>
      <c r="E136" s="20"/>
      <c r="F136" s="20"/>
      <c r="G136" s="19"/>
      <c r="H136" s="27"/>
      <c r="I136" s="74">
        <f>+SUBTOTAL(9,I134:I135)</f>
        <v>879311.47</v>
      </c>
      <c r="J136" s="72"/>
      <c r="K136" s="75">
        <f>+SUBTOTAL(9,K134:K135)</f>
        <v>879311</v>
      </c>
      <c r="L136" s="75"/>
      <c r="M136" s="75">
        <f>+SUBTOTAL(9,M134:M135)</f>
        <v>0</v>
      </c>
      <c r="N136" s="75"/>
      <c r="O136" s="75">
        <f>+SUBTOTAL(9,O134:O135)</f>
        <v>0</v>
      </c>
      <c r="P136" s="27"/>
      <c r="Q136" s="116" t="str">
        <f>IF(O136/I136*100=0,"-     ",ROUND(O136/I136*100,2))</f>
        <v xml:space="preserve">-     </v>
      </c>
      <c r="S136" s="117" t="str">
        <f t="shared" ref="S136" si="32">IF(O136=0,"-     ",ROUND(M136/O136,1))</f>
        <v xml:space="preserve">-     </v>
      </c>
      <c r="T136" s="32"/>
      <c r="U136" s="120"/>
      <c r="W136" s="134">
        <f>+SUBTOTAL(9,W134:W135)</f>
        <v>0</v>
      </c>
      <c r="X136" s="135"/>
      <c r="Y136" s="144">
        <f>O136-W136</f>
        <v>0</v>
      </c>
    </row>
    <row r="137" spans="1:25" x14ac:dyDescent="0.2">
      <c r="A137" s="26"/>
      <c r="B137" s="27"/>
      <c r="C137" s="28"/>
      <c r="D137" s="27"/>
      <c r="E137" s="20"/>
      <c r="F137" s="20"/>
      <c r="G137" s="19"/>
      <c r="H137" s="27"/>
      <c r="I137" s="74"/>
      <c r="J137" s="72"/>
      <c r="K137" s="75"/>
      <c r="L137" s="75"/>
      <c r="M137" s="75"/>
      <c r="N137" s="75"/>
      <c r="O137" s="75"/>
      <c r="P137" s="27"/>
      <c r="Q137" s="26"/>
      <c r="R137" s="27"/>
      <c r="S137" s="62"/>
      <c r="T137" s="32"/>
      <c r="U137" s="120"/>
      <c r="X137" s="135"/>
    </row>
    <row r="138" spans="1:25" x14ac:dyDescent="0.2">
      <c r="A138" s="26">
        <v>331</v>
      </c>
      <c r="B138" s="27"/>
      <c r="C138" s="28" t="s">
        <v>35</v>
      </c>
      <c r="D138" s="27"/>
      <c r="E138" s="20"/>
      <c r="F138" s="20"/>
      <c r="G138" s="19"/>
      <c r="H138" s="27"/>
      <c r="I138" s="74"/>
      <c r="J138" s="72"/>
      <c r="K138" s="75"/>
      <c r="L138" s="75"/>
      <c r="M138" s="75"/>
      <c r="N138" s="75"/>
      <c r="O138" s="75"/>
      <c r="P138" s="27"/>
      <c r="Q138" s="26"/>
      <c r="R138" s="27"/>
      <c r="S138" s="62"/>
      <c r="T138" s="32"/>
      <c r="U138" s="120"/>
      <c r="X138" s="135"/>
    </row>
    <row r="139" spans="1:25" x14ac:dyDescent="0.2">
      <c r="A139" s="26"/>
      <c r="B139" s="27"/>
      <c r="C139" s="28" t="s">
        <v>58</v>
      </c>
      <c r="D139" s="27"/>
      <c r="E139" s="20" t="s">
        <v>138</v>
      </c>
      <c r="F139" s="20" t="s">
        <v>64</v>
      </c>
      <c r="G139" s="19">
        <v>-6</v>
      </c>
      <c r="H139" s="27"/>
      <c r="I139" s="71">
        <v>616526.68999999994</v>
      </c>
      <c r="J139" s="72"/>
      <c r="K139" s="73">
        <v>353805</v>
      </c>
      <c r="L139" s="75"/>
      <c r="M139" s="73">
        <v>299713</v>
      </c>
      <c r="N139" s="75"/>
      <c r="O139" s="73">
        <v>10702</v>
      </c>
      <c r="P139" s="27"/>
      <c r="Q139" s="116">
        <f>IF(O139/I139*100=0,"-     ",ROUND(O139/I139*100,2))</f>
        <v>1.74</v>
      </c>
      <c r="S139" s="117">
        <f t="shared" ref="S139" si="33">IF(O139=0,"-     ",ROUND(M139/O139,1))</f>
        <v>28</v>
      </c>
      <c r="T139" s="32"/>
      <c r="U139" s="120">
        <v>1.29E-2</v>
      </c>
      <c r="W139" s="158">
        <f t="shared" ref="W139" si="34">I139*U139</f>
        <v>7953.1943009999995</v>
      </c>
      <c r="X139" s="135"/>
      <c r="Y139" s="159">
        <f>O139-W139</f>
        <v>2748.8056990000005</v>
      </c>
    </row>
    <row r="140" spans="1:25" x14ac:dyDescent="0.2">
      <c r="A140" s="26"/>
      <c r="B140" s="27"/>
      <c r="C140" s="28"/>
      <c r="D140" s="27"/>
      <c r="E140" s="20"/>
      <c r="F140" s="20"/>
      <c r="G140" s="19"/>
      <c r="H140" s="27"/>
      <c r="I140" s="74"/>
      <c r="J140" s="72"/>
      <c r="K140" s="75"/>
      <c r="L140" s="75"/>
      <c r="M140" s="75"/>
      <c r="N140" s="75"/>
      <c r="O140" s="75"/>
      <c r="P140" s="27"/>
      <c r="Q140" s="26"/>
      <c r="R140" s="27"/>
      <c r="S140" s="62"/>
      <c r="T140" s="32"/>
      <c r="U140" s="120"/>
      <c r="X140" s="135"/>
    </row>
    <row r="141" spans="1:25" x14ac:dyDescent="0.2">
      <c r="A141" s="26"/>
      <c r="B141" s="27"/>
      <c r="C141" s="76" t="s">
        <v>66</v>
      </c>
      <c r="D141" s="27"/>
      <c r="E141" s="20"/>
      <c r="F141" s="20"/>
      <c r="G141" s="19"/>
      <c r="H141" s="27"/>
      <c r="I141" s="74">
        <f>+SUBTOTAL(9,I139:I140)</f>
        <v>616526.68999999994</v>
      </c>
      <c r="J141" s="72"/>
      <c r="K141" s="75">
        <f>+SUBTOTAL(9,K139:K140)</f>
        <v>353805</v>
      </c>
      <c r="L141" s="75"/>
      <c r="M141" s="75">
        <f>+SUBTOTAL(9,M139:M140)</f>
        <v>299713</v>
      </c>
      <c r="N141" s="75"/>
      <c r="O141" s="75">
        <f>+SUBTOTAL(9,O139:O140)</f>
        <v>10702</v>
      </c>
      <c r="P141" s="27"/>
      <c r="Q141" s="116">
        <f>IF(O141/I141*100=0,"-     ",ROUND(O141/I141*100,2))</f>
        <v>1.74</v>
      </c>
      <c r="S141" s="117">
        <f t="shared" ref="S141" si="35">IF(O141=0,"-     ",ROUND(M141/O141,1))</f>
        <v>28</v>
      </c>
      <c r="T141" s="32"/>
      <c r="U141" s="120"/>
      <c r="W141" s="134">
        <f>+SUBTOTAL(9,W139:W140)</f>
        <v>7953.1943009999995</v>
      </c>
      <c r="X141" s="135"/>
      <c r="Y141" s="144">
        <f>O141-W141</f>
        <v>2748.8056990000005</v>
      </c>
    </row>
    <row r="142" spans="1:25" x14ac:dyDescent="0.2">
      <c r="A142" s="26"/>
      <c r="B142" s="27"/>
      <c r="C142" s="28"/>
      <c r="D142" s="27"/>
      <c r="E142" s="20"/>
      <c r="F142" s="20"/>
      <c r="G142" s="19"/>
      <c r="H142" s="27"/>
      <c r="I142" s="74"/>
      <c r="J142" s="72"/>
      <c r="K142" s="75"/>
      <c r="L142" s="75"/>
      <c r="M142" s="75"/>
      <c r="N142" s="75"/>
      <c r="O142" s="75"/>
      <c r="P142" s="27"/>
      <c r="Q142" s="26"/>
      <c r="R142" s="27"/>
      <c r="S142" s="62"/>
      <c r="T142" s="32"/>
      <c r="U142" s="120"/>
      <c r="X142" s="135"/>
    </row>
    <row r="143" spans="1:25" x14ac:dyDescent="0.2">
      <c r="A143" s="26">
        <v>332</v>
      </c>
      <c r="B143" s="27"/>
      <c r="C143" s="57" t="s">
        <v>171</v>
      </c>
      <c r="D143" s="27"/>
      <c r="E143" s="56"/>
      <c r="F143" s="56"/>
      <c r="G143" s="66"/>
      <c r="H143" s="27"/>
      <c r="I143" s="74"/>
      <c r="J143" s="72"/>
      <c r="K143" s="75"/>
      <c r="L143" s="75"/>
      <c r="M143" s="75"/>
      <c r="N143" s="75"/>
      <c r="O143" s="75"/>
      <c r="P143" s="27"/>
      <c r="Q143" s="26"/>
      <c r="R143" s="27"/>
      <c r="S143" s="62"/>
      <c r="T143" s="32"/>
      <c r="U143" s="120"/>
      <c r="X143" s="135"/>
    </row>
    <row r="144" spans="1:25" x14ac:dyDescent="0.2">
      <c r="A144" s="26"/>
      <c r="B144" s="27"/>
      <c r="C144" s="28" t="s">
        <v>58</v>
      </c>
      <c r="D144" s="27"/>
      <c r="E144" s="20" t="s">
        <v>133</v>
      </c>
      <c r="F144" s="20" t="s">
        <v>64</v>
      </c>
      <c r="G144" s="19">
        <v>-6</v>
      </c>
      <c r="H144" s="27"/>
      <c r="I144" s="77">
        <v>21603969.66</v>
      </c>
      <c r="J144" s="54"/>
      <c r="K144" s="78">
        <v>6697620</v>
      </c>
      <c r="L144" s="111"/>
      <c r="M144" s="78">
        <v>16202588</v>
      </c>
      <c r="N144" s="111"/>
      <c r="O144" s="78">
        <v>558948</v>
      </c>
      <c r="P144" s="27"/>
      <c r="Q144" s="116">
        <f>IF(O144/I144*100=0,"-     ",ROUND(O144/I144*100,2))</f>
        <v>2.59</v>
      </c>
      <c r="S144" s="117">
        <f t="shared" ref="S144" si="36">IF(O144=0,"-     ",ROUND(M144/O144,1))</f>
        <v>29</v>
      </c>
      <c r="T144" s="32"/>
      <c r="U144" s="120">
        <v>7.1999999999999998E-3</v>
      </c>
      <c r="W144" s="158">
        <f t="shared" ref="W144" si="37">I144*U144</f>
        <v>155548.58155199999</v>
      </c>
      <c r="X144" s="135"/>
      <c r="Y144" s="159">
        <f>O144-W144</f>
        <v>403399.41844799998</v>
      </c>
    </row>
    <row r="145" spans="1:25" x14ac:dyDescent="0.2">
      <c r="A145" s="26"/>
      <c r="B145" s="27"/>
      <c r="C145" s="28"/>
      <c r="D145" s="27"/>
      <c r="E145" s="20"/>
      <c r="F145" s="20"/>
      <c r="G145" s="19"/>
      <c r="H145" s="27"/>
      <c r="I145" s="74"/>
      <c r="J145" s="72"/>
      <c r="K145" s="75"/>
      <c r="L145" s="75"/>
      <c r="M145" s="75"/>
      <c r="N145" s="75"/>
      <c r="O145" s="75"/>
      <c r="P145" s="27"/>
      <c r="Q145" s="26"/>
      <c r="R145" s="27"/>
      <c r="S145" s="62"/>
      <c r="T145" s="32"/>
      <c r="U145" s="120"/>
      <c r="W145" s="152"/>
      <c r="X145" s="135"/>
    </row>
    <row r="146" spans="1:25" x14ac:dyDescent="0.2">
      <c r="A146" s="26"/>
      <c r="B146" s="27"/>
      <c r="C146" s="115" t="s">
        <v>172</v>
      </c>
      <c r="D146" s="27"/>
      <c r="E146" s="20"/>
      <c r="F146" s="20"/>
      <c r="G146" s="19"/>
      <c r="H146" s="27"/>
      <c r="I146" s="74">
        <f>+SUBTOTAL(9,I144:I145)</f>
        <v>21603969.66</v>
      </c>
      <c r="J146" s="72"/>
      <c r="K146" s="75">
        <f>+SUBTOTAL(9,K144:K145)</f>
        <v>6697620</v>
      </c>
      <c r="L146" s="75"/>
      <c r="M146" s="75">
        <f>+SUBTOTAL(9,M144:M145)</f>
        <v>16202588</v>
      </c>
      <c r="N146" s="75"/>
      <c r="O146" s="75">
        <f>+SUBTOTAL(9,O144:O145)</f>
        <v>558948</v>
      </c>
      <c r="P146" s="27"/>
      <c r="Q146" s="116">
        <f>IF(O146/I146*100=0,"-     ",ROUND(O146/I146*100,2))</f>
        <v>2.59</v>
      </c>
      <c r="S146" s="117">
        <f t="shared" ref="S146" si="38">IF(O146=0,"-     ",ROUND(M146/O146,1))</f>
        <v>29</v>
      </c>
      <c r="T146" s="32"/>
      <c r="U146" s="120"/>
      <c r="W146" s="134">
        <f>+SUBTOTAL(9,W144:W145)</f>
        <v>155548.58155199999</v>
      </c>
      <c r="X146" s="135"/>
      <c r="Y146" s="144">
        <f>O146-W146</f>
        <v>403399.41844799998</v>
      </c>
    </row>
    <row r="147" spans="1:25" x14ac:dyDescent="0.2">
      <c r="A147" s="26"/>
      <c r="B147" s="27"/>
      <c r="C147" s="28"/>
      <c r="D147" s="27"/>
      <c r="E147" s="20"/>
      <c r="F147" s="20"/>
      <c r="G147" s="19"/>
      <c r="H147" s="27"/>
      <c r="I147" s="74"/>
      <c r="J147" s="72"/>
      <c r="K147" s="75"/>
      <c r="L147" s="75"/>
      <c r="M147" s="75"/>
      <c r="N147" s="75"/>
      <c r="O147" s="75"/>
      <c r="P147" s="27"/>
      <c r="Q147" s="26"/>
      <c r="R147" s="27"/>
      <c r="S147" s="62"/>
      <c r="T147" s="32"/>
      <c r="U147" s="120"/>
      <c r="X147" s="135"/>
    </row>
    <row r="148" spans="1:25" x14ac:dyDescent="0.2">
      <c r="A148" s="26">
        <v>333</v>
      </c>
      <c r="B148" s="27"/>
      <c r="C148" s="57" t="s">
        <v>173</v>
      </c>
      <c r="D148" s="27"/>
      <c r="E148" s="20"/>
      <c r="F148" s="20"/>
      <c r="G148" s="19"/>
      <c r="H148" s="27"/>
      <c r="I148" s="74"/>
      <c r="J148" s="72"/>
      <c r="K148" s="75"/>
      <c r="L148" s="75"/>
      <c r="M148" s="75"/>
      <c r="N148" s="75"/>
      <c r="O148" s="75"/>
      <c r="P148" s="27"/>
      <c r="Q148" s="26"/>
      <c r="R148" s="27"/>
      <c r="S148" s="62"/>
      <c r="T148" s="32"/>
      <c r="U148" s="120"/>
      <c r="X148" s="135"/>
    </row>
    <row r="149" spans="1:25" x14ac:dyDescent="0.2">
      <c r="A149" s="26"/>
      <c r="B149" s="27"/>
      <c r="C149" s="28" t="s">
        <v>59</v>
      </c>
      <c r="D149" s="27"/>
      <c r="E149" s="20" t="s">
        <v>193</v>
      </c>
      <c r="F149" s="20" t="s">
        <v>64</v>
      </c>
      <c r="G149" s="19">
        <v>-6</v>
      </c>
      <c r="H149" s="27"/>
      <c r="I149" s="77">
        <v>4430624.3099999996</v>
      </c>
      <c r="J149" s="54"/>
      <c r="K149" s="78">
        <v>19710</v>
      </c>
      <c r="L149" s="111"/>
      <c r="M149" s="78">
        <v>4676752</v>
      </c>
      <c r="N149" s="111"/>
      <c r="O149" s="78">
        <v>166967</v>
      </c>
      <c r="P149" s="27"/>
      <c r="Q149" s="116">
        <f>IF(O149/I149*100=0,"-     ",ROUND(O149/I149*100,2))</f>
        <v>3.77</v>
      </c>
      <c r="S149" s="117">
        <f t="shared" ref="S149" si="39">IF(O149=0,"-     ",ROUND(M149/O149,1))</f>
        <v>28</v>
      </c>
      <c r="T149" s="32"/>
      <c r="U149" s="120">
        <v>6.6E-3</v>
      </c>
      <c r="W149" s="158">
        <f t="shared" ref="W149" si="40">I149*U149</f>
        <v>29242.120445999997</v>
      </c>
      <c r="X149" s="135"/>
      <c r="Y149" s="159">
        <f>O149-W149</f>
        <v>137724.87955400001</v>
      </c>
    </row>
    <row r="150" spans="1:25" x14ac:dyDescent="0.2">
      <c r="A150" s="26"/>
      <c r="B150" s="27"/>
      <c r="C150" s="28"/>
      <c r="D150" s="27"/>
      <c r="E150" s="20"/>
      <c r="F150" s="20"/>
      <c r="G150" s="19"/>
      <c r="H150" s="27"/>
      <c r="I150" s="74"/>
      <c r="J150" s="72"/>
      <c r="K150" s="75"/>
      <c r="L150" s="75"/>
      <c r="M150" s="75"/>
      <c r="N150" s="75"/>
      <c r="O150" s="75"/>
      <c r="P150" s="27"/>
      <c r="Q150" s="26"/>
      <c r="R150" s="27"/>
      <c r="S150" s="62"/>
      <c r="T150" s="32"/>
      <c r="U150" s="120"/>
      <c r="X150" s="135"/>
    </row>
    <row r="151" spans="1:25" x14ac:dyDescent="0.2">
      <c r="A151" s="26"/>
      <c r="B151" s="27"/>
      <c r="C151" s="115" t="s">
        <v>174</v>
      </c>
      <c r="D151" s="27"/>
      <c r="E151" s="20"/>
      <c r="F151" s="20"/>
      <c r="G151" s="19"/>
      <c r="H151" s="27"/>
      <c r="I151" s="74">
        <f>+SUBTOTAL(9,I149:I150)</f>
        <v>4430624.3099999996</v>
      </c>
      <c r="J151" s="72"/>
      <c r="K151" s="75">
        <f>+SUBTOTAL(9,K149:K150)</f>
        <v>19710</v>
      </c>
      <c r="L151" s="75"/>
      <c r="M151" s="75">
        <f>+SUBTOTAL(9,M149:M150)</f>
        <v>4676752</v>
      </c>
      <c r="N151" s="75"/>
      <c r="O151" s="75">
        <f>+SUBTOTAL(9,O149:O150)</f>
        <v>166967</v>
      </c>
      <c r="P151" s="27"/>
      <c r="Q151" s="116">
        <f>IF(O151/I151*100=0,"-     ",ROUND(O151/I151*100,2))</f>
        <v>3.77</v>
      </c>
      <c r="S151" s="117">
        <f t="shared" ref="S151" si="41">IF(O151=0,"-     ",ROUND(M151/O151,1))</f>
        <v>28</v>
      </c>
      <c r="T151" s="32"/>
      <c r="U151" s="120"/>
      <c r="W151" s="134">
        <f>+SUBTOTAL(9,W149:W150)</f>
        <v>29242.120445999997</v>
      </c>
      <c r="X151" s="135"/>
      <c r="Y151" s="144">
        <f>O151-W151</f>
        <v>137724.87955400001</v>
      </c>
    </row>
    <row r="152" spans="1:25" x14ac:dyDescent="0.2">
      <c r="A152" s="26"/>
      <c r="B152" s="27"/>
      <c r="C152" s="28"/>
      <c r="D152" s="27"/>
      <c r="E152" s="20"/>
      <c r="F152" s="20"/>
      <c r="G152" s="19"/>
      <c r="H152" s="27"/>
      <c r="I152" s="74"/>
      <c r="J152" s="72"/>
      <c r="K152" s="75"/>
      <c r="L152" s="75"/>
      <c r="M152" s="75"/>
      <c r="N152" s="75"/>
      <c r="O152" s="75"/>
      <c r="P152" s="27"/>
      <c r="Q152" s="26"/>
      <c r="R152" s="27"/>
      <c r="S152" s="62"/>
      <c r="T152" s="32"/>
      <c r="U152" s="120"/>
      <c r="X152" s="135"/>
    </row>
    <row r="153" spans="1:25" x14ac:dyDescent="0.2">
      <c r="A153" s="26">
        <v>334</v>
      </c>
      <c r="B153" s="27"/>
      <c r="C153" s="28" t="s">
        <v>60</v>
      </c>
      <c r="D153" s="27"/>
      <c r="E153" s="20"/>
      <c r="F153" s="20"/>
      <c r="G153" s="19"/>
      <c r="H153" s="27"/>
      <c r="I153" s="74"/>
      <c r="J153" s="72"/>
      <c r="K153" s="75"/>
      <c r="L153" s="75"/>
      <c r="M153" s="75"/>
      <c r="N153" s="75"/>
      <c r="O153" s="75"/>
      <c r="P153" s="27"/>
      <c r="Q153" s="26"/>
      <c r="R153" s="27"/>
      <c r="S153" s="62"/>
      <c r="T153" s="32"/>
      <c r="U153" s="120"/>
      <c r="X153" s="135"/>
    </row>
    <row r="154" spans="1:25" x14ac:dyDescent="0.2">
      <c r="A154" s="26"/>
      <c r="B154" s="27"/>
      <c r="C154" s="28" t="s">
        <v>59</v>
      </c>
      <c r="D154" s="27"/>
      <c r="E154" s="20" t="s">
        <v>139</v>
      </c>
      <c r="F154" s="20" t="s">
        <v>64</v>
      </c>
      <c r="G154" s="19">
        <v>-6</v>
      </c>
      <c r="H154" s="27"/>
      <c r="I154" s="71">
        <v>578333.28</v>
      </c>
      <c r="J154" s="72"/>
      <c r="K154" s="73">
        <v>90045</v>
      </c>
      <c r="L154" s="75"/>
      <c r="M154" s="73">
        <v>522988</v>
      </c>
      <c r="N154" s="75"/>
      <c r="O154" s="73">
        <v>21138</v>
      </c>
      <c r="P154" s="27"/>
      <c r="Q154" s="116">
        <f>IF(O154/I154*100=0,"-     ",ROUND(O154/I154*100,2))</f>
        <v>3.65</v>
      </c>
      <c r="S154" s="117">
        <f t="shared" ref="S154" si="42">IF(O154=0,"-     ",ROUND(M154/O154,1))</f>
        <v>24.7</v>
      </c>
      <c r="T154" s="32"/>
      <c r="U154" s="120">
        <v>8.3000000000000001E-3</v>
      </c>
      <c r="W154" s="158">
        <f t="shared" ref="W154" si="43">I154*U154</f>
        <v>4800.1662240000005</v>
      </c>
      <c r="X154" s="135"/>
      <c r="Y154" s="159">
        <f>O154-W154</f>
        <v>16337.833775999999</v>
      </c>
    </row>
    <row r="155" spans="1:25" x14ac:dyDescent="0.2">
      <c r="A155" s="26"/>
      <c r="B155" s="27"/>
      <c r="C155" s="28"/>
      <c r="D155" s="27"/>
      <c r="E155" s="20"/>
      <c r="F155" s="20"/>
      <c r="G155" s="19"/>
      <c r="H155" s="27"/>
      <c r="I155" s="74"/>
      <c r="J155" s="72"/>
      <c r="K155" s="75"/>
      <c r="L155" s="75"/>
      <c r="M155" s="75"/>
      <c r="N155" s="75"/>
      <c r="O155" s="75"/>
      <c r="P155" s="27"/>
      <c r="Q155" s="26"/>
      <c r="R155" s="27"/>
      <c r="S155" s="62"/>
      <c r="T155" s="32"/>
      <c r="U155" s="120"/>
      <c r="X155" s="135"/>
    </row>
    <row r="156" spans="1:25" x14ac:dyDescent="0.2">
      <c r="A156" s="26"/>
      <c r="B156" s="27"/>
      <c r="C156" s="76" t="s">
        <v>67</v>
      </c>
      <c r="D156" s="27"/>
      <c r="E156" s="20"/>
      <c r="F156" s="20"/>
      <c r="G156" s="19"/>
      <c r="H156" s="27"/>
      <c r="I156" s="74">
        <f>+SUBTOTAL(9,I154:I155)</f>
        <v>578333.28</v>
      </c>
      <c r="J156" s="72"/>
      <c r="K156" s="75">
        <f>+SUBTOTAL(9,K154:K155)</f>
        <v>90045</v>
      </c>
      <c r="L156" s="75"/>
      <c r="M156" s="75">
        <f>+SUBTOTAL(9,M154:M155)</f>
        <v>522988</v>
      </c>
      <c r="N156" s="75"/>
      <c r="O156" s="75">
        <f>+SUBTOTAL(9,O154:O155)</f>
        <v>21138</v>
      </c>
      <c r="P156" s="27"/>
      <c r="Q156" s="116">
        <f>IF(O156/I156*100=0,"-     ",ROUND(O156/I156*100,2))</f>
        <v>3.65</v>
      </c>
      <c r="S156" s="117">
        <f t="shared" ref="S156" si="44">IF(O156=0,"-     ",ROUND(M156/O156,1))</f>
        <v>24.7</v>
      </c>
      <c r="T156" s="32"/>
      <c r="U156" s="120"/>
      <c r="W156" s="134">
        <f>+SUBTOTAL(9,W154:W155)</f>
        <v>4800.1662240000005</v>
      </c>
      <c r="X156" s="135"/>
      <c r="Y156" s="144">
        <f>O156-W156</f>
        <v>16337.833775999999</v>
      </c>
    </row>
    <row r="157" spans="1:25" x14ac:dyDescent="0.2">
      <c r="A157" s="26"/>
      <c r="B157" s="27"/>
      <c r="C157" s="28"/>
      <c r="D157" s="27"/>
      <c r="E157" s="20"/>
      <c r="F157" s="20"/>
      <c r="G157" s="19"/>
      <c r="H157" s="27"/>
      <c r="I157" s="74"/>
      <c r="J157" s="72"/>
      <c r="K157" s="75"/>
      <c r="L157" s="75"/>
      <c r="M157" s="75"/>
      <c r="N157" s="75"/>
      <c r="O157" s="75"/>
      <c r="P157" s="27"/>
      <c r="Q157" s="26"/>
      <c r="R157" s="27"/>
      <c r="S157" s="62"/>
      <c r="T157" s="32"/>
      <c r="U157" s="120"/>
      <c r="X157" s="135"/>
    </row>
    <row r="158" spans="1:25" x14ac:dyDescent="0.2">
      <c r="A158" s="26">
        <v>335</v>
      </c>
      <c r="B158" s="27"/>
      <c r="C158" s="28" t="s">
        <v>69</v>
      </c>
      <c r="D158" s="27"/>
      <c r="E158" s="20"/>
      <c r="F158" s="20"/>
      <c r="G158" s="19"/>
      <c r="H158" s="27"/>
      <c r="I158" s="74"/>
      <c r="J158" s="72"/>
      <c r="K158" s="75"/>
      <c r="L158" s="75"/>
      <c r="M158" s="75"/>
      <c r="N158" s="75"/>
      <c r="O158" s="75"/>
      <c r="P158" s="27"/>
      <c r="Q158" s="26"/>
      <c r="R158" s="27"/>
      <c r="S158" s="62"/>
      <c r="T158" s="32"/>
      <c r="U158" s="120"/>
      <c r="X158" s="135"/>
    </row>
    <row r="159" spans="1:25" x14ac:dyDescent="0.2">
      <c r="A159" s="26"/>
      <c r="B159" s="27"/>
      <c r="C159" s="28" t="s">
        <v>59</v>
      </c>
      <c r="D159" s="27"/>
      <c r="E159" s="20" t="s">
        <v>140</v>
      </c>
      <c r="F159" s="20" t="s">
        <v>64</v>
      </c>
      <c r="G159" s="19">
        <v>-6</v>
      </c>
      <c r="H159" s="27"/>
      <c r="I159" s="71">
        <v>297023.86</v>
      </c>
      <c r="J159" s="72"/>
      <c r="K159" s="73">
        <v>85989</v>
      </c>
      <c r="L159" s="75"/>
      <c r="M159" s="73">
        <v>228856</v>
      </c>
      <c r="N159" s="75"/>
      <c r="O159" s="73">
        <v>13551</v>
      </c>
      <c r="P159" s="27"/>
      <c r="Q159" s="116">
        <f>IF(O159/I159*100=0,"-     ",ROUND(O159/I159*100,2))</f>
        <v>4.5599999999999996</v>
      </c>
      <c r="S159" s="117">
        <f t="shared" ref="S159" si="45">IF(O159=0,"-     ",ROUND(M159/O159,1))</f>
        <v>16.899999999999999</v>
      </c>
      <c r="T159" s="32"/>
      <c r="U159" s="120">
        <v>3.5499999999999997E-2</v>
      </c>
      <c r="W159" s="158">
        <f t="shared" ref="W159" si="46">I159*U159</f>
        <v>10544.347029999999</v>
      </c>
      <c r="X159" s="135"/>
      <c r="Y159" s="159">
        <f>O159-W159</f>
        <v>3006.652970000001</v>
      </c>
    </row>
    <row r="160" spans="1:25" x14ac:dyDescent="0.2">
      <c r="A160" s="26"/>
      <c r="B160" s="27"/>
      <c r="C160" s="28"/>
      <c r="D160" s="27"/>
      <c r="E160" s="20"/>
      <c r="F160" s="20"/>
      <c r="G160" s="19"/>
      <c r="H160" s="27"/>
      <c r="I160" s="74"/>
      <c r="J160" s="72"/>
      <c r="K160" s="75"/>
      <c r="L160" s="75"/>
      <c r="M160" s="75"/>
      <c r="N160" s="75"/>
      <c r="O160" s="75"/>
      <c r="P160" s="27"/>
      <c r="Q160" s="26"/>
      <c r="R160" s="27"/>
      <c r="S160" s="62"/>
      <c r="T160" s="32"/>
      <c r="U160" s="120"/>
      <c r="X160" s="135"/>
    </row>
    <row r="161" spans="1:25" x14ac:dyDescent="0.2">
      <c r="A161" s="26"/>
      <c r="B161" s="27"/>
      <c r="C161" s="76" t="s">
        <v>68</v>
      </c>
      <c r="D161" s="27"/>
      <c r="E161" s="20"/>
      <c r="F161" s="20"/>
      <c r="G161" s="19"/>
      <c r="H161" s="27"/>
      <c r="I161" s="74">
        <f>+SUBTOTAL(9,I159:I160)</f>
        <v>297023.86</v>
      </c>
      <c r="J161" s="72"/>
      <c r="K161" s="75">
        <f>+SUBTOTAL(9,K159:K160)</f>
        <v>85989</v>
      </c>
      <c r="L161" s="75"/>
      <c r="M161" s="75">
        <f>+SUBTOTAL(9,M159:M160)</f>
        <v>228856</v>
      </c>
      <c r="N161" s="75"/>
      <c r="O161" s="75">
        <f>+SUBTOTAL(9,O159:O160)</f>
        <v>13551</v>
      </c>
      <c r="P161" s="27"/>
      <c r="Q161" s="116">
        <f>IF(O161/I161*100=0,"-     ",ROUND(O161/I161*100,2))</f>
        <v>4.5599999999999996</v>
      </c>
      <c r="S161" s="117">
        <f t="shared" ref="S161" si="47">IF(O161=0,"-     ",ROUND(M161/O161,1))</f>
        <v>16.899999999999999</v>
      </c>
      <c r="T161" s="32"/>
      <c r="U161" s="120"/>
      <c r="W161" s="134">
        <f>+SUBTOTAL(9,W159:W160)</f>
        <v>10544.347029999999</v>
      </c>
      <c r="X161" s="135"/>
      <c r="Y161" s="144">
        <f>O161-W161</f>
        <v>3006.652970000001</v>
      </c>
    </row>
    <row r="162" spans="1:25" x14ac:dyDescent="0.2">
      <c r="A162" s="26"/>
      <c r="B162" s="27"/>
      <c r="C162" s="28"/>
      <c r="D162" s="27"/>
      <c r="E162" s="20"/>
      <c r="F162" s="20"/>
      <c r="G162" s="19"/>
      <c r="H162" s="27"/>
      <c r="I162" s="74"/>
      <c r="J162" s="72"/>
      <c r="K162" s="75"/>
      <c r="L162" s="75"/>
      <c r="M162" s="75"/>
      <c r="N162" s="75"/>
      <c r="O162" s="75"/>
      <c r="P162" s="27"/>
      <c r="Q162" s="26"/>
      <c r="R162" s="27"/>
      <c r="S162" s="62"/>
      <c r="T162" s="32"/>
      <c r="U162" s="121"/>
      <c r="X162" s="135"/>
    </row>
    <row r="163" spans="1:25" x14ac:dyDescent="0.2">
      <c r="A163" s="26">
        <v>336</v>
      </c>
      <c r="B163" s="27"/>
      <c r="C163" s="57" t="s">
        <v>175</v>
      </c>
      <c r="D163" s="27"/>
      <c r="E163" s="20"/>
      <c r="F163" s="20"/>
      <c r="G163" s="19"/>
      <c r="H163" s="27"/>
      <c r="I163" s="74"/>
      <c r="J163" s="72"/>
      <c r="K163" s="75"/>
      <c r="L163" s="75"/>
      <c r="M163" s="75"/>
      <c r="N163" s="75"/>
      <c r="O163" s="75"/>
      <c r="P163" s="27"/>
      <c r="Q163" s="26"/>
      <c r="R163" s="27"/>
      <c r="S163" s="62"/>
      <c r="T163" s="32"/>
      <c r="U163" s="120"/>
      <c r="X163" s="135"/>
    </row>
    <row r="164" spans="1:25" s="25" customFormat="1" x14ac:dyDescent="0.2">
      <c r="A164" s="79"/>
      <c r="B164" s="72"/>
      <c r="C164" s="28" t="s">
        <v>58</v>
      </c>
      <c r="D164" s="72"/>
      <c r="E164" s="80" t="s">
        <v>141</v>
      </c>
      <c r="F164" s="20" t="s">
        <v>64</v>
      </c>
      <c r="G164" s="81">
        <v>-6</v>
      </c>
      <c r="H164" s="72"/>
      <c r="I164" s="71">
        <v>176359.59</v>
      </c>
      <c r="J164" s="72"/>
      <c r="K164" s="73">
        <v>49946</v>
      </c>
      <c r="L164" s="75"/>
      <c r="M164" s="73">
        <v>136995</v>
      </c>
      <c r="N164" s="75"/>
      <c r="O164" s="73">
        <v>7394</v>
      </c>
      <c r="P164" s="72"/>
      <c r="Q164" s="116">
        <f>IF(O164/I164*100=0,"-     ",ROUND(O164/I164*100,2))</f>
        <v>4.1900000000000004</v>
      </c>
      <c r="R164"/>
      <c r="S164" s="117">
        <f t="shared" ref="S164" si="48">IF(O164=0,"-     ",ROUND(M164/O164,1))</f>
        <v>18.5</v>
      </c>
      <c r="T164" s="54"/>
      <c r="U164" s="120">
        <v>0</v>
      </c>
      <c r="W164" s="158">
        <f t="shared" ref="W164" si="49">I164*U164</f>
        <v>0</v>
      </c>
      <c r="X164" s="138"/>
      <c r="Y164" s="159">
        <f>O164-W164</f>
        <v>7394</v>
      </c>
    </row>
    <row r="165" spans="1:25" x14ac:dyDescent="0.2">
      <c r="A165" s="26"/>
      <c r="B165" s="27"/>
      <c r="C165" s="28"/>
      <c r="D165" s="27"/>
      <c r="E165" s="20"/>
      <c r="F165" s="20"/>
      <c r="G165" s="19"/>
      <c r="H165" s="27"/>
      <c r="I165" s="74"/>
      <c r="J165" s="72"/>
      <c r="K165" s="75"/>
      <c r="L165" s="75"/>
      <c r="M165" s="75"/>
      <c r="N165" s="75"/>
      <c r="O165" s="75"/>
      <c r="P165" s="27"/>
      <c r="Q165" s="26"/>
      <c r="R165" s="27"/>
      <c r="S165" s="62"/>
      <c r="T165" s="32"/>
      <c r="U165" s="120"/>
      <c r="X165" s="135"/>
    </row>
    <row r="166" spans="1:25" ht="15.75" x14ac:dyDescent="0.25">
      <c r="A166" s="26"/>
      <c r="B166" s="27"/>
      <c r="C166" s="76" t="s">
        <v>61</v>
      </c>
      <c r="D166" s="27"/>
      <c r="E166" s="20"/>
      <c r="F166" s="20"/>
      <c r="G166" s="19"/>
      <c r="H166" s="27"/>
      <c r="I166" s="71">
        <f>+SUBTOTAL(9,I164:I165)</f>
        <v>176359.59</v>
      </c>
      <c r="J166" s="72"/>
      <c r="K166" s="73">
        <f>+SUBTOTAL(9,K164:K165)</f>
        <v>49946</v>
      </c>
      <c r="L166" s="75"/>
      <c r="M166" s="73">
        <f>+SUBTOTAL(9,M164:M165)</f>
        <v>136995</v>
      </c>
      <c r="N166" s="75"/>
      <c r="O166" s="73">
        <f>+SUBTOTAL(9,O164:O165)</f>
        <v>7394</v>
      </c>
      <c r="P166" s="27"/>
      <c r="Q166" s="116">
        <f>IF(O166/I166*100=0,"-     ",ROUND(O166/I166*100,2))</f>
        <v>4.1900000000000004</v>
      </c>
      <c r="S166" s="117">
        <f t="shared" ref="S166" si="50">IF(O166=0,"-     ",ROUND(M166/O166,1))</f>
        <v>18.5</v>
      </c>
      <c r="T166" s="32"/>
      <c r="U166" s="122"/>
      <c r="W166" s="133">
        <f>+SUBTOTAL(9,W164:W165)</f>
        <v>0</v>
      </c>
      <c r="X166" s="135"/>
      <c r="Y166" s="159">
        <f>O166-W166</f>
        <v>7394</v>
      </c>
    </row>
    <row r="167" spans="1:25" x14ac:dyDescent="0.2">
      <c r="A167" s="26"/>
      <c r="B167" s="27"/>
      <c r="C167" s="28"/>
      <c r="D167" s="27"/>
      <c r="E167" s="20"/>
      <c r="F167" s="20"/>
      <c r="G167" s="19"/>
      <c r="H167" s="27"/>
      <c r="I167" s="74"/>
      <c r="J167" s="72"/>
      <c r="K167" s="75"/>
      <c r="L167" s="75"/>
      <c r="M167" s="75"/>
      <c r="N167" s="75"/>
      <c r="O167" s="75"/>
      <c r="P167" s="27"/>
      <c r="Q167" s="26"/>
      <c r="R167" s="27"/>
      <c r="S167" s="62"/>
      <c r="T167" s="32"/>
      <c r="U167" s="120"/>
      <c r="X167" s="135"/>
    </row>
    <row r="168" spans="1:25" s="24" customFormat="1" ht="15.75" x14ac:dyDescent="0.25">
      <c r="A168" s="82"/>
      <c r="B168" s="83"/>
      <c r="C168" s="64" t="s">
        <v>188</v>
      </c>
      <c r="D168" s="83"/>
      <c r="E168" s="85"/>
      <c r="F168" s="85"/>
      <c r="G168" s="86"/>
      <c r="H168" s="83"/>
      <c r="I168" s="52">
        <f>+SUBTOTAL(9,I133:I167)</f>
        <v>28582148.859999999</v>
      </c>
      <c r="J168" s="83"/>
      <c r="K168" s="84">
        <f>+SUBTOTAL(9,K133:K167)</f>
        <v>8176426</v>
      </c>
      <c r="L168" s="84"/>
      <c r="M168" s="84">
        <f>+SUBTOTAL(9,M133:M167)</f>
        <v>22067892</v>
      </c>
      <c r="N168" s="84"/>
      <c r="O168" s="84">
        <f>+SUBTOTAL(9,O133:O167)</f>
        <v>778700</v>
      </c>
      <c r="P168" s="83"/>
      <c r="Q168" s="61">
        <f>+ROUND(O168/I168*100,2)</f>
        <v>2.72</v>
      </c>
      <c r="R168" s="27"/>
      <c r="S168" s="62"/>
      <c r="T168" s="112"/>
      <c r="U168" s="120"/>
      <c r="W168" s="132">
        <f>+SUBTOTAL(9,W133:W167)</f>
        <v>208088.409553</v>
      </c>
      <c r="X168" s="137"/>
      <c r="Y168" s="155">
        <f>O168-W168</f>
        <v>570611.590447</v>
      </c>
    </row>
    <row r="169" spans="1:25" ht="15.75" x14ac:dyDescent="0.25">
      <c r="A169" s="26"/>
      <c r="B169" s="27"/>
      <c r="C169" s="28"/>
      <c r="D169" s="27"/>
      <c r="E169" s="20"/>
      <c r="F169" s="20"/>
      <c r="G169" s="19"/>
      <c r="H169" s="27"/>
      <c r="I169" s="29"/>
      <c r="J169" s="30"/>
      <c r="K169" s="31"/>
      <c r="L169" s="31"/>
      <c r="M169" s="31"/>
      <c r="N169" s="31"/>
      <c r="O169" s="31"/>
      <c r="P169" s="27"/>
      <c r="Q169" s="26"/>
      <c r="R169" s="27"/>
      <c r="S169" s="62"/>
      <c r="T169" s="32"/>
      <c r="U169" s="120"/>
      <c r="X169" s="135"/>
    </row>
    <row r="170" spans="1:25" x14ac:dyDescent="0.2">
      <c r="A170" s="26"/>
      <c r="B170" s="27"/>
      <c r="C170" s="87"/>
      <c r="D170" s="27"/>
      <c r="E170" s="20"/>
      <c r="F170" s="20"/>
      <c r="G170" s="19"/>
      <c r="H170" s="27"/>
      <c r="I170" s="29"/>
      <c r="J170" s="27"/>
      <c r="K170" s="34"/>
      <c r="L170" s="34"/>
      <c r="M170" s="34"/>
      <c r="N170" s="34"/>
      <c r="O170" s="34"/>
      <c r="P170" s="27"/>
      <c r="Q170" s="26"/>
      <c r="R170" s="27"/>
      <c r="S170" s="62"/>
      <c r="T170" s="32"/>
      <c r="U170" s="120"/>
      <c r="X170" s="135"/>
    </row>
    <row r="171" spans="1:25" ht="15.75" x14ac:dyDescent="0.25">
      <c r="A171" s="26"/>
      <c r="B171" s="32"/>
      <c r="C171" s="53" t="s">
        <v>34</v>
      </c>
      <c r="D171" s="32"/>
      <c r="E171" s="20"/>
      <c r="F171" s="20"/>
      <c r="G171" s="19"/>
      <c r="H171" s="32"/>
      <c r="I171" s="29"/>
      <c r="J171" s="32"/>
      <c r="K171" s="34"/>
      <c r="L171" s="34"/>
      <c r="M171" s="34"/>
      <c r="N171" s="34"/>
      <c r="O171" s="34"/>
      <c r="P171" s="32"/>
      <c r="Q171" s="26"/>
      <c r="R171" s="27"/>
      <c r="S171" s="62"/>
      <c r="T171" s="32"/>
      <c r="U171" s="123"/>
      <c r="X171" s="135"/>
    </row>
    <row r="172" spans="1:25" s="27" customFormat="1" x14ac:dyDescent="0.2">
      <c r="A172" s="26"/>
      <c r="C172" s="33"/>
      <c r="E172" s="20"/>
      <c r="F172" s="20"/>
      <c r="G172" s="19"/>
      <c r="I172" s="29"/>
      <c r="K172" s="34"/>
      <c r="L172" s="34"/>
      <c r="M172" s="34"/>
      <c r="N172" s="34"/>
      <c r="O172" s="34"/>
      <c r="Q172" s="26"/>
      <c r="S172" s="62"/>
      <c r="T172" s="32"/>
      <c r="U172" s="123"/>
      <c r="W172" s="150"/>
      <c r="X172" s="139"/>
      <c r="Y172" s="153"/>
    </row>
    <row r="173" spans="1:25" s="36" customFormat="1" x14ac:dyDescent="0.2">
      <c r="A173" s="35">
        <v>340.1</v>
      </c>
      <c r="C173" s="37" t="s">
        <v>91</v>
      </c>
      <c r="E173" s="38"/>
      <c r="F173" s="38"/>
      <c r="G173" s="39"/>
      <c r="I173" s="40"/>
      <c r="K173" s="41"/>
      <c r="L173" s="41"/>
      <c r="M173" s="41"/>
      <c r="N173" s="41"/>
      <c r="O173" s="41"/>
      <c r="Q173" s="26"/>
      <c r="R173" s="27"/>
      <c r="S173" s="62"/>
      <c r="T173" s="42"/>
      <c r="U173" s="123"/>
      <c r="W173" s="151"/>
      <c r="X173" s="140"/>
      <c r="Y173" s="156"/>
    </row>
    <row r="174" spans="1:25" s="21" customFormat="1" x14ac:dyDescent="0.2">
      <c r="A174" s="35"/>
      <c r="B174" s="36"/>
      <c r="C174" s="88" t="s">
        <v>190</v>
      </c>
      <c r="D174" s="36"/>
      <c r="E174" s="38" t="s">
        <v>132</v>
      </c>
      <c r="F174" s="20" t="s">
        <v>64</v>
      </c>
      <c r="G174" s="39">
        <v>0</v>
      </c>
      <c r="H174" s="36"/>
      <c r="I174" s="47">
        <v>176409.31</v>
      </c>
      <c r="J174" s="36"/>
      <c r="K174" s="69">
        <v>99438</v>
      </c>
      <c r="L174" s="41"/>
      <c r="M174" s="69">
        <v>76971</v>
      </c>
      <c r="N174" s="41"/>
      <c r="O174" s="69">
        <v>3947</v>
      </c>
      <c r="P174" s="36"/>
      <c r="Q174" s="116">
        <f>IF(O174/I174*100=0,"-     ",ROUND(O174/I174*100,2))</f>
        <v>2.2400000000000002</v>
      </c>
      <c r="R174"/>
      <c r="S174" s="117">
        <f t="shared" ref="S174" si="51">IF(O174=0,"-     ",ROUND(M174/O174,1))</f>
        <v>19.5</v>
      </c>
      <c r="T174" s="42"/>
      <c r="U174" s="123">
        <v>2.9700000000000001E-2</v>
      </c>
      <c r="W174" s="158">
        <f t="shared" ref="W174" si="52">I174*U174</f>
        <v>5239.3565070000004</v>
      </c>
      <c r="X174" s="136"/>
      <c r="Y174" s="159">
        <f>O174-W174</f>
        <v>-1292.3565070000004</v>
      </c>
    </row>
    <row r="175" spans="1:25" s="21" customFormat="1" x14ac:dyDescent="0.2">
      <c r="A175" s="35"/>
      <c r="B175" s="36"/>
      <c r="C175" s="37"/>
      <c r="D175" s="36"/>
      <c r="E175" s="38"/>
      <c r="F175" s="38"/>
      <c r="G175" s="39"/>
      <c r="H175" s="36"/>
      <c r="I175" s="40"/>
      <c r="J175" s="36"/>
      <c r="K175" s="41"/>
      <c r="L175" s="41"/>
      <c r="M175" s="41"/>
      <c r="N175" s="41"/>
      <c r="O175" s="41"/>
      <c r="P175" s="36"/>
      <c r="Q175" s="26"/>
      <c r="R175" s="27"/>
      <c r="S175" s="62"/>
      <c r="T175" s="42"/>
      <c r="U175" s="123"/>
      <c r="W175" s="152"/>
      <c r="X175" s="136"/>
      <c r="Y175" s="157"/>
    </row>
    <row r="176" spans="1:25" s="21" customFormat="1" x14ac:dyDescent="0.2">
      <c r="A176" s="35"/>
      <c r="B176" s="36"/>
      <c r="C176" s="89" t="s">
        <v>89</v>
      </c>
      <c r="D176" s="36"/>
      <c r="E176" s="38"/>
      <c r="F176" s="38"/>
      <c r="G176" s="39"/>
      <c r="H176" s="36"/>
      <c r="I176" s="74">
        <f>+SUBTOTAL(9,I174:I175)</f>
        <v>176409.31</v>
      </c>
      <c r="J176" s="72"/>
      <c r="K176" s="75">
        <f>+SUBTOTAL(9,K174:K175)</f>
        <v>99438</v>
      </c>
      <c r="L176" s="75"/>
      <c r="M176" s="75">
        <f>+SUBTOTAL(9,M174:M175)</f>
        <v>76971</v>
      </c>
      <c r="N176" s="75"/>
      <c r="O176" s="75">
        <f>+SUBTOTAL(9,O174:O175)</f>
        <v>3947</v>
      </c>
      <c r="P176" s="36"/>
      <c r="Q176" s="116">
        <f>IF(O176/I176*100=0,"-     ",ROUND(O176/I176*100,2))</f>
        <v>2.2400000000000002</v>
      </c>
      <c r="R176"/>
      <c r="S176" s="117">
        <f t="shared" ref="S176" si="53">IF(O176=0,"-     ",ROUND(M176/O176,1))</f>
        <v>19.5</v>
      </c>
      <c r="T176" s="42"/>
      <c r="U176" s="120"/>
      <c r="W176" s="145">
        <f>+SUBTOTAL(9,W174:W175)</f>
        <v>5239.3565070000004</v>
      </c>
      <c r="X176" s="136"/>
      <c r="Y176" s="144"/>
    </row>
    <row r="177" spans="1:25" s="21" customFormat="1" x14ac:dyDescent="0.2">
      <c r="A177" s="35"/>
      <c r="B177" s="36"/>
      <c r="C177" s="37"/>
      <c r="D177" s="36"/>
      <c r="E177" s="38"/>
      <c r="F177" s="38"/>
      <c r="G177" s="39"/>
      <c r="H177" s="36"/>
      <c r="I177" s="40"/>
      <c r="J177" s="36"/>
      <c r="K177" s="41"/>
      <c r="L177" s="41"/>
      <c r="M177" s="41"/>
      <c r="N177" s="41"/>
      <c r="O177" s="41"/>
      <c r="P177" s="36"/>
      <c r="Q177" s="26"/>
      <c r="R177" s="27"/>
      <c r="S177" s="62"/>
      <c r="T177" s="42"/>
      <c r="U177" s="120"/>
      <c r="W177" s="152"/>
      <c r="X177" s="136"/>
      <c r="Y177" s="157"/>
    </row>
    <row r="178" spans="1:25" x14ac:dyDescent="0.2">
      <c r="A178" s="26">
        <v>341</v>
      </c>
      <c r="B178" s="27"/>
      <c r="C178" s="63" t="s">
        <v>35</v>
      </c>
      <c r="D178" s="27"/>
      <c r="E178" s="56"/>
      <c r="F178" s="56"/>
      <c r="G178" s="66"/>
      <c r="H178" s="27"/>
      <c r="I178" s="29"/>
      <c r="J178" s="27"/>
      <c r="K178" s="34"/>
      <c r="L178" s="34"/>
      <c r="M178" s="34"/>
      <c r="N178" s="34"/>
      <c r="O178" s="34"/>
      <c r="P178" s="27"/>
      <c r="Q178" s="26"/>
      <c r="R178" s="27"/>
      <c r="S178" s="62"/>
      <c r="T178" s="32"/>
      <c r="U178" s="120"/>
      <c r="X178" s="135"/>
    </row>
    <row r="179" spans="1:25" x14ac:dyDescent="0.2">
      <c r="A179" s="26"/>
      <c r="B179" s="27"/>
      <c r="C179" s="58" t="s">
        <v>113</v>
      </c>
      <c r="D179" s="27"/>
      <c r="E179" s="20" t="s">
        <v>142</v>
      </c>
      <c r="F179" s="20" t="s">
        <v>64</v>
      </c>
      <c r="G179" s="19">
        <v>-5</v>
      </c>
      <c r="H179" s="27"/>
      <c r="I179" s="29">
        <v>3740231.32</v>
      </c>
      <c r="J179" s="44"/>
      <c r="K179" s="45">
        <v>1170949</v>
      </c>
      <c r="L179" s="45"/>
      <c r="M179" s="45">
        <v>2756294</v>
      </c>
      <c r="N179" s="45"/>
      <c r="O179" s="45">
        <v>144756</v>
      </c>
      <c r="P179" s="27"/>
      <c r="Q179" s="116">
        <f t="shared" ref="Q179:Q193" si="54">IF(O179/I179*100=0,"-     ",ROUND(O179/I179*100,2))</f>
        <v>3.87</v>
      </c>
      <c r="S179" s="117">
        <f t="shared" ref="S179:S193" si="55">IF(O179=0,"-     ",ROUND(M179/O179,1))</f>
        <v>19</v>
      </c>
      <c r="T179" s="32"/>
      <c r="U179" s="120">
        <v>3.1399999999999997E-2</v>
      </c>
      <c r="W179" s="145">
        <f t="shared" ref="W179:W193" si="56">I179*U179</f>
        <v>117443.26344799998</v>
      </c>
      <c r="X179" s="135"/>
      <c r="Y179" s="157">
        <f t="shared" ref="Y179:Y195" si="57">O179-W179</f>
        <v>27312.736552000017</v>
      </c>
    </row>
    <row r="180" spans="1:25" x14ac:dyDescent="0.2">
      <c r="A180" s="26"/>
      <c r="B180" s="27"/>
      <c r="C180" s="58" t="s">
        <v>114</v>
      </c>
      <c r="D180" s="27"/>
      <c r="E180" s="20" t="s">
        <v>142</v>
      </c>
      <c r="F180" s="20" t="s">
        <v>64</v>
      </c>
      <c r="G180" s="19">
        <v>-5</v>
      </c>
      <c r="H180" s="27"/>
      <c r="I180" s="29">
        <v>3588684.24</v>
      </c>
      <c r="J180" s="44"/>
      <c r="K180" s="45">
        <v>1130371</v>
      </c>
      <c r="L180" s="45"/>
      <c r="M180" s="45">
        <v>2637747</v>
      </c>
      <c r="N180" s="45"/>
      <c r="O180" s="45">
        <v>138671</v>
      </c>
      <c r="P180" s="27"/>
      <c r="Q180" s="116">
        <f t="shared" si="54"/>
        <v>3.86</v>
      </c>
      <c r="S180" s="117">
        <f t="shared" si="55"/>
        <v>19</v>
      </c>
      <c r="T180" s="32"/>
      <c r="U180" s="120">
        <v>3.1199999999999999E-2</v>
      </c>
      <c r="W180" s="145">
        <f t="shared" si="56"/>
        <v>111966.948288</v>
      </c>
      <c r="X180" s="135"/>
      <c r="Y180" s="157">
        <f t="shared" si="57"/>
        <v>26704.051712</v>
      </c>
    </row>
    <row r="181" spans="1:25" x14ac:dyDescent="0.2">
      <c r="A181" s="26"/>
      <c r="B181" s="27"/>
      <c r="C181" s="58" t="s">
        <v>115</v>
      </c>
      <c r="D181" s="27"/>
      <c r="E181" s="20" t="s">
        <v>142</v>
      </c>
      <c r="F181" s="20" t="s">
        <v>64</v>
      </c>
      <c r="G181" s="19">
        <v>-5</v>
      </c>
      <c r="H181" s="27"/>
      <c r="I181" s="29">
        <v>3559154.97</v>
      </c>
      <c r="J181" s="44"/>
      <c r="K181" s="45">
        <v>909260</v>
      </c>
      <c r="L181" s="45"/>
      <c r="M181" s="45">
        <v>2827853</v>
      </c>
      <c r="N181" s="45"/>
      <c r="O181" s="45">
        <v>135304</v>
      </c>
      <c r="P181" s="27"/>
      <c r="Q181" s="116">
        <f t="shared" si="54"/>
        <v>3.8</v>
      </c>
      <c r="S181" s="117">
        <f t="shared" si="55"/>
        <v>20.9</v>
      </c>
      <c r="T181" s="32"/>
      <c r="U181" s="120">
        <v>3.32E-2</v>
      </c>
      <c r="W181" s="145">
        <f t="shared" si="56"/>
        <v>118163.94500400001</v>
      </c>
      <c r="X181" s="135"/>
      <c r="Y181" s="157">
        <f t="shared" si="57"/>
        <v>17140.054995999992</v>
      </c>
    </row>
    <row r="182" spans="1:25" x14ac:dyDescent="0.2">
      <c r="A182" s="26"/>
      <c r="B182" s="27"/>
      <c r="C182" s="58" t="s">
        <v>116</v>
      </c>
      <c r="D182" s="27"/>
      <c r="E182" s="20" t="s">
        <v>142</v>
      </c>
      <c r="F182" s="20" t="s">
        <v>64</v>
      </c>
      <c r="G182" s="19">
        <v>-5</v>
      </c>
      <c r="H182" s="27"/>
      <c r="I182" s="29">
        <v>3548851.71</v>
      </c>
      <c r="J182" s="44"/>
      <c r="K182" s="45">
        <v>906628</v>
      </c>
      <c r="L182" s="45"/>
      <c r="M182" s="45">
        <v>2819666</v>
      </c>
      <c r="N182" s="45"/>
      <c r="O182" s="45">
        <v>134912</v>
      </c>
      <c r="P182" s="27"/>
      <c r="Q182" s="116">
        <f t="shared" si="54"/>
        <v>3.8</v>
      </c>
      <c r="S182" s="117">
        <f t="shared" si="55"/>
        <v>20.9</v>
      </c>
      <c r="T182" s="32"/>
      <c r="U182" s="120">
        <v>3.32E-2</v>
      </c>
      <c r="W182" s="145">
        <f t="shared" si="56"/>
        <v>117821.876772</v>
      </c>
      <c r="X182" s="135"/>
      <c r="Y182" s="157">
        <f t="shared" si="57"/>
        <v>17090.123227999997</v>
      </c>
    </row>
    <row r="183" spans="1:25" x14ac:dyDescent="0.2">
      <c r="A183" s="26"/>
      <c r="B183" s="27"/>
      <c r="C183" s="58" t="s">
        <v>117</v>
      </c>
      <c r="D183" s="27"/>
      <c r="E183" s="20" t="s">
        <v>142</v>
      </c>
      <c r="F183" s="20" t="s">
        <v>64</v>
      </c>
      <c r="G183" s="19">
        <v>-5</v>
      </c>
      <c r="H183" s="27"/>
      <c r="I183" s="29">
        <v>3655976.41</v>
      </c>
      <c r="J183" s="44"/>
      <c r="K183" s="45">
        <v>923545</v>
      </c>
      <c r="L183" s="45"/>
      <c r="M183" s="45">
        <v>2915230</v>
      </c>
      <c r="N183" s="45"/>
      <c r="O183" s="45">
        <v>139485</v>
      </c>
      <c r="P183" s="27"/>
      <c r="Q183" s="116">
        <f t="shared" si="54"/>
        <v>3.82</v>
      </c>
      <c r="S183" s="117">
        <f t="shared" si="55"/>
        <v>20.9</v>
      </c>
      <c r="T183" s="32"/>
      <c r="U183" s="120">
        <v>3.32E-2</v>
      </c>
      <c r="W183" s="145">
        <f t="shared" si="56"/>
        <v>121378.41681200001</v>
      </c>
      <c r="X183" s="135"/>
      <c r="Y183" s="157">
        <f t="shared" si="57"/>
        <v>18106.58318799999</v>
      </c>
    </row>
    <row r="184" spans="1:25" x14ac:dyDescent="0.2">
      <c r="A184" s="26"/>
      <c r="B184" s="27"/>
      <c r="C184" s="58" t="s">
        <v>118</v>
      </c>
      <c r="D184" s="27"/>
      <c r="E184" s="20" t="s">
        <v>142</v>
      </c>
      <c r="F184" s="20" t="s">
        <v>64</v>
      </c>
      <c r="G184" s="19">
        <v>-5</v>
      </c>
      <c r="H184" s="27"/>
      <c r="I184" s="29">
        <v>3653029.99</v>
      </c>
      <c r="J184" s="44"/>
      <c r="K184" s="45">
        <v>922801</v>
      </c>
      <c r="L184" s="45"/>
      <c r="M184" s="45">
        <v>2912880</v>
      </c>
      <c r="N184" s="45"/>
      <c r="O184" s="45">
        <v>139372</v>
      </c>
      <c r="P184" s="27"/>
      <c r="Q184" s="116">
        <f t="shared" si="54"/>
        <v>3.82</v>
      </c>
      <c r="S184" s="117">
        <f t="shared" si="55"/>
        <v>20.9</v>
      </c>
      <c r="T184" s="32"/>
      <c r="U184" s="120">
        <v>3.32E-2</v>
      </c>
      <c r="W184" s="145">
        <f t="shared" si="56"/>
        <v>121280.59566800001</v>
      </c>
      <c r="X184" s="135"/>
      <c r="Y184" s="157">
        <f t="shared" si="57"/>
        <v>18091.404331999991</v>
      </c>
    </row>
    <row r="185" spans="1:25" x14ac:dyDescent="0.2">
      <c r="A185" s="26"/>
      <c r="B185" s="27"/>
      <c r="C185" s="58" t="s">
        <v>119</v>
      </c>
      <c r="D185" s="27"/>
      <c r="E185" s="20" t="s">
        <v>142</v>
      </c>
      <c r="F185" s="20" t="s">
        <v>64</v>
      </c>
      <c r="G185" s="19">
        <v>-5</v>
      </c>
      <c r="H185" s="27"/>
      <c r="I185" s="29">
        <v>775081.85</v>
      </c>
      <c r="J185" s="44"/>
      <c r="K185" s="45">
        <v>270065</v>
      </c>
      <c r="L185" s="45"/>
      <c r="M185" s="45">
        <v>543771</v>
      </c>
      <c r="N185" s="45"/>
      <c r="O185" s="45">
        <v>30044</v>
      </c>
      <c r="P185" s="27"/>
      <c r="Q185" s="116">
        <f t="shared" si="54"/>
        <v>3.88</v>
      </c>
      <c r="S185" s="117">
        <f t="shared" si="55"/>
        <v>18.100000000000001</v>
      </c>
      <c r="T185" s="32"/>
      <c r="U185" s="120">
        <v>3.04E-2</v>
      </c>
      <c r="W185" s="145">
        <f t="shared" si="56"/>
        <v>23562.488239999999</v>
      </c>
      <c r="X185" s="135"/>
      <c r="Y185" s="157">
        <f t="shared" si="57"/>
        <v>6481.5117600000012</v>
      </c>
    </row>
    <row r="186" spans="1:25" x14ac:dyDescent="0.2">
      <c r="A186" s="26"/>
      <c r="B186" s="27"/>
      <c r="C186" s="58" t="s">
        <v>120</v>
      </c>
      <c r="D186" s="27"/>
      <c r="E186" s="20" t="s">
        <v>142</v>
      </c>
      <c r="F186" s="20" t="s">
        <v>64</v>
      </c>
      <c r="G186" s="19">
        <v>-5</v>
      </c>
      <c r="H186" s="27"/>
      <c r="I186" s="29">
        <v>192814.02</v>
      </c>
      <c r="J186" s="44"/>
      <c r="K186" s="45">
        <v>67757</v>
      </c>
      <c r="L186" s="45"/>
      <c r="M186" s="45">
        <v>134698</v>
      </c>
      <c r="N186" s="45"/>
      <c r="O186" s="45">
        <v>8200</v>
      </c>
      <c r="P186" s="27"/>
      <c r="Q186" s="116">
        <f t="shared" si="54"/>
        <v>4.25</v>
      </c>
      <c r="S186" s="117">
        <f t="shared" si="55"/>
        <v>16.399999999999999</v>
      </c>
      <c r="T186" s="32"/>
      <c r="U186" s="120">
        <v>3.0499999999999999E-2</v>
      </c>
      <c r="W186" s="145">
        <f t="shared" si="56"/>
        <v>5880.8276099999994</v>
      </c>
      <c r="X186" s="135"/>
      <c r="Y186" s="157">
        <f t="shared" si="57"/>
        <v>2319.1723900000006</v>
      </c>
    </row>
    <row r="187" spans="1:25" x14ac:dyDescent="0.2">
      <c r="A187" s="26"/>
      <c r="B187" s="27"/>
      <c r="C187" s="58" t="s">
        <v>121</v>
      </c>
      <c r="D187" s="27"/>
      <c r="E187" s="20" t="s">
        <v>142</v>
      </c>
      <c r="F187" s="20" t="s">
        <v>64</v>
      </c>
      <c r="G187" s="19">
        <v>-5</v>
      </c>
      <c r="H187" s="27"/>
      <c r="I187" s="29">
        <v>544965.97</v>
      </c>
      <c r="J187" s="44"/>
      <c r="K187" s="45">
        <v>207252</v>
      </c>
      <c r="L187" s="45"/>
      <c r="M187" s="45">
        <v>364962</v>
      </c>
      <c r="N187" s="45"/>
      <c r="O187" s="45">
        <v>22379</v>
      </c>
      <c r="P187" s="27"/>
      <c r="Q187" s="116">
        <f t="shared" si="54"/>
        <v>4.1100000000000003</v>
      </c>
      <c r="S187" s="117">
        <f t="shared" si="55"/>
        <v>16.3</v>
      </c>
      <c r="T187" s="32"/>
      <c r="U187" s="120">
        <v>2.93E-2</v>
      </c>
      <c r="W187" s="145">
        <f t="shared" si="56"/>
        <v>15967.502920999999</v>
      </c>
      <c r="X187" s="135"/>
      <c r="Y187" s="157">
        <f t="shared" si="57"/>
        <v>6411.4970790000007</v>
      </c>
    </row>
    <row r="188" spans="1:25" x14ac:dyDescent="0.2">
      <c r="A188" s="26"/>
      <c r="B188" s="27"/>
      <c r="C188" s="58" t="s">
        <v>122</v>
      </c>
      <c r="D188" s="27"/>
      <c r="E188" s="20" t="s">
        <v>142</v>
      </c>
      <c r="F188" s="20" t="s">
        <v>64</v>
      </c>
      <c r="G188" s="19">
        <v>-5</v>
      </c>
      <c r="H188" s="27"/>
      <c r="I188" s="29">
        <v>2012654.95</v>
      </c>
      <c r="J188" s="44"/>
      <c r="K188" s="45">
        <v>1151811</v>
      </c>
      <c r="L188" s="45"/>
      <c r="M188" s="45">
        <v>961477</v>
      </c>
      <c r="N188" s="45"/>
      <c r="O188" s="45">
        <v>76440</v>
      </c>
      <c r="P188" s="27"/>
      <c r="Q188" s="116">
        <f t="shared" si="54"/>
        <v>3.8</v>
      </c>
      <c r="S188" s="117">
        <f t="shared" si="55"/>
        <v>12.6</v>
      </c>
      <c r="T188" s="32"/>
      <c r="U188" s="120">
        <v>2.5999999999999999E-2</v>
      </c>
      <c r="W188" s="145">
        <f t="shared" si="56"/>
        <v>52329.028699999995</v>
      </c>
      <c r="X188" s="135"/>
      <c r="Y188" s="157">
        <f t="shared" si="57"/>
        <v>24110.971300000005</v>
      </c>
    </row>
    <row r="189" spans="1:25" x14ac:dyDescent="0.2">
      <c r="A189" s="26"/>
      <c r="B189" s="27"/>
      <c r="C189" s="58" t="s">
        <v>123</v>
      </c>
      <c r="D189" s="27"/>
      <c r="E189" s="20" t="s">
        <v>142</v>
      </c>
      <c r="F189" s="20" t="s">
        <v>64</v>
      </c>
      <c r="G189" s="19">
        <v>-5</v>
      </c>
      <c r="H189" s="27"/>
      <c r="I189" s="29">
        <v>4641054.8600000003</v>
      </c>
      <c r="J189" s="44"/>
      <c r="K189" s="45">
        <v>2628903</v>
      </c>
      <c r="L189" s="45"/>
      <c r="M189" s="45">
        <v>2244205</v>
      </c>
      <c r="N189" s="45"/>
      <c r="O189" s="45">
        <v>130408</v>
      </c>
      <c r="P189" s="27"/>
      <c r="Q189" s="116">
        <f t="shared" si="54"/>
        <v>2.81</v>
      </c>
      <c r="S189" s="117">
        <f t="shared" si="55"/>
        <v>17.2</v>
      </c>
      <c r="T189" s="32"/>
      <c r="U189" s="120">
        <v>2.5999999999999999E-2</v>
      </c>
      <c r="W189" s="145">
        <f t="shared" si="56"/>
        <v>120667.42636</v>
      </c>
      <c r="X189" s="135"/>
      <c r="Y189" s="157">
        <f t="shared" si="57"/>
        <v>9740.5736400000023</v>
      </c>
    </row>
    <row r="190" spans="1:25" x14ac:dyDescent="0.2">
      <c r="A190" s="26"/>
      <c r="B190" s="27"/>
      <c r="C190" s="58" t="s">
        <v>124</v>
      </c>
      <c r="D190" s="27"/>
      <c r="E190" s="20" t="s">
        <v>142</v>
      </c>
      <c r="F190" s="20" t="s">
        <v>64</v>
      </c>
      <c r="G190" s="19">
        <v>-5</v>
      </c>
      <c r="H190" s="27"/>
      <c r="I190" s="29">
        <v>1865718.2</v>
      </c>
      <c r="J190" s="44"/>
      <c r="K190" s="45">
        <v>995177</v>
      </c>
      <c r="L190" s="45"/>
      <c r="M190" s="45">
        <v>963827</v>
      </c>
      <c r="N190" s="45"/>
      <c r="O190" s="45">
        <v>55973</v>
      </c>
      <c r="P190" s="27"/>
      <c r="Q190" s="116">
        <f t="shared" si="54"/>
        <v>3</v>
      </c>
      <c r="S190" s="117">
        <f t="shared" si="55"/>
        <v>17.2</v>
      </c>
      <c r="T190" s="32"/>
      <c r="U190" s="120">
        <v>2.6100000000000002E-2</v>
      </c>
      <c r="W190" s="145">
        <f t="shared" si="56"/>
        <v>48695.245020000002</v>
      </c>
      <c r="X190" s="135"/>
      <c r="Y190" s="157">
        <f t="shared" si="57"/>
        <v>7277.7549799999979</v>
      </c>
    </row>
    <row r="191" spans="1:25" x14ac:dyDescent="0.2">
      <c r="A191" s="26"/>
      <c r="B191" s="27"/>
      <c r="C191" s="58" t="s">
        <v>125</v>
      </c>
      <c r="D191" s="27"/>
      <c r="E191" s="20" t="s">
        <v>142</v>
      </c>
      <c r="F191" s="20" t="s">
        <v>64</v>
      </c>
      <c r="G191" s="19">
        <v>-5</v>
      </c>
      <c r="H191" s="27"/>
      <c r="I191" s="29">
        <v>1895013.5</v>
      </c>
      <c r="J191" s="44"/>
      <c r="K191" s="45">
        <v>960868</v>
      </c>
      <c r="L191" s="45"/>
      <c r="M191" s="45">
        <v>1028896</v>
      </c>
      <c r="N191" s="45"/>
      <c r="O191" s="45">
        <v>75771</v>
      </c>
      <c r="P191" s="27"/>
      <c r="Q191" s="116">
        <f t="shared" si="54"/>
        <v>4</v>
      </c>
      <c r="S191" s="117">
        <f t="shared" si="55"/>
        <v>13.6</v>
      </c>
      <c r="T191" s="32"/>
      <c r="U191" s="120">
        <v>2.7199999999999998E-2</v>
      </c>
      <c r="W191" s="145">
        <f t="shared" si="56"/>
        <v>51544.367200000001</v>
      </c>
      <c r="X191" s="135"/>
      <c r="Y191" s="157">
        <f t="shared" si="57"/>
        <v>24226.632799999999</v>
      </c>
    </row>
    <row r="192" spans="1:25" x14ac:dyDescent="0.2">
      <c r="A192" s="26"/>
      <c r="B192" s="27"/>
      <c r="C192" s="58" t="s">
        <v>126</v>
      </c>
      <c r="D192" s="27"/>
      <c r="E192" s="20" t="s">
        <v>142</v>
      </c>
      <c r="F192" s="20" t="s">
        <v>64</v>
      </c>
      <c r="G192" s="19">
        <v>-5</v>
      </c>
      <c r="H192" s="27"/>
      <c r="I192" s="29">
        <v>434853.46</v>
      </c>
      <c r="J192" s="44"/>
      <c r="K192" s="45">
        <v>87070</v>
      </c>
      <c r="L192" s="45"/>
      <c r="M192" s="45">
        <v>369526</v>
      </c>
      <c r="N192" s="45"/>
      <c r="O192" s="45">
        <v>44528</v>
      </c>
      <c r="P192" s="27"/>
      <c r="Q192" s="116">
        <f t="shared" si="54"/>
        <v>10.24</v>
      </c>
      <c r="S192" s="117">
        <f t="shared" si="55"/>
        <v>8.3000000000000007</v>
      </c>
      <c r="T192" s="32"/>
      <c r="U192" s="120">
        <v>6.4699999999999994E-2</v>
      </c>
      <c r="W192" s="145">
        <f t="shared" si="56"/>
        <v>28135.018861999997</v>
      </c>
      <c r="X192" s="135"/>
      <c r="Y192" s="157">
        <f t="shared" si="57"/>
        <v>16392.981138000003</v>
      </c>
    </row>
    <row r="193" spans="1:25" x14ac:dyDescent="0.2">
      <c r="A193" s="26"/>
      <c r="B193" s="27"/>
      <c r="C193" s="58" t="s">
        <v>127</v>
      </c>
      <c r="D193" s="27"/>
      <c r="E193" s="20" t="s">
        <v>142</v>
      </c>
      <c r="F193" s="20" t="s">
        <v>64</v>
      </c>
      <c r="G193" s="19">
        <v>-5</v>
      </c>
      <c r="H193" s="27"/>
      <c r="I193" s="47">
        <v>1910327.76</v>
      </c>
      <c r="J193" s="44"/>
      <c r="K193" s="45">
        <v>665405</v>
      </c>
      <c r="L193" s="45"/>
      <c r="M193" s="45">
        <v>1340439</v>
      </c>
      <c r="N193" s="45"/>
      <c r="O193" s="45">
        <v>74097</v>
      </c>
      <c r="P193" s="27"/>
      <c r="Q193" s="116">
        <f t="shared" si="54"/>
        <v>3.88</v>
      </c>
      <c r="S193" s="117">
        <f t="shared" si="55"/>
        <v>18.100000000000001</v>
      </c>
      <c r="T193" s="32"/>
      <c r="U193" s="120">
        <v>3.0300000000000001E-2</v>
      </c>
      <c r="W193" s="158">
        <f t="shared" si="56"/>
        <v>57882.931128000004</v>
      </c>
      <c r="X193" s="135"/>
      <c r="Y193" s="159">
        <f t="shared" si="57"/>
        <v>16214.068871999996</v>
      </c>
    </row>
    <row r="194" spans="1:25" x14ac:dyDescent="0.2">
      <c r="A194" s="26"/>
      <c r="B194" s="27"/>
      <c r="C194" s="46"/>
      <c r="D194" s="27"/>
      <c r="E194" s="20"/>
      <c r="F194" s="20"/>
      <c r="G194" s="19"/>
      <c r="H194" s="27"/>
      <c r="I194" s="29"/>
      <c r="J194" s="27"/>
      <c r="K194" s="49"/>
      <c r="L194" s="34"/>
      <c r="M194" s="49"/>
      <c r="N194" s="34"/>
      <c r="O194" s="49"/>
      <c r="P194" s="27"/>
      <c r="Q194" s="26"/>
      <c r="R194" s="27"/>
      <c r="S194" s="62"/>
      <c r="T194" s="32"/>
      <c r="U194" s="120"/>
      <c r="X194" s="135"/>
    </row>
    <row r="195" spans="1:25" x14ac:dyDescent="0.2">
      <c r="A195" s="26"/>
      <c r="B195" s="27"/>
      <c r="C195" s="65" t="s">
        <v>36</v>
      </c>
      <c r="D195" s="27"/>
      <c r="E195" s="20"/>
      <c r="F195" s="20"/>
      <c r="G195" s="19"/>
      <c r="H195" s="27"/>
      <c r="I195" s="29">
        <f>+SUBTOTAL(9,I179:I194)</f>
        <v>36018413.209999993</v>
      </c>
      <c r="J195" s="27"/>
      <c r="K195" s="34">
        <f>+SUBTOTAL(9,K179:K194)</f>
        <v>12997862</v>
      </c>
      <c r="L195" s="34"/>
      <c r="M195" s="34">
        <f>+SUBTOTAL(9,M179:M194)</f>
        <v>24821471</v>
      </c>
      <c r="N195" s="34"/>
      <c r="O195" s="34">
        <f>+SUBTOTAL(9,O179:O194)</f>
        <v>1350340</v>
      </c>
      <c r="P195" s="27"/>
      <c r="Q195" s="116">
        <f>IF(O195/I195*100=0,"-     ",ROUND(O195/I195*100,2))</f>
        <v>3.75</v>
      </c>
      <c r="S195" s="117">
        <f t="shared" ref="S195" si="58">IF(O195=0,"-     ",ROUND(M195/O195,1))</f>
        <v>18.399999999999999</v>
      </c>
      <c r="T195" s="32"/>
      <c r="U195" s="120"/>
      <c r="W195" s="118">
        <f>+SUBTOTAL(9,W179:W194)</f>
        <v>1112719.882033</v>
      </c>
      <c r="X195" s="135"/>
      <c r="Y195" s="157">
        <f t="shared" si="57"/>
        <v>237620.117967</v>
      </c>
    </row>
    <row r="196" spans="1:25" x14ac:dyDescent="0.2">
      <c r="A196" s="26"/>
      <c r="B196" s="27"/>
      <c r="C196" s="46"/>
      <c r="D196" s="27"/>
      <c r="E196" s="20"/>
      <c r="F196" s="20"/>
      <c r="G196" s="19"/>
      <c r="H196" s="27"/>
      <c r="I196" s="29"/>
      <c r="J196" s="27"/>
      <c r="K196" s="34"/>
      <c r="L196" s="34"/>
      <c r="M196" s="34"/>
      <c r="N196" s="34"/>
      <c r="O196" s="34"/>
      <c r="P196" s="27"/>
      <c r="Q196" s="26"/>
      <c r="R196" s="27"/>
      <c r="S196" s="62"/>
      <c r="T196" s="32"/>
      <c r="U196" s="120"/>
      <c r="X196" s="135"/>
    </row>
    <row r="197" spans="1:25" x14ac:dyDescent="0.2">
      <c r="A197" s="26">
        <v>342</v>
      </c>
      <c r="B197" s="27"/>
      <c r="C197" s="27" t="s">
        <v>88</v>
      </c>
      <c r="D197" s="27"/>
      <c r="E197" s="56"/>
      <c r="F197" s="56"/>
      <c r="G197" s="66"/>
      <c r="H197" s="27"/>
      <c r="I197" s="29"/>
      <c r="J197" s="27"/>
      <c r="K197" s="34"/>
      <c r="L197" s="34"/>
      <c r="M197" s="34"/>
      <c r="N197" s="34"/>
      <c r="O197" s="34"/>
      <c r="P197" s="27"/>
      <c r="Q197" s="26"/>
      <c r="R197" s="27"/>
      <c r="S197" s="62"/>
      <c r="T197" s="32"/>
      <c r="U197" s="120"/>
      <c r="X197" s="135"/>
    </row>
    <row r="198" spans="1:25" x14ac:dyDescent="0.2">
      <c r="A198" s="26"/>
      <c r="B198" s="27"/>
      <c r="C198" s="58" t="s">
        <v>113</v>
      </c>
      <c r="D198" s="27"/>
      <c r="E198" s="20" t="s">
        <v>143</v>
      </c>
      <c r="F198" s="20" t="s">
        <v>64</v>
      </c>
      <c r="G198" s="19">
        <v>-5</v>
      </c>
      <c r="H198" s="27"/>
      <c r="I198" s="29">
        <v>239584.43</v>
      </c>
      <c r="J198" s="44"/>
      <c r="K198" s="45">
        <v>76081</v>
      </c>
      <c r="L198" s="45"/>
      <c r="M198" s="45">
        <v>175483</v>
      </c>
      <c r="N198" s="45"/>
      <c r="O198" s="45">
        <v>9049</v>
      </c>
      <c r="P198" s="27"/>
      <c r="Q198" s="116">
        <f t="shared" ref="Q198:Q214" si="59">IF(O198/I198*100=0,"-     ",ROUND(O198/I198*100,2))</f>
        <v>3.78</v>
      </c>
      <c r="S198" s="117">
        <f t="shared" ref="S198:S214" si="60">IF(O198=0,"-     ",ROUND(M198/O198,1))</f>
        <v>19.399999999999999</v>
      </c>
      <c r="T198" s="32"/>
      <c r="U198" s="120">
        <v>3.2099999999999997E-2</v>
      </c>
      <c r="W198" s="145">
        <f t="shared" ref="W198:W214" si="61">I198*U198</f>
        <v>7690.6602029999985</v>
      </c>
      <c r="X198" s="135"/>
      <c r="Y198" s="157">
        <f t="shared" ref="Y198:Y216" si="62">O198-W198</f>
        <v>1358.3397970000015</v>
      </c>
    </row>
    <row r="199" spans="1:25" x14ac:dyDescent="0.2">
      <c r="A199" s="26"/>
      <c r="B199" s="27"/>
      <c r="C199" s="58" t="s">
        <v>114</v>
      </c>
      <c r="D199" s="27"/>
      <c r="E199" s="20" t="s">
        <v>143</v>
      </c>
      <c r="F199" s="20" t="s">
        <v>64</v>
      </c>
      <c r="G199" s="19">
        <v>-5</v>
      </c>
      <c r="H199" s="27"/>
      <c r="I199" s="29">
        <v>239245.54</v>
      </c>
      <c r="J199" s="44"/>
      <c r="K199" s="45">
        <v>75986</v>
      </c>
      <c r="L199" s="45"/>
      <c r="M199" s="45">
        <v>175222</v>
      </c>
      <c r="N199" s="45"/>
      <c r="O199" s="45">
        <v>9036</v>
      </c>
      <c r="P199" s="27"/>
      <c r="Q199" s="116">
        <f t="shared" si="59"/>
        <v>3.78</v>
      </c>
      <c r="S199" s="117">
        <f t="shared" si="60"/>
        <v>19.399999999999999</v>
      </c>
      <c r="T199" s="32"/>
      <c r="U199" s="120">
        <v>3.2099999999999997E-2</v>
      </c>
      <c r="W199" s="145">
        <f t="shared" si="61"/>
        <v>7679.7818339999994</v>
      </c>
      <c r="X199" s="135"/>
      <c r="Y199" s="157">
        <f t="shared" si="62"/>
        <v>1356.2181660000006</v>
      </c>
    </row>
    <row r="200" spans="1:25" x14ac:dyDescent="0.2">
      <c r="A200" s="26"/>
      <c r="B200" s="27"/>
      <c r="C200" s="63" t="s">
        <v>189</v>
      </c>
      <c r="D200" s="27"/>
      <c r="E200" s="20" t="s">
        <v>143</v>
      </c>
      <c r="F200" s="20" t="s">
        <v>64</v>
      </c>
      <c r="G200" s="19">
        <v>-5</v>
      </c>
      <c r="H200" s="27"/>
      <c r="I200" s="29">
        <v>4850114.7300000004</v>
      </c>
      <c r="J200" s="44"/>
      <c r="K200" s="45">
        <v>1572837</v>
      </c>
      <c r="L200" s="45"/>
      <c r="M200" s="45">
        <v>3519783</v>
      </c>
      <c r="N200" s="45"/>
      <c r="O200" s="45">
        <v>166771</v>
      </c>
      <c r="P200" s="27"/>
      <c r="Q200" s="116">
        <f t="shared" si="59"/>
        <v>3.44</v>
      </c>
      <c r="S200" s="117">
        <f t="shared" si="60"/>
        <v>21.1</v>
      </c>
      <c r="T200" s="32"/>
      <c r="U200" s="120">
        <v>3.2300000000000002E-2</v>
      </c>
      <c r="W200" s="145">
        <f t="shared" si="61"/>
        <v>156658.70577900004</v>
      </c>
      <c r="X200" s="135"/>
      <c r="Y200" s="157">
        <f t="shared" si="62"/>
        <v>10112.29422099996</v>
      </c>
    </row>
    <row r="201" spans="1:25" x14ac:dyDescent="0.2">
      <c r="A201" s="26"/>
      <c r="B201" s="27"/>
      <c r="C201" s="58" t="s">
        <v>115</v>
      </c>
      <c r="D201" s="27"/>
      <c r="E201" s="20" t="s">
        <v>143</v>
      </c>
      <c r="F201" s="20" t="s">
        <v>64</v>
      </c>
      <c r="G201" s="19">
        <v>-5</v>
      </c>
      <c r="H201" s="27"/>
      <c r="I201" s="29">
        <v>578059.38</v>
      </c>
      <c r="J201" s="44"/>
      <c r="K201" s="45">
        <v>149364</v>
      </c>
      <c r="L201" s="45"/>
      <c r="M201" s="45">
        <v>457598</v>
      </c>
      <c r="N201" s="45"/>
      <c r="O201" s="45">
        <v>21494</v>
      </c>
      <c r="P201" s="27"/>
      <c r="Q201" s="116">
        <f t="shared" si="59"/>
        <v>3.72</v>
      </c>
      <c r="S201" s="117">
        <f t="shared" si="60"/>
        <v>21.3</v>
      </c>
      <c r="T201" s="32"/>
      <c r="U201" s="120">
        <v>3.4200000000000001E-2</v>
      </c>
      <c r="W201" s="145">
        <f t="shared" si="61"/>
        <v>19769.630796000001</v>
      </c>
      <c r="X201" s="135"/>
      <c r="Y201" s="157">
        <f t="shared" si="62"/>
        <v>1724.3692039999987</v>
      </c>
    </row>
    <row r="202" spans="1:25" x14ac:dyDescent="0.2">
      <c r="A202" s="26"/>
      <c r="B202" s="27"/>
      <c r="C202" s="58" t="s">
        <v>116</v>
      </c>
      <c r="D202" s="27"/>
      <c r="E202" s="20" t="s">
        <v>143</v>
      </c>
      <c r="F202" s="20" t="s">
        <v>64</v>
      </c>
      <c r="G202" s="19">
        <v>-5</v>
      </c>
      <c r="H202" s="27"/>
      <c r="I202" s="29">
        <v>576385.74</v>
      </c>
      <c r="J202" s="44"/>
      <c r="K202" s="45">
        <v>148931</v>
      </c>
      <c r="L202" s="45"/>
      <c r="M202" s="45">
        <v>456274</v>
      </c>
      <c r="N202" s="45"/>
      <c r="O202" s="45">
        <v>21431</v>
      </c>
      <c r="P202" s="27"/>
      <c r="Q202" s="116">
        <f t="shared" si="59"/>
        <v>3.72</v>
      </c>
      <c r="S202" s="117">
        <f t="shared" si="60"/>
        <v>21.3</v>
      </c>
      <c r="T202" s="32"/>
      <c r="U202" s="120">
        <v>3.4200000000000001E-2</v>
      </c>
      <c r="W202" s="145">
        <f t="shared" si="61"/>
        <v>19712.392307999999</v>
      </c>
      <c r="X202" s="135"/>
      <c r="Y202" s="157">
        <f t="shared" si="62"/>
        <v>1718.6076920000014</v>
      </c>
    </row>
    <row r="203" spans="1:25" x14ac:dyDescent="0.2">
      <c r="A203" s="26"/>
      <c r="B203" s="27"/>
      <c r="C203" s="58" t="s">
        <v>117</v>
      </c>
      <c r="D203" s="27"/>
      <c r="E203" s="20" t="s">
        <v>143</v>
      </c>
      <c r="F203" s="20" t="s">
        <v>64</v>
      </c>
      <c r="G203" s="19">
        <v>-5</v>
      </c>
      <c r="H203" s="27"/>
      <c r="I203" s="29">
        <v>593786.01</v>
      </c>
      <c r="J203" s="44"/>
      <c r="K203" s="45">
        <v>151730</v>
      </c>
      <c r="L203" s="45"/>
      <c r="M203" s="45">
        <v>471745</v>
      </c>
      <c r="N203" s="45"/>
      <c r="O203" s="45">
        <v>22158</v>
      </c>
      <c r="P203" s="27"/>
      <c r="Q203" s="116">
        <f t="shared" si="59"/>
        <v>3.73</v>
      </c>
      <c r="S203" s="117">
        <f t="shared" si="60"/>
        <v>21.3</v>
      </c>
      <c r="T203" s="32"/>
      <c r="U203" s="120">
        <v>3.4200000000000001E-2</v>
      </c>
      <c r="W203" s="145">
        <f t="shared" si="61"/>
        <v>20307.481542000001</v>
      </c>
      <c r="X203" s="135"/>
      <c r="Y203" s="157">
        <f t="shared" si="62"/>
        <v>1850.5184579999986</v>
      </c>
    </row>
    <row r="204" spans="1:25" x14ac:dyDescent="0.2">
      <c r="A204" s="26"/>
      <c r="B204" s="27"/>
      <c r="C204" s="58" t="s">
        <v>118</v>
      </c>
      <c r="D204" s="27"/>
      <c r="E204" s="20" t="s">
        <v>143</v>
      </c>
      <c r="F204" s="20" t="s">
        <v>64</v>
      </c>
      <c r="G204" s="19">
        <v>-5</v>
      </c>
      <c r="H204" s="27"/>
      <c r="I204" s="29">
        <v>622872.6</v>
      </c>
      <c r="J204" s="44"/>
      <c r="K204" s="45">
        <v>157134</v>
      </c>
      <c r="L204" s="45"/>
      <c r="M204" s="45">
        <v>496882</v>
      </c>
      <c r="N204" s="45"/>
      <c r="O204" s="45">
        <v>23324</v>
      </c>
      <c r="P204" s="27"/>
      <c r="Q204" s="116">
        <f t="shared" si="59"/>
        <v>3.74</v>
      </c>
      <c r="S204" s="117">
        <f t="shared" si="60"/>
        <v>21.3</v>
      </c>
      <c r="T204" s="32"/>
      <c r="U204" s="120">
        <v>3.4200000000000001E-2</v>
      </c>
      <c r="W204" s="145">
        <f t="shared" si="61"/>
        <v>21302.242920000001</v>
      </c>
      <c r="X204" s="135"/>
      <c r="Y204" s="157">
        <f t="shared" si="62"/>
        <v>2021.7570799999994</v>
      </c>
    </row>
    <row r="205" spans="1:25" x14ac:dyDescent="0.2">
      <c r="A205" s="26"/>
      <c r="B205" s="27"/>
      <c r="C205" s="58" t="s">
        <v>119</v>
      </c>
      <c r="D205" s="27"/>
      <c r="E205" s="20" t="s">
        <v>143</v>
      </c>
      <c r="F205" s="20" t="s">
        <v>64</v>
      </c>
      <c r="G205" s="19">
        <v>-5</v>
      </c>
      <c r="H205" s="27"/>
      <c r="I205" s="29">
        <v>795787.89</v>
      </c>
      <c r="J205" s="44"/>
      <c r="K205" s="45">
        <v>126367</v>
      </c>
      <c r="L205" s="45"/>
      <c r="M205" s="45">
        <v>709210</v>
      </c>
      <c r="N205" s="45"/>
      <c r="O205" s="45">
        <v>38072</v>
      </c>
      <c r="P205" s="27"/>
      <c r="Q205" s="116">
        <f t="shared" si="59"/>
        <v>4.78</v>
      </c>
      <c r="S205" s="117">
        <f t="shared" si="60"/>
        <v>18.600000000000001</v>
      </c>
      <c r="T205" s="32"/>
      <c r="U205" s="120">
        <v>3.1099999999999999E-2</v>
      </c>
      <c r="W205" s="145">
        <f t="shared" si="61"/>
        <v>24749.003379000002</v>
      </c>
      <c r="X205" s="135"/>
      <c r="Y205" s="157">
        <f t="shared" si="62"/>
        <v>13322.996620999998</v>
      </c>
    </row>
    <row r="206" spans="1:25" x14ac:dyDescent="0.2">
      <c r="A206" s="26"/>
      <c r="B206" s="27"/>
      <c r="C206" s="58" t="s">
        <v>120</v>
      </c>
      <c r="D206" s="27"/>
      <c r="E206" s="20" t="s">
        <v>143</v>
      </c>
      <c r="F206" s="20" t="s">
        <v>64</v>
      </c>
      <c r="G206" s="19">
        <v>-5</v>
      </c>
      <c r="H206" s="27"/>
      <c r="I206" s="29">
        <v>406460.01</v>
      </c>
      <c r="J206" s="44"/>
      <c r="K206" s="45">
        <v>17424</v>
      </c>
      <c r="L206" s="45"/>
      <c r="M206" s="45">
        <v>409359</v>
      </c>
      <c r="N206" s="45"/>
      <c r="O206" s="45">
        <v>24066</v>
      </c>
      <c r="P206" s="27"/>
      <c r="Q206" s="116">
        <f t="shared" si="59"/>
        <v>5.92</v>
      </c>
      <c r="S206" s="117">
        <f t="shared" si="60"/>
        <v>17</v>
      </c>
      <c r="T206" s="32"/>
      <c r="U206" s="120">
        <v>2.92E-2</v>
      </c>
      <c r="W206" s="145">
        <f t="shared" si="61"/>
        <v>11868.632292</v>
      </c>
      <c r="X206" s="135"/>
      <c r="Y206" s="157">
        <f t="shared" si="62"/>
        <v>12197.367708</v>
      </c>
    </row>
    <row r="207" spans="1:25" x14ac:dyDescent="0.2">
      <c r="A207" s="26"/>
      <c r="B207" s="27"/>
      <c r="C207" s="58" t="s">
        <v>121</v>
      </c>
      <c r="D207" s="27"/>
      <c r="E207" s="20" t="s">
        <v>143</v>
      </c>
      <c r="F207" s="20" t="s">
        <v>64</v>
      </c>
      <c r="G207" s="19">
        <v>-5</v>
      </c>
      <c r="H207" s="27"/>
      <c r="I207" s="29">
        <v>405870.95</v>
      </c>
      <c r="J207" s="44"/>
      <c r="K207" s="45">
        <v>12973</v>
      </c>
      <c r="L207" s="45"/>
      <c r="M207" s="45">
        <v>413191</v>
      </c>
      <c r="N207" s="45"/>
      <c r="O207" s="45">
        <v>24294</v>
      </c>
      <c r="P207" s="27"/>
      <c r="Q207" s="116">
        <f t="shared" si="59"/>
        <v>5.99</v>
      </c>
      <c r="S207" s="117">
        <f t="shared" si="60"/>
        <v>17</v>
      </c>
      <c r="T207" s="32"/>
      <c r="U207" s="120">
        <v>2.92E-2</v>
      </c>
      <c r="W207" s="145">
        <f t="shared" si="61"/>
        <v>11851.43174</v>
      </c>
      <c r="X207" s="135"/>
      <c r="Y207" s="157">
        <f t="shared" si="62"/>
        <v>12442.56826</v>
      </c>
    </row>
    <row r="208" spans="1:25" x14ac:dyDescent="0.2">
      <c r="A208" s="26"/>
      <c r="B208" s="27"/>
      <c r="C208" s="58" t="s">
        <v>122</v>
      </c>
      <c r="D208" s="27"/>
      <c r="E208" s="20" t="s">
        <v>143</v>
      </c>
      <c r="F208" s="20" t="s">
        <v>64</v>
      </c>
      <c r="G208" s="19">
        <v>-5</v>
      </c>
      <c r="H208" s="27"/>
      <c r="I208" s="29">
        <v>252005.73</v>
      </c>
      <c r="J208" s="44"/>
      <c r="K208" s="45">
        <v>22171</v>
      </c>
      <c r="L208" s="45"/>
      <c r="M208" s="45">
        <v>242435</v>
      </c>
      <c r="N208" s="45"/>
      <c r="O208" s="45">
        <v>18266</v>
      </c>
      <c r="P208" s="27"/>
      <c r="Q208" s="116">
        <f t="shared" si="59"/>
        <v>7.25</v>
      </c>
      <c r="S208" s="117">
        <f t="shared" si="60"/>
        <v>13.3</v>
      </c>
      <c r="T208" s="32"/>
      <c r="U208" s="120">
        <v>2.63E-2</v>
      </c>
      <c r="W208" s="145">
        <f t="shared" si="61"/>
        <v>6627.7506990000002</v>
      </c>
      <c r="X208" s="135"/>
      <c r="Y208" s="157">
        <f t="shared" si="62"/>
        <v>11638.249301</v>
      </c>
    </row>
    <row r="209" spans="1:25" x14ac:dyDescent="0.2">
      <c r="A209" s="26"/>
      <c r="B209" s="27"/>
      <c r="C209" s="58" t="s">
        <v>123</v>
      </c>
      <c r="D209" s="27"/>
      <c r="E209" s="20" t="s">
        <v>143</v>
      </c>
      <c r="F209" s="20" t="s">
        <v>64</v>
      </c>
      <c r="G209" s="19">
        <v>-5</v>
      </c>
      <c r="H209" s="27"/>
      <c r="I209" s="29">
        <v>2018753.68</v>
      </c>
      <c r="J209" s="44"/>
      <c r="K209" s="45">
        <v>903046</v>
      </c>
      <c r="L209" s="45"/>
      <c r="M209" s="45">
        <v>1216645</v>
      </c>
      <c r="N209" s="45"/>
      <c r="O209" s="45">
        <v>67309</v>
      </c>
      <c r="P209" s="27"/>
      <c r="Q209" s="116">
        <f t="shared" si="59"/>
        <v>3.33</v>
      </c>
      <c r="S209" s="117">
        <f t="shared" si="60"/>
        <v>18.100000000000001</v>
      </c>
      <c r="T209" s="32"/>
      <c r="U209" s="120">
        <v>2.6499999999999999E-2</v>
      </c>
      <c r="W209" s="145">
        <f t="shared" si="61"/>
        <v>53496.972519999996</v>
      </c>
      <c r="X209" s="135"/>
      <c r="Y209" s="157">
        <f t="shared" si="62"/>
        <v>13812.027480000004</v>
      </c>
    </row>
    <row r="210" spans="1:25" x14ac:dyDescent="0.2">
      <c r="A210" s="26"/>
      <c r="B210" s="27"/>
      <c r="C210" s="58" t="s">
        <v>124</v>
      </c>
      <c r="D210" s="27"/>
      <c r="E210" s="20" t="s">
        <v>143</v>
      </c>
      <c r="F210" s="20" t="s">
        <v>64</v>
      </c>
      <c r="G210" s="19">
        <v>-5</v>
      </c>
      <c r="H210" s="27"/>
      <c r="I210" s="29">
        <v>264130.81</v>
      </c>
      <c r="J210" s="44"/>
      <c r="K210" s="45">
        <v>29700</v>
      </c>
      <c r="L210" s="45"/>
      <c r="M210" s="45">
        <v>247637</v>
      </c>
      <c r="N210" s="45"/>
      <c r="O210" s="45">
        <v>13099</v>
      </c>
      <c r="P210" s="27"/>
      <c r="Q210" s="116">
        <f t="shared" si="59"/>
        <v>4.96</v>
      </c>
      <c r="S210" s="117">
        <f t="shared" si="60"/>
        <v>18.899999999999999</v>
      </c>
      <c r="T210" s="32"/>
      <c r="U210" s="120">
        <v>2.63E-2</v>
      </c>
      <c r="W210" s="145">
        <f t="shared" si="61"/>
        <v>6946.6403030000001</v>
      </c>
      <c r="X210" s="135"/>
      <c r="Y210" s="157">
        <f t="shared" si="62"/>
        <v>6152.3596969999999</v>
      </c>
    </row>
    <row r="211" spans="1:25" x14ac:dyDescent="0.2">
      <c r="A211" s="26"/>
      <c r="B211" s="27"/>
      <c r="C211" s="58" t="s">
        <v>125</v>
      </c>
      <c r="D211" s="27"/>
      <c r="E211" s="20" t="s">
        <v>143</v>
      </c>
      <c r="F211" s="20" t="s">
        <v>64</v>
      </c>
      <c r="G211" s="19">
        <v>-5</v>
      </c>
      <c r="H211" s="27"/>
      <c r="I211" s="29">
        <v>284822.69</v>
      </c>
      <c r="J211" s="44"/>
      <c r="K211" s="45">
        <v>38816</v>
      </c>
      <c r="L211" s="45"/>
      <c r="M211" s="45">
        <v>260248</v>
      </c>
      <c r="N211" s="45"/>
      <c r="O211" s="45">
        <v>18318</v>
      </c>
      <c r="P211" s="27"/>
      <c r="Q211" s="116">
        <f t="shared" si="59"/>
        <v>6.43</v>
      </c>
      <c r="S211" s="117">
        <f t="shared" si="60"/>
        <v>14.2</v>
      </c>
      <c r="T211" s="32"/>
      <c r="U211" s="120">
        <v>2.7400000000000001E-2</v>
      </c>
      <c r="W211" s="145">
        <f t="shared" si="61"/>
        <v>7804.1417060000003</v>
      </c>
      <c r="X211" s="135"/>
      <c r="Y211" s="157">
        <f t="shared" si="62"/>
        <v>10513.858294</v>
      </c>
    </row>
    <row r="212" spans="1:25" x14ac:dyDescent="0.2">
      <c r="A212" s="26"/>
      <c r="B212" s="27"/>
      <c r="C212" s="88" t="s">
        <v>190</v>
      </c>
      <c r="D212" s="27"/>
      <c r="E212" s="20" t="s">
        <v>143</v>
      </c>
      <c r="F212" s="20" t="s">
        <v>64</v>
      </c>
      <c r="G212" s="19">
        <v>-5</v>
      </c>
      <c r="H212" s="27"/>
      <c r="I212" s="29">
        <v>8106130.6600000001</v>
      </c>
      <c r="J212" s="44"/>
      <c r="K212" s="45">
        <v>4385668</v>
      </c>
      <c r="L212" s="45"/>
      <c r="M212" s="45">
        <v>4125769</v>
      </c>
      <c r="N212" s="45"/>
      <c r="O212" s="45">
        <v>232372</v>
      </c>
      <c r="P212" s="27"/>
      <c r="Q212" s="116">
        <f t="shared" si="59"/>
        <v>2.87</v>
      </c>
      <c r="S212" s="117">
        <f t="shared" si="60"/>
        <v>17.8</v>
      </c>
      <c r="T212" s="32"/>
      <c r="U212" s="120">
        <v>2.5700000000000001E-2</v>
      </c>
      <c r="W212" s="145">
        <f t="shared" si="61"/>
        <v>208327.55796200002</v>
      </c>
      <c r="X212" s="135"/>
      <c r="Y212" s="157">
        <f t="shared" si="62"/>
        <v>24044.442037999979</v>
      </c>
    </row>
    <row r="213" spans="1:25" x14ac:dyDescent="0.2">
      <c r="A213" s="26"/>
      <c r="B213" s="27"/>
      <c r="C213" s="58" t="s">
        <v>126</v>
      </c>
      <c r="D213" s="27"/>
      <c r="E213" s="20" t="s">
        <v>143</v>
      </c>
      <c r="F213" s="20" t="s">
        <v>64</v>
      </c>
      <c r="G213" s="19">
        <v>-5</v>
      </c>
      <c r="H213" s="27"/>
      <c r="I213" s="29">
        <v>518704.54</v>
      </c>
      <c r="J213" s="44"/>
      <c r="K213" s="45">
        <v>88960</v>
      </c>
      <c r="L213" s="45"/>
      <c r="M213" s="45">
        <v>455680</v>
      </c>
      <c r="N213" s="45"/>
      <c r="O213" s="45">
        <v>55109</v>
      </c>
      <c r="P213" s="27"/>
      <c r="Q213" s="116">
        <f t="shared" si="59"/>
        <v>10.62</v>
      </c>
      <c r="S213" s="117">
        <f t="shared" si="60"/>
        <v>8.3000000000000007</v>
      </c>
      <c r="T213" s="32"/>
      <c r="U213" s="120">
        <v>0</v>
      </c>
      <c r="W213" s="145">
        <f t="shared" si="61"/>
        <v>0</v>
      </c>
      <c r="X213" s="135"/>
      <c r="Y213" s="157">
        <f t="shared" si="62"/>
        <v>55109</v>
      </c>
    </row>
    <row r="214" spans="1:25" x14ac:dyDescent="0.2">
      <c r="A214" s="26"/>
      <c r="B214" s="27"/>
      <c r="C214" s="58" t="s">
        <v>127</v>
      </c>
      <c r="D214" s="27"/>
      <c r="E214" s="20" t="s">
        <v>143</v>
      </c>
      <c r="F214" s="20" t="s">
        <v>64</v>
      </c>
      <c r="G214" s="19">
        <v>-5</v>
      </c>
      <c r="H214" s="27"/>
      <c r="I214" s="47">
        <v>1995101.02</v>
      </c>
      <c r="J214" s="44"/>
      <c r="K214" s="45">
        <v>695267</v>
      </c>
      <c r="L214" s="45"/>
      <c r="M214" s="45">
        <v>1399589</v>
      </c>
      <c r="N214" s="45"/>
      <c r="O214" s="45">
        <v>75845</v>
      </c>
      <c r="P214" s="27"/>
      <c r="Q214" s="116">
        <f t="shared" si="59"/>
        <v>3.8</v>
      </c>
      <c r="S214" s="117">
        <f t="shared" si="60"/>
        <v>18.5</v>
      </c>
      <c r="T214" s="32"/>
      <c r="U214" s="120">
        <v>3.1099999999999999E-2</v>
      </c>
      <c r="W214" s="158">
        <f t="shared" si="61"/>
        <v>62047.641722</v>
      </c>
      <c r="X214" s="135"/>
      <c r="Y214" s="159">
        <f t="shared" si="62"/>
        <v>13797.358278</v>
      </c>
    </row>
    <row r="215" spans="1:25" x14ac:dyDescent="0.2">
      <c r="A215" s="26"/>
      <c r="B215" s="27"/>
      <c r="C215" s="27"/>
      <c r="D215" s="27"/>
      <c r="E215" s="20"/>
      <c r="F215" s="20"/>
      <c r="G215" s="19"/>
      <c r="H215" s="27"/>
      <c r="I215" s="29"/>
      <c r="J215" s="27"/>
      <c r="K215" s="49"/>
      <c r="L215" s="34"/>
      <c r="M215" s="49"/>
      <c r="N215" s="34"/>
      <c r="O215" s="49"/>
      <c r="P215" s="27"/>
      <c r="Q215" s="26"/>
      <c r="R215" s="27"/>
      <c r="S215" s="62"/>
      <c r="T215" s="32"/>
      <c r="U215" s="120"/>
      <c r="X215" s="135"/>
    </row>
    <row r="216" spans="1:25" x14ac:dyDescent="0.2">
      <c r="A216" s="26"/>
      <c r="B216" s="27"/>
      <c r="C216" s="65" t="s">
        <v>154</v>
      </c>
      <c r="D216" s="27"/>
      <c r="E216" s="20"/>
      <c r="F216" s="20"/>
      <c r="G216" s="19"/>
      <c r="H216" s="27"/>
      <c r="I216" s="29">
        <f>+SUBTOTAL(9,I198:I215)</f>
        <v>22747816.41</v>
      </c>
      <c r="J216" s="27"/>
      <c r="K216" s="34">
        <f>+SUBTOTAL(9,K198:K215)</f>
        <v>8652455</v>
      </c>
      <c r="L216" s="34"/>
      <c r="M216" s="34">
        <f>+SUBTOTAL(9,M198:M215)</f>
        <v>15232750</v>
      </c>
      <c r="N216" s="34"/>
      <c r="O216" s="34">
        <f>+SUBTOTAL(9,O198:O215)</f>
        <v>840013</v>
      </c>
      <c r="P216" s="27"/>
      <c r="Q216" s="116">
        <f>IF(O216/I216*100=0,"-     ",ROUND(O216/I216*100,2))</f>
        <v>3.69</v>
      </c>
      <c r="S216" s="117">
        <f t="shared" ref="S216" si="63">IF(O216=0,"-     ",ROUND(M216/O216,1))</f>
        <v>18.100000000000001</v>
      </c>
      <c r="T216" s="32"/>
      <c r="U216" s="120"/>
      <c r="W216" s="118">
        <f>+SUBTOTAL(9,W198:W215)</f>
        <v>646840.66770500015</v>
      </c>
      <c r="X216" s="135"/>
      <c r="Y216" s="157">
        <f t="shared" si="62"/>
        <v>193172.33229499985</v>
      </c>
    </row>
    <row r="217" spans="1:25" x14ac:dyDescent="0.2">
      <c r="A217" s="26"/>
      <c r="B217" s="27"/>
      <c r="C217" s="27"/>
      <c r="D217" s="27"/>
      <c r="E217" s="20"/>
      <c r="F217" s="20"/>
      <c r="G217" s="19"/>
      <c r="H217" s="27"/>
      <c r="I217" s="29"/>
      <c r="J217" s="27"/>
      <c r="K217" s="34"/>
      <c r="L217" s="34"/>
      <c r="M217" s="34"/>
      <c r="N217" s="34"/>
      <c r="O217" s="34"/>
      <c r="P217" s="27"/>
      <c r="Q217" s="26"/>
      <c r="R217" s="27"/>
      <c r="S217" s="62"/>
      <c r="T217" s="32"/>
      <c r="U217" s="120"/>
      <c r="X217" s="135"/>
    </row>
    <row r="218" spans="1:25" x14ac:dyDescent="0.2">
      <c r="A218" s="26">
        <v>343</v>
      </c>
      <c r="B218" s="27"/>
      <c r="C218" s="27" t="s">
        <v>62</v>
      </c>
      <c r="D218" s="27"/>
      <c r="E218" s="56"/>
      <c r="F218" s="56"/>
      <c r="G218" s="66"/>
      <c r="H218" s="27"/>
      <c r="I218" s="29"/>
      <c r="J218" s="27"/>
      <c r="K218" s="34"/>
      <c r="L218" s="34"/>
      <c r="M218" s="34"/>
      <c r="N218" s="34"/>
      <c r="O218" s="34"/>
      <c r="P218" s="27"/>
      <c r="Q218" s="26"/>
      <c r="R218" s="27"/>
      <c r="S218" s="62"/>
      <c r="T218" s="32"/>
      <c r="U218" s="120"/>
      <c r="X218" s="135"/>
    </row>
    <row r="219" spans="1:25" x14ac:dyDescent="0.2">
      <c r="A219" s="26"/>
      <c r="B219" s="27"/>
      <c r="C219" s="58" t="s">
        <v>113</v>
      </c>
      <c r="D219" s="27"/>
      <c r="E219" s="20" t="s">
        <v>194</v>
      </c>
      <c r="F219" s="20" t="s">
        <v>64</v>
      </c>
      <c r="G219" s="19">
        <v>-5</v>
      </c>
      <c r="H219" s="27"/>
      <c r="I219" s="29">
        <v>31137756.050000001</v>
      </c>
      <c r="J219" s="44"/>
      <c r="K219" s="45">
        <v>10133882</v>
      </c>
      <c r="L219" s="45"/>
      <c r="M219" s="45">
        <v>22560762</v>
      </c>
      <c r="N219" s="45"/>
      <c r="O219" s="45">
        <v>1259343</v>
      </c>
      <c r="P219" s="27"/>
      <c r="Q219" s="116">
        <f t="shared" ref="Q219:Q232" si="64">IF(O219/I219*100=0,"-     ",ROUND(O219/I219*100,2))</f>
        <v>4.04</v>
      </c>
      <c r="S219" s="117">
        <f t="shared" ref="S219:S232" si="65">IF(O219=0,"-     ",ROUND(M219/O219,1))</f>
        <v>17.899999999999999</v>
      </c>
      <c r="T219" s="32"/>
      <c r="U219" s="120">
        <v>3.7199999999999997E-2</v>
      </c>
      <c r="W219" s="145">
        <f t="shared" ref="W219:W232" si="66">I219*U219</f>
        <v>1158324.5250599999</v>
      </c>
      <c r="X219" s="135"/>
      <c r="Y219" s="157">
        <f t="shared" ref="Y219:Y234" si="67">O219-W219</f>
        <v>101018.4749400001</v>
      </c>
    </row>
    <row r="220" spans="1:25" x14ac:dyDescent="0.2">
      <c r="A220" s="26"/>
      <c r="B220" s="27"/>
      <c r="C220" s="58" t="s">
        <v>114</v>
      </c>
      <c r="D220" s="27"/>
      <c r="E220" s="20" t="s">
        <v>194</v>
      </c>
      <c r="F220" s="20" t="s">
        <v>64</v>
      </c>
      <c r="G220" s="19">
        <v>-5</v>
      </c>
      <c r="H220" s="27"/>
      <c r="I220" s="29">
        <v>32030243.239999998</v>
      </c>
      <c r="J220" s="44"/>
      <c r="K220" s="45">
        <v>8059467</v>
      </c>
      <c r="L220" s="45"/>
      <c r="M220" s="45">
        <v>25572288</v>
      </c>
      <c r="N220" s="45"/>
      <c r="O220" s="45">
        <v>1419553</v>
      </c>
      <c r="P220" s="27"/>
      <c r="Q220" s="116">
        <f t="shared" si="64"/>
        <v>4.43</v>
      </c>
      <c r="S220" s="117">
        <f t="shared" si="65"/>
        <v>18</v>
      </c>
      <c r="T220" s="32"/>
      <c r="U220" s="120">
        <v>3.7199999999999997E-2</v>
      </c>
      <c r="W220" s="145">
        <f t="shared" si="66"/>
        <v>1191525.0485279998</v>
      </c>
      <c r="X220" s="135"/>
      <c r="Y220" s="157">
        <f t="shared" si="67"/>
        <v>228027.95147200022</v>
      </c>
    </row>
    <row r="221" spans="1:25" x14ac:dyDescent="0.2">
      <c r="A221" s="26"/>
      <c r="B221" s="27"/>
      <c r="C221" s="58" t="s">
        <v>115</v>
      </c>
      <c r="D221" s="27"/>
      <c r="E221" s="20" t="s">
        <v>194</v>
      </c>
      <c r="F221" s="20" t="s">
        <v>64</v>
      </c>
      <c r="G221" s="19">
        <v>-5</v>
      </c>
      <c r="H221" s="27"/>
      <c r="I221" s="29">
        <v>23223115.609999999</v>
      </c>
      <c r="J221" s="44"/>
      <c r="K221" s="45">
        <v>6218174</v>
      </c>
      <c r="L221" s="45"/>
      <c r="M221" s="45">
        <v>18166097</v>
      </c>
      <c r="N221" s="45"/>
      <c r="O221" s="45">
        <v>926898</v>
      </c>
      <c r="P221" s="27"/>
      <c r="Q221" s="116">
        <f t="shared" si="64"/>
        <v>3.99</v>
      </c>
      <c r="S221" s="117">
        <f t="shared" si="65"/>
        <v>19.600000000000001</v>
      </c>
      <c r="T221" s="32"/>
      <c r="U221" s="120">
        <v>3.9100000000000003E-2</v>
      </c>
      <c r="W221" s="145">
        <f t="shared" si="66"/>
        <v>908023.82035100006</v>
      </c>
      <c r="X221" s="135"/>
      <c r="Y221" s="157">
        <f t="shared" si="67"/>
        <v>18874.17964899994</v>
      </c>
    </row>
    <row r="222" spans="1:25" x14ac:dyDescent="0.2">
      <c r="A222" s="26"/>
      <c r="B222" s="27"/>
      <c r="C222" s="58" t="s">
        <v>116</v>
      </c>
      <c r="D222" s="27"/>
      <c r="E222" s="20" t="s">
        <v>194</v>
      </c>
      <c r="F222" s="20" t="s">
        <v>64</v>
      </c>
      <c r="G222" s="19">
        <v>-5</v>
      </c>
      <c r="H222" s="27"/>
      <c r="I222" s="29">
        <v>23034740.629999999</v>
      </c>
      <c r="J222" s="44"/>
      <c r="K222" s="45">
        <v>6163385</v>
      </c>
      <c r="L222" s="45"/>
      <c r="M222" s="45">
        <v>18023093</v>
      </c>
      <c r="N222" s="45"/>
      <c r="O222" s="45">
        <v>919628</v>
      </c>
      <c r="P222" s="27"/>
      <c r="Q222" s="116">
        <f t="shared" si="64"/>
        <v>3.99</v>
      </c>
      <c r="S222" s="117">
        <f t="shared" si="65"/>
        <v>19.600000000000001</v>
      </c>
      <c r="T222" s="32"/>
      <c r="U222" s="120">
        <v>3.9100000000000003E-2</v>
      </c>
      <c r="W222" s="145">
        <f t="shared" si="66"/>
        <v>900658.35863300005</v>
      </c>
      <c r="X222" s="135"/>
      <c r="Y222" s="157">
        <f t="shared" si="67"/>
        <v>18969.641366999946</v>
      </c>
    </row>
    <row r="223" spans="1:25" x14ac:dyDescent="0.2">
      <c r="A223" s="26"/>
      <c r="B223" s="27"/>
      <c r="C223" s="58" t="s">
        <v>117</v>
      </c>
      <c r="D223" s="27"/>
      <c r="E223" s="20" t="s">
        <v>194</v>
      </c>
      <c r="F223" s="20" t="s">
        <v>64</v>
      </c>
      <c r="G223" s="19">
        <v>-5</v>
      </c>
      <c r="H223" s="27"/>
      <c r="I223" s="29">
        <v>22902195.539999999</v>
      </c>
      <c r="J223" s="44"/>
      <c r="K223" s="45">
        <v>5896000</v>
      </c>
      <c r="L223" s="45"/>
      <c r="M223" s="45">
        <v>18151305</v>
      </c>
      <c r="N223" s="45"/>
      <c r="O223" s="45">
        <v>925844</v>
      </c>
      <c r="P223" s="27"/>
      <c r="Q223" s="116">
        <f t="shared" si="64"/>
        <v>4.04</v>
      </c>
      <c r="S223" s="117">
        <f t="shared" si="65"/>
        <v>19.600000000000001</v>
      </c>
      <c r="T223" s="32"/>
      <c r="U223" s="120">
        <v>3.9100000000000003E-2</v>
      </c>
      <c r="W223" s="145">
        <f t="shared" si="66"/>
        <v>895475.84561399999</v>
      </c>
      <c r="X223" s="135"/>
      <c r="Y223" s="157">
        <f t="shared" si="67"/>
        <v>30368.154386000009</v>
      </c>
    </row>
    <row r="224" spans="1:25" x14ac:dyDescent="0.2">
      <c r="A224" s="26"/>
      <c r="B224" s="27"/>
      <c r="C224" s="58" t="s">
        <v>118</v>
      </c>
      <c r="D224" s="27"/>
      <c r="E224" s="20" t="s">
        <v>194</v>
      </c>
      <c r="F224" s="20" t="s">
        <v>64</v>
      </c>
      <c r="G224" s="19">
        <v>-5</v>
      </c>
      <c r="H224" s="27"/>
      <c r="I224" s="29">
        <v>22850722.460000001</v>
      </c>
      <c r="J224" s="44"/>
      <c r="K224" s="45">
        <v>5890691</v>
      </c>
      <c r="L224" s="45"/>
      <c r="M224" s="45">
        <v>18102568</v>
      </c>
      <c r="N224" s="45"/>
      <c r="O224" s="45">
        <v>923525</v>
      </c>
      <c r="P224" s="27"/>
      <c r="Q224" s="116">
        <f t="shared" si="64"/>
        <v>4.04</v>
      </c>
      <c r="S224" s="117">
        <f t="shared" si="65"/>
        <v>19.600000000000001</v>
      </c>
      <c r="T224" s="32"/>
      <c r="U224" s="120">
        <v>3.9100000000000003E-2</v>
      </c>
      <c r="W224" s="145">
        <f t="shared" si="66"/>
        <v>893463.24818600016</v>
      </c>
      <c r="X224" s="135"/>
      <c r="Y224" s="157">
        <f t="shared" si="67"/>
        <v>30061.751813999843</v>
      </c>
    </row>
    <row r="225" spans="1:25" x14ac:dyDescent="0.2">
      <c r="A225" s="26"/>
      <c r="B225" s="27"/>
      <c r="C225" s="58" t="s">
        <v>119</v>
      </c>
      <c r="D225" s="27"/>
      <c r="E225" s="20" t="s">
        <v>194</v>
      </c>
      <c r="F225" s="20" t="s">
        <v>64</v>
      </c>
      <c r="G225" s="19">
        <v>-5</v>
      </c>
      <c r="H225" s="27"/>
      <c r="I225" s="29">
        <v>14666936.33</v>
      </c>
      <c r="J225" s="44"/>
      <c r="K225" s="45">
        <v>4448405</v>
      </c>
      <c r="L225" s="45"/>
      <c r="M225" s="45">
        <v>10951878</v>
      </c>
      <c r="N225" s="45"/>
      <c r="O225" s="45">
        <v>635708</v>
      </c>
      <c r="P225" s="27"/>
      <c r="Q225" s="116">
        <f t="shared" si="64"/>
        <v>4.33</v>
      </c>
      <c r="S225" s="117">
        <f t="shared" si="65"/>
        <v>17.2</v>
      </c>
      <c r="T225" s="32"/>
      <c r="U225" s="120">
        <v>3.6499999999999998E-2</v>
      </c>
      <c r="W225" s="145">
        <f t="shared" si="66"/>
        <v>535343.17604499997</v>
      </c>
      <c r="X225" s="135"/>
      <c r="Y225" s="157">
        <f t="shared" si="67"/>
        <v>100364.82395500003</v>
      </c>
    </row>
    <row r="226" spans="1:25" ht="16.5" customHeight="1" x14ac:dyDescent="0.2">
      <c r="A226" s="114" t="s">
        <v>130</v>
      </c>
      <c r="B226" s="27"/>
      <c r="C226" s="58" t="s">
        <v>120</v>
      </c>
      <c r="D226" s="27"/>
      <c r="E226" s="20" t="s">
        <v>194</v>
      </c>
      <c r="F226" s="20" t="s">
        <v>64</v>
      </c>
      <c r="G226" s="19">
        <v>-5</v>
      </c>
      <c r="H226" s="27"/>
      <c r="I226" s="29">
        <v>34600149.280000001</v>
      </c>
      <c r="J226" s="44"/>
      <c r="K226" s="45">
        <v>7991509</v>
      </c>
      <c r="L226" s="45"/>
      <c r="M226" s="45">
        <v>28338648</v>
      </c>
      <c r="N226" s="45"/>
      <c r="O226" s="45">
        <v>1813591</v>
      </c>
      <c r="P226" s="27"/>
      <c r="Q226" s="116">
        <f t="shared" si="64"/>
        <v>5.24</v>
      </c>
      <c r="S226" s="117">
        <f t="shared" si="65"/>
        <v>15.6</v>
      </c>
      <c r="T226" s="32"/>
      <c r="U226" s="120">
        <v>3.5499999999999997E-2</v>
      </c>
      <c r="W226" s="145">
        <f t="shared" si="66"/>
        <v>1228305.29944</v>
      </c>
      <c r="X226" s="135"/>
      <c r="Y226" s="157">
        <f t="shared" si="67"/>
        <v>585285.70056000003</v>
      </c>
    </row>
    <row r="227" spans="1:25" x14ac:dyDescent="0.2">
      <c r="A227" s="26"/>
      <c r="B227" s="27"/>
      <c r="C227" s="58" t="s">
        <v>121</v>
      </c>
      <c r="D227" s="27"/>
      <c r="E227" s="20" t="s">
        <v>194</v>
      </c>
      <c r="F227" s="20" t="s">
        <v>64</v>
      </c>
      <c r="G227" s="19">
        <v>-5</v>
      </c>
      <c r="H227" s="27"/>
      <c r="I227" s="29">
        <v>31657718.920000002</v>
      </c>
      <c r="J227" s="44"/>
      <c r="K227" s="45">
        <v>7847473</v>
      </c>
      <c r="L227" s="45"/>
      <c r="M227" s="45">
        <v>25393132</v>
      </c>
      <c r="N227" s="45"/>
      <c r="O227" s="45">
        <v>1628808</v>
      </c>
      <c r="P227" s="27"/>
      <c r="Q227" s="116">
        <f t="shared" si="64"/>
        <v>5.15</v>
      </c>
      <c r="S227" s="117">
        <f t="shared" si="65"/>
        <v>15.6</v>
      </c>
      <c r="T227" s="32"/>
      <c r="U227" s="120">
        <v>3.5799999999999998E-2</v>
      </c>
      <c r="W227" s="145">
        <f t="shared" si="66"/>
        <v>1133346.3373360001</v>
      </c>
      <c r="X227" s="135"/>
      <c r="Y227" s="157">
        <f t="shared" si="67"/>
        <v>495461.66266399994</v>
      </c>
    </row>
    <row r="228" spans="1:25" x14ac:dyDescent="0.2">
      <c r="A228" s="26"/>
      <c r="B228" s="27"/>
      <c r="C228" s="58" t="s">
        <v>122</v>
      </c>
      <c r="D228" s="27"/>
      <c r="E228" s="20" t="s">
        <v>194</v>
      </c>
      <c r="F228" s="20" t="s">
        <v>64</v>
      </c>
      <c r="G228" s="19">
        <v>-5</v>
      </c>
      <c r="H228" s="27"/>
      <c r="I228" s="29">
        <v>26710989.989999998</v>
      </c>
      <c r="J228" s="44"/>
      <c r="K228" s="45">
        <v>10068236</v>
      </c>
      <c r="L228" s="45"/>
      <c r="M228" s="45">
        <v>17978303</v>
      </c>
      <c r="N228" s="45"/>
      <c r="O228" s="45">
        <v>1455318</v>
      </c>
      <c r="P228" s="27"/>
      <c r="Q228" s="116">
        <f t="shared" si="64"/>
        <v>5.45</v>
      </c>
      <c r="S228" s="117">
        <f t="shared" si="65"/>
        <v>12.4</v>
      </c>
      <c r="T228" s="32"/>
      <c r="U228" s="120">
        <v>3.3000000000000002E-2</v>
      </c>
      <c r="W228" s="145">
        <f t="shared" si="66"/>
        <v>881462.66966999997</v>
      </c>
      <c r="X228" s="135"/>
      <c r="Y228" s="157">
        <f t="shared" si="67"/>
        <v>573855.33033000003</v>
      </c>
    </row>
    <row r="229" spans="1:25" x14ac:dyDescent="0.2">
      <c r="A229" s="68"/>
      <c r="B229" s="27"/>
      <c r="C229" s="58" t="s">
        <v>123</v>
      </c>
      <c r="D229" s="27"/>
      <c r="E229" s="20" t="s">
        <v>194</v>
      </c>
      <c r="F229" s="20" t="s">
        <v>64</v>
      </c>
      <c r="G229" s="19">
        <v>-5</v>
      </c>
      <c r="H229" s="27"/>
      <c r="I229" s="29">
        <v>23335363.18</v>
      </c>
      <c r="J229" s="44"/>
      <c r="K229" s="45">
        <v>11433236</v>
      </c>
      <c r="L229" s="45"/>
      <c r="M229" s="45">
        <v>13068895</v>
      </c>
      <c r="N229" s="45"/>
      <c r="O229" s="45">
        <v>800496</v>
      </c>
      <c r="P229" s="27"/>
      <c r="Q229" s="116">
        <f t="shared" si="64"/>
        <v>3.43</v>
      </c>
      <c r="S229" s="117">
        <f t="shared" si="65"/>
        <v>16.3</v>
      </c>
      <c r="T229" s="32"/>
      <c r="U229" s="120">
        <v>3.2300000000000002E-2</v>
      </c>
      <c r="W229" s="145">
        <f t="shared" si="66"/>
        <v>753732.23071400006</v>
      </c>
      <c r="X229" s="135"/>
      <c r="Y229" s="157">
        <f t="shared" si="67"/>
        <v>46763.769285999937</v>
      </c>
    </row>
    <row r="230" spans="1:25" x14ac:dyDescent="0.2">
      <c r="A230" s="26"/>
      <c r="B230" s="27"/>
      <c r="C230" s="58" t="s">
        <v>124</v>
      </c>
      <c r="D230" s="27"/>
      <c r="E230" s="20" t="s">
        <v>194</v>
      </c>
      <c r="F230" s="20" t="s">
        <v>64</v>
      </c>
      <c r="G230" s="19">
        <v>-5</v>
      </c>
      <c r="H230" s="27"/>
      <c r="I230" s="29">
        <v>20074765.960000001</v>
      </c>
      <c r="J230" s="44"/>
      <c r="K230" s="45">
        <v>9663038</v>
      </c>
      <c r="L230" s="45"/>
      <c r="M230" s="45">
        <v>11415466</v>
      </c>
      <c r="N230" s="45"/>
      <c r="O230" s="45">
        <v>700567</v>
      </c>
      <c r="P230" s="27"/>
      <c r="Q230" s="116">
        <f t="shared" si="64"/>
        <v>3.49</v>
      </c>
      <c r="S230" s="117">
        <f t="shared" si="65"/>
        <v>16.3</v>
      </c>
      <c r="T230" s="32"/>
      <c r="U230" s="120">
        <v>3.2599999999999997E-2</v>
      </c>
      <c r="W230" s="145">
        <f t="shared" si="66"/>
        <v>654437.37029599992</v>
      </c>
      <c r="X230" s="135"/>
      <c r="Y230" s="157">
        <f t="shared" si="67"/>
        <v>46129.629704000079</v>
      </c>
    </row>
    <row r="231" spans="1:25" x14ac:dyDescent="0.2">
      <c r="A231" s="26"/>
      <c r="B231" s="27"/>
      <c r="C231" s="58" t="s">
        <v>125</v>
      </c>
      <c r="D231" s="27"/>
      <c r="E231" s="20" t="s">
        <v>194</v>
      </c>
      <c r="F231" s="20" t="s">
        <v>64</v>
      </c>
      <c r="G231" s="19">
        <v>-5</v>
      </c>
      <c r="H231" s="27"/>
      <c r="I231" s="29">
        <v>34794971.170000002</v>
      </c>
      <c r="J231" s="44"/>
      <c r="K231" s="45">
        <v>15401000</v>
      </c>
      <c r="L231" s="45"/>
      <c r="M231" s="45">
        <v>21133720</v>
      </c>
      <c r="N231" s="45"/>
      <c r="O231" s="45">
        <v>1618377</v>
      </c>
      <c r="P231" s="27"/>
      <c r="Q231" s="116">
        <f t="shared" si="64"/>
        <v>4.6500000000000004</v>
      </c>
      <c r="S231" s="117">
        <f t="shared" si="65"/>
        <v>13.1</v>
      </c>
      <c r="T231" s="32"/>
      <c r="U231" s="120">
        <v>3.4099999999999998E-2</v>
      </c>
      <c r="W231" s="145">
        <f t="shared" si="66"/>
        <v>1186508.5168969999</v>
      </c>
      <c r="X231" s="135"/>
      <c r="Y231" s="157">
        <f t="shared" si="67"/>
        <v>431868.48310300009</v>
      </c>
    </row>
    <row r="232" spans="1:25" x14ac:dyDescent="0.2">
      <c r="A232" s="26"/>
      <c r="B232" s="27"/>
      <c r="C232" s="58" t="s">
        <v>127</v>
      </c>
      <c r="D232" s="27"/>
      <c r="E232" s="20" t="s">
        <v>194</v>
      </c>
      <c r="F232" s="20" t="s">
        <v>64</v>
      </c>
      <c r="G232" s="19">
        <v>-5</v>
      </c>
      <c r="H232" s="27"/>
      <c r="I232" s="47">
        <v>17803364.010000002</v>
      </c>
      <c r="J232" s="44"/>
      <c r="K232" s="90">
        <v>4875055</v>
      </c>
      <c r="L232" s="45"/>
      <c r="M232" s="90">
        <v>13818477</v>
      </c>
      <c r="N232" s="45"/>
      <c r="O232" s="90">
        <v>806030</v>
      </c>
      <c r="P232" s="27"/>
      <c r="Q232" s="116">
        <f t="shared" si="64"/>
        <v>4.53</v>
      </c>
      <c r="S232" s="117">
        <f t="shared" si="65"/>
        <v>17.100000000000001</v>
      </c>
      <c r="T232" s="32"/>
      <c r="U232" s="120">
        <v>3.6200000000000003E-2</v>
      </c>
      <c r="W232" s="158">
        <f t="shared" si="66"/>
        <v>644481.77716200007</v>
      </c>
      <c r="X232" s="135"/>
      <c r="Y232" s="159">
        <f t="shared" si="67"/>
        <v>161548.22283799993</v>
      </c>
    </row>
    <row r="233" spans="1:25" x14ac:dyDescent="0.2">
      <c r="A233" s="26"/>
      <c r="B233" s="27"/>
      <c r="C233" s="27"/>
      <c r="D233" s="27"/>
      <c r="E233" s="20"/>
      <c r="F233" s="20"/>
      <c r="G233" s="19"/>
      <c r="H233" s="27"/>
      <c r="I233" s="29"/>
      <c r="J233" s="44"/>
      <c r="K233" s="45"/>
      <c r="L233" s="45"/>
      <c r="M233" s="45"/>
      <c r="N233" s="45"/>
      <c r="O233" s="45"/>
      <c r="P233" s="27"/>
      <c r="Q233" s="26"/>
      <c r="R233" s="27"/>
      <c r="S233" s="62"/>
      <c r="T233" s="32"/>
      <c r="U233" s="120"/>
      <c r="X233" s="135"/>
    </row>
    <row r="234" spans="1:25" x14ac:dyDescent="0.2">
      <c r="A234" s="26"/>
      <c r="B234" s="27"/>
      <c r="C234" s="65" t="s">
        <v>63</v>
      </c>
      <c r="D234" s="27"/>
      <c r="E234" s="20"/>
      <c r="F234" s="20"/>
      <c r="G234" s="19"/>
      <c r="H234" s="27"/>
      <c r="I234" s="29">
        <f>+SUBTOTAL(9,I219:I233)</f>
        <v>358823032.37</v>
      </c>
      <c r="J234" s="27"/>
      <c r="K234" s="34">
        <f>+SUBTOTAL(9,K219:K233)</f>
        <v>114089551</v>
      </c>
      <c r="L234" s="34"/>
      <c r="M234" s="34">
        <f>+SUBTOTAL(9,M219:M233)</f>
        <v>262674632</v>
      </c>
      <c r="N234" s="34"/>
      <c r="O234" s="34">
        <f>+SUBTOTAL(9,O219:O233)</f>
        <v>15833686</v>
      </c>
      <c r="P234" s="27"/>
      <c r="Q234" s="116">
        <f>IF(O234/I234*100=0,"-     ",ROUND(O234/I234*100,2))</f>
        <v>4.41</v>
      </c>
      <c r="S234" s="117">
        <f t="shared" ref="S234" si="68">IF(O234=0,"-     ",ROUND(M234/O234,1))</f>
        <v>16.600000000000001</v>
      </c>
      <c r="T234" s="32"/>
      <c r="U234" s="120"/>
      <c r="W234" s="118">
        <f>+SUBTOTAL(9,W219:W233)</f>
        <v>12965088.223932</v>
      </c>
      <c r="X234" s="135"/>
      <c r="Y234" s="157">
        <f t="shared" si="67"/>
        <v>2868597.7760680001</v>
      </c>
    </row>
    <row r="235" spans="1:25" x14ac:dyDescent="0.2">
      <c r="A235" s="26"/>
      <c r="B235" s="27"/>
      <c r="C235" s="27"/>
      <c r="D235" s="27"/>
      <c r="E235" s="20"/>
      <c r="F235" s="20"/>
      <c r="G235" s="19"/>
      <c r="H235" s="27"/>
      <c r="I235" s="29"/>
      <c r="J235" s="27"/>
      <c r="K235" s="34"/>
      <c r="L235" s="34"/>
      <c r="M235" s="34"/>
      <c r="N235" s="34"/>
      <c r="O235" s="34"/>
      <c r="P235" s="27"/>
      <c r="Q235" s="26"/>
      <c r="R235" s="27"/>
      <c r="S235" s="62"/>
      <c r="T235" s="32"/>
      <c r="U235" s="119"/>
      <c r="X235" s="135"/>
    </row>
    <row r="236" spans="1:25" x14ac:dyDescent="0.2">
      <c r="A236" s="26">
        <v>344</v>
      </c>
      <c r="B236" s="27"/>
      <c r="C236" s="27" t="s">
        <v>37</v>
      </c>
      <c r="D236" s="27"/>
      <c r="E236" s="56"/>
      <c r="F236" s="56"/>
      <c r="G236" s="66"/>
      <c r="H236" s="27"/>
      <c r="I236" s="29"/>
      <c r="J236" s="27"/>
      <c r="K236" s="34"/>
      <c r="L236" s="34"/>
      <c r="M236" s="34"/>
      <c r="N236" s="34"/>
      <c r="O236" s="34"/>
      <c r="P236" s="27"/>
      <c r="Q236" s="26"/>
      <c r="R236" s="27"/>
      <c r="S236" s="62"/>
      <c r="T236" s="32"/>
      <c r="U236" s="120"/>
      <c r="X236" s="135"/>
    </row>
    <row r="237" spans="1:25" x14ac:dyDescent="0.2">
      <c r="A237" s="26"/>
      <c r="B237" s="27"/>
      <c r="C237" s="58" t="s">
        <v>113</v>
      </c>
      <c r="D237" s="27"/>
      <c r="E237" s="20" t="s">
        <v>144</v>
      </c>
      <c r="F237" s="20" t="s">
        <v>64</v>
      </c>
      <c r="G237" s="19">
        <v>-5</v>
      </c>
      <c r="H237" s="27"/>
      <c r="I237" s="29">
        <v>3763274.51</v>
      </c>
      <c r="J237" s="44"/>
      <c r="K237" s="45">
        <v>1176387</v>
      </c>
      <c r="L237" s="45"/>
      <c r="M237" s="45">
        <v>2775051</v>
      </c>
      <c r="N237" s="45"/>
      <c r="O237" s="45">
        <v>136229</v>
      </c>
      <c r="P237" s="27"/>
      <c r="Q237" s="116">
        <f t="shared" ref="Q237:Q251" si="69">IF(O237/I237*100=0,"-     ",ROUND(O237/I237*100,2))</f>
        <v>3.62</v>
      </c>
      <c r="S237" s="117">
        <f t="shared" ref="S237:S251" si="70">IF(O237=0,"-     ",ROUND(M237/O237,1))</f>
        <v>20.399999999999999</v>
      </c>
      <c r="T237" s="32"/>
      <c r="U237" s="120">
        <v>3.04E-2</v>
      </c>
      <c r="W237" s="145">
        <f t="shared" ref="W237:W251" si="71">I237*U237</f>
        <v>114403.54510399999</v>
      </c>
      <c r="X237" s="135"/>
      <c r="Y237" s="157">
        <f t="shared" ref="Y237:Y253" si="72">O237-W237</f>
        <v>21825.45489600001</v>
      </c>
    </row>
    <row r="238" spans="1:25" x14ac:dyDescent="0.2">
      <c r="A238" s="26"/>
      <c r="B238" s="27"/>
      <c r="C238" s="58" t="s">
        <v>114</v>
      </c>
      <c r="D238" s="27"/>
      <c r="E238" s="20" t="s">
        <v>144</v>
      </c>
      <c r="F238" s="20" t="s">
        <v>64</v>
      </c>
      <c r="G238" s="19">
        <v>-5</v>
      </c>
      <c r="H238" s="27"/>
      <c r="I238" s="29">
        <v>3757946.57</v>
      </c>
      <c r="J238" s="44"/>
      <c r="K238" s="45">
        <v>1174917</v>
      </c>
      <c r="L238" s="45"/>
      <c r="M238" s="45">
        <v>2770927</v>
      </c>
      <c r="N238" s="45"/>
      <c r="O238" s="45">
        <v>136027</v>
      </c>
      <c r="P238" s="27"/>
      <c r="Q238" s="116">
        <f t="shared" si="69"/>
        <v>3.62</v>
      </c>
      <c r="S238" s="117">
        <f t="shared" si="70"/>
        <v>20.399999999999999</v>
      </c>
      <c r="T238" s="32"/>
      <c r="U238" s="120">
        <v>3.04E-2</v>
      </c>
      <c r="W238" s="145">
        <f t="shared" si="71"/>
        <v>114241.575728</v>
      </c>
      <c r="X238" s="135"/>
      <c r="Y238" s="157">
        <f t="shared" si="72"/>
        <v>21785.424272000004</v>
      </c>
    </row>
    <row r="239" spans="1:25" x14ac:dyDescent="0.2">
      <c r="A239" s="26"/>
      <c r="B239" s="27"/>
      <c r="C239" s="58" t="s">
        <v>115</v>
      </c>
      <c r="D239" s="27"/>
      <c r="E239" s="20" t="s">
        <v>144</v>
      </c>
      <c r="F239" s="20" t="s">
        <v>64</v>
      </c>
      <c r="G239" s="19">
        <v>-5</v>
      </c>
      <c r="H239" s="27"/>
      <c r="I239" s="29">
        <v>2950282.37</v>
      </c>
      <c r="J239" s="44"/>
      <c r="K239" s="45">
        <v>748548</v>
      </c>
      <c r="L239" s="45"/>
      <c r="M239" s="45">
        <v>2349248</v>
      </c>
      <c r="N239" s="45"/>
      <c r="O239" s="45">
        <v>105018</v>
      </c>
      <c r="P239" s="27"/>
      <c r="Q239" s="116">
        <f t="shared" si="69"/>
        <v>3.56</v>
      </c>
      <c r="S239" s="117">
        <f t="shared" si="70"/>
        <v>22.4</v>
      </c>
      <c r="T239" s="32"/>
      <c r="U239" s="120">
        <v>3.2599999999999997E-2</v>
      </c>
      <c r="W239" s="145">
        <f t="shared" si="71"/>
        <v>96179.205261999989</v>
      </c>
      <c r="X239" s="135"/>
      <c r="Y239" s="157">
        <f t="shared" si="72"/>
        <v>8838.7947380000114</v>
      </c>
    </row>
    <row r="240" spans="1:25" x14ac:dyDescent="0.2">
      <c r="A240" s="26"/>
      <c r="B240" s="27"/>
      <c r="C240" s="58" t="s">
        <v>116</v>
      </c>
      <c r="D240" s="27"/>
      <c r="E240" s="20" t="s">
        <v>144</v>
      </c>
      <c r="F240" s="20" t="s">
        <v>64</v>
      </c>
      <c r="G240" s="19">
        <v>-5</v>
      </c>
      <c r="H240" s="27"/>
      <c r="I240" s="29">
        <v>2937930.22</v>
      </c>
      <c r="J240" s="44"/>
      <c r="K240" s="45">
        <v>745414</v>
      </c>
      <c r="L240" s="45"/>
      <c r="M240" s="45">
        <v>2339413</v>
      </c>
      <c r="N240" s="45"/>
      <c r="O240" s="45">
        <v>104578</v>
      </c>
      <c r="P240" s="27"/>
      <c r="Q240" s="116">
        <f t="shared" si="69"/>
        <v>3.56</v>
      </c>
      <c r="S240" s="117">
        <f t="shared" si="70"/>
        <v>22.4</v>
      </c>
      <c r="T240" s="32"/>
      <c r="U240" s="120">
        <v>3.2599999999999997E-2</v>
      </c>
      <c r="W240" s="145">
        <f t="shared" si="71"/>
        <v>95776.525171999994</v>
      </c>
      <c r="X240" s="135"/>
      <c r="Y240" s="157">
        <f t="shared" si="72"/>
        <v>8801.4748280000058</v>
      </c>
    </row>
    <row r="241" spans="1:25" x14ac:dyDescent="0.2">
      <c r="A241" s="26"/>
      <c r="B241" s="27"/>
      <c r="C241" s="58" t="s">
        <v>117</v>
      </c>
      <c r="D241" s="27"/>
      <c r="E241" s="20" t="s">
        <v>144</v>
      </c>
      <c r="F241" s="20" t="s">
        <v>64</v>
      </c>
      <c r="G241" s="19">
        <v>-5</v>
      </c>
      <c r="H241" s="27"/>
      <c r="I241" s="29">
        <v>2957520.12</v>
      </c>
      <c r="J241" s="44"/>
      <c r="K241" s="45">
        <v>741931</v>
      </c>
      <c r="L241" s="45"/>
      <c r="M241" s="45">
        <v>2363465</v>
      </c>
      <c r="N241" s="45"/>
      <c r="O241" s="45">
        <v>105653</v>
      </c>
      <c r="P241" s="27"/>
      <c r="Q241" s="116">
        <f t="shared" si="69"/>
        <v>3.57</v>
      </c>
      <c r="S241" s="117">
        <f t="shared" si="70"/>
        <v>22.4</v>
      </c>
      <c r="T241" s="32"/>
      <c r="U241" s="120">
        <v>3.2599999999999997E-2</v>
      </c>
      <c r="W241" s="145">
        <f t="shared" si="71"/>
        <v>96415.155912000002</v>
      </c>
      <c r="X241" s="135"/>
      <c r="Y241" s="157">
        <f t="shared" si="72"/>
        <v>9237.844087999998</v>
      </c>
    </row>
    <row r="242" spans="1:25" x14ac:dyDescent="0.2">
      <c r="A242" s="26"/>
      <c r="B242" s="27"/>
      <c r="C242" s="58" t="s">
        <v>118</v>
      </c>
      <c r="D242" s="27"/>
      <c r="E242" s="20" t="s">
        <v>144</v>
      </c>
      <c r="F242" s="20" t="s">
        <v>64</v>
      </c>
      <c r="G242" s="19">
        <v>-5</v>
      </c>
      <c r="H242" s="27"/>
      <c r="I242" s="29">
        <v>2954148.53</v>
      </c>
      <c r="J242" s="44"/>
      <c r="K242" s="45">
        <v>741085</v>
      </c>
      <c r="L242" s="45"/>
      <c r="M242" s="45">
        <v>2360771</v>
      </c>
      <c r="N242" s="45"/>
      <c r="O242" s="45">
        <v>105533</v>
      </c>
      <c r="P242" s="27"/>
      <c r="Q242" s="116">
        <f t="shared" si="69"/>
        <v>3.57</v>
      </c>
      <c r="S242" s="117">
        <f t="shared" si="70"/>
        <v>22.4</v>
      </c>
      <c r="T242" s="32"/>
      <c r="U242" s="120">
        <v>3.2599999999999997E-2</v>
      </c>
      <c r="W242" s="145">
        <f t="shared" si="71"/>
        <v>96305.242077999981</v>
      </c>
      <c r="X242" s="135"/>
      <c r="Y242" s="157">
        <f t="shared" si="72"/>
        <v>9227.7579220000189</v>
      </c>
    </row>
    <row r="243" spans="1:25" x14ac:dyDescent="0.2">
      <c r="A243" s="26"/>
      <c r="B243" s="27"/>
      <c r="C243" s="58" t="s">
        <v>119</v>
      </c>
      <c r="D243" s="27"/>
      <c r="E243" s="20" t="s">
        <v>144</v>
      </c>
      <c r="F243" s="20" t="s">
        <v>64</v>
      </c>
      <c r="G243" s="19">
        <v>-5</v>
      </c>
      <c r="H243" s="27"/>
      <c r="I243" s="29">
        <v>2858147.66</v>
      </c>
      <c r="J243" s="44"/>
      <c r="K243" s="45">
        <v>934297</v>
      </c>
      <c r="L243" s="45"/>
      <c r="M243" s="45">
        <v>2066758</v>
      </c>
      <c r="N243" s="45"/>
      <c r="O243" s="45">
        <v>106678</v>
      </c>
      <c r="P243" s="27"/>
      <c r="Q243" s="116">
        <f t="shared" si="69"/>
        <v>3.73</v>
      </c>
      <c r="S243" s="117">
        <f t="shared" si="70"/>
        <v>19.399999999999999</v>
      </c>
      <c r="T243" s="32"/>
      <c r="U243" s="120">
        <v>2.9399999999999999E-2</v>
      </c>
      <c r="W243" s="145">
        <f t="shared" si="71"/>
        <v>84029.541204000008</v>
      </c>
      <c r="X243" s="135"/>
      <c r="Y243" s="157">
        <f t="shared" si="72"/>
        <v>22648.458795999992</v>
      </c>
    </row>
    <row r="244" spans="1:25" x14ac:dyDescent="0.2">
      <c r="A244" s="26"/>
      <c r="B244" s="27"/>
      <c r="C244" s="58" t="s">
        <v>120</v>
      </c>
      <c r="D244" s="27"/>
      <c r="E244" s="20" t="s">
        <v>144</v>
      </c>
      <c r="F244" s="20" t="s">
        <v>64</v>
      </c>
      <c r="G244" s="19">
        <v>-5</v>
      </c>
      <c r="H244" s="27"/>
      <c r="I244" s="29">
        <v>3712619.52</v>
      </c>
      <c r="J244" s="44"/>
      <c r="K244" s="45">
        <v>1492911</v>
      </c>
      <c r="L244" s="45"/>
      <c r="M244" s="45">
        <v>2405339</v>
      </c>
      <c r="N244" s="45"/>
      <c r="O244" s="45">
        <v>138397</v>
      </c>
      <c r="P244" s="27"/>
      <c r="Q244" s="116">
        <f t="shared" si="69"/>
        <v>3.73</v>
      </c>
      <c r="S244" s="117">
        <f t="shared" si="70"/>
        <v>17.399999999999999</v>
      </c>
      <c r="T244" s="32"/>
      <c r="U244" s="120">
        <v>2.76E-2</v>
      </c>
      <c r="W244" s="145">
        <f t="shared" si="71"/>
        <v>102468.298752</v>
      </c>
      <c r="X244" s="135"/>
      <c r="Y244" s="157">
        <f t="shared" si="72"/>
        <v>35928.701247999998</v>
      </c>
    </row>
    <row r="245" spans="1:25" x14ac:dyDescent="0.2">
      <c r="A245" s="26"/>
      <c r="B245" s="27"/>
      <c r="C245" s="58" t="s">
        <v>121</v>
      </c>
      <c r="D245" s="27"/>
      <c r="E245" s="20" t="s">
        <v>144</v>
      </c>
      <c r="F245" s="20" t="s">
        <v>64</v>
      </c>
      <c r="G245" s="19">
        <v>-5</v>
      </c>
      <c r="H245" s="27"/>
      <c r="I245" s="29">
        <v>3722788.46</v>
      </c>
      <c r="J245" s="44"/>
      <c r="K245" s="45">
        <v>1463283</v>
      </c>
      <c r="L245" s="45"/>
      <c r="M245" s="45">
        <v>2445645</v>
      </c>
      <c r="N245" s="45"/>
      <c r="O245" s="45">
        <v>140714</v>
      </c>
      <c r="P245" s="27"/>
      <c r="Q245" s="116">
        <f t="shared" si="69"/>
        <v>3.78</v>
      </c>
      <c r="S245" s="117">
        <f t="shared" si="70"/>
        <v>17.399999999999999</v>
      </c>
      <c r="T245" s="32"/>
      <c r="U245" s="120">
        <v>2.76E-2</v>
      </c>
      <c r="W245" s="145">
        <f t="shared" si="71"/>
        <v>102748.961496</v>
      </c>
      <c r="X245" s="135"/>
      <c r="Y245" s="157">
        <f t="shared" si="72"/>
        <v>37965.038503999996</v>
      </c>
    </row>
    <row r="246" spans="1:25" x14ac:dyDescent="0.2">
      <c r="A246" s="26"/>
      <c r="B246" s="27"/>
      <c r="C246" s="58" t="s">
        <v>122</v>
      </c>
      <c r="D246" s="27"/>
      <c r="E246" s="20" t="s">
        <v>144</v>
      </c>
      <c r="F246" s="20" t="s">
        <v>64</v>
      </c>
      <c r="G246" s="19">
        <v>-5</v>
      </c>
      <c r="H246" s="27"/>
      <c r="I246" s="29">
        <v>4953960.72</v>
      </c>
      <c r="J246" s="44"/>
      <c r="K246" s="45">
        <v>2809555</v>
      </c>
      <c r="L246" s="45"/>
      <c r="M246" s="45">
        <v>2392104</v>
      </c>
      <c r="N246" s="45"/>
      <c r="O246" s="45">
        <v>178782</v>
      </c>
      <c r="P246" s="27"/>
      <c r="Q246" s="116">
        <f t="shared" si="69"/>
        <v>3.61</v>
      </c>
      <c r="S246" s="117">
        <f t="shared" si="70"/>
        <v>13.4</v>
      </c>
      <c r="T246" s="32"/>
      <c r="U246" s="120">
        <v>2.46E-2</v>
      </c>
      <c r="W246" s="145">
        <f t="shared" si="71"/>
        <v>121867.433712</v>
      </c>
      <c r="X246" s="135"/>
      <c r="Y246" s="157">
        <f t="shared" si="72"/>
        <v>56914.566288000002</v>
      </c>
    </row>
    <row r="247" spans="1:25" x14ac:dyDescent="0.2">
      <c r="A247" s="26"/>
      <c r="B247" s="27"/>
      <c r="C247" s="58" t="s">
        <v>123</v>
      </c>
      <c r="D247" s="27"/>
      <c r="E247" s="20" t="s">
        <v>144</v>
      </c>
      <c r="F247" s="20" t="s">
        <v>64</v>
      </c>
      <c r="G247" s="19">
        <v>-5</v>
      </c>
      <c r="H247" s="27"/>
      <c r="I247" s="29">
        <v>5452040.9699999997</v>
      </c>
      <c r="J247" s="44"/>
      <c r="K247" s="45">
        <v>3081447</v>
      </c>
      <c r="L247" s="45"/>
      <c r="M247" s="45">
        <v>2643196</v>
      </c>
      <c r="N247" s="45"/>
      <c r="O247" s="45">
        <v>139175</v>
      </c>
      <c r="P247" s="27"/>
      <c r="Q247" s="116">
        <f t="shared" si="69"/>
        <v>2.5499999999999998</v>
      </c>
      <c r="S247" s="117">
        <f t="shared" si="70"/>
        <v>19</v>
      </c>
      <c r="T247" s="32"/>
      <c r="U247" s="120">
        <v>2.3099999999999999E-2</v>
      </c>
      <c r="W247" s="145">
        <f t="shared" si="71"/>
        <v>125942.14640699999</v>
      </c>
      <c r="X247" s="135"/>
      <c r="Y247" s="157">
        <f t="shared" si="72"/>
        <v>13232.853593000007</v>
      </c>
    </row>
    <row r="248" spans="1:25" x14ac:dyDescent="0.2">
      <c r="A248" s="26"/>
      <c r="B248" s="27"/>
      <c r="C248" s="58" t="s">
        <v>124</v>
      </c>
      <c r="D248" s="27"/>
      <c r="E248" s="20" t="s">
        <v>144</v>
      </c>
      <c r="F248" s="20" t="s">
        <v>64</v>
      </c>
      <c r="G248" s="19">
        <v>-5</v>
      </c>
      <c r="H248" s="27"/>
      <c r="I248" s="29">
        <v>4944422.71</v>
      </c>
      <c r="J248" s="44"/>
      <c r="K248" s="45">
        <v>2624840</v>
      </c>
      <c r="L248" s="45"/>
      <c r="M248" s="45">
        <v>2566804</v>
      </c>
      <c r="N248" s="45"/>
      <c r="O248" s="45">
        <v>134599</v>
      </c>
      <c r="P248" s="27"/>
      <c r="Q248" s="116">
        <f t="shared" si="69"/>
        <v>2.72</v>
      </c>
      <c r="S248" s="117">
        <f t="shared" si="70"/>
        <v>19.100000000000001</v>
      </c>
      <c r="T248" s="32"/>
      <c r="U248" s="120">
        <v>2.46E-2</v>
      </c>
      <c r="W248" s="145">
        <f t="shared" si="71"/>
        <v>121632.798666</v>
      </c>
      <c r="X248" s="135"/>
      <c r="Y248" s="157">
        <f t="shared" si="72"/>
        <v>12966.201333999998</v>
      </c>
    </row>
    <row r="249" spans="1:25" x14ac:dyDescent="0.2">
      <c r="A249" s="26"/>
      <c r="B249" s="32"/>
      <c r="C249" s="58" t="s">
        <v>125</v>
      </c>
      <c r="D249" s="32"/>
      <c r="E249" s="20" t="s">
        <v>144</v>
      </c>
      <c r="F249" s="20" t="s">
        <v>64</v>
      </c>
      <c r="G249" s="19">
        <v>-5</v>
      </c>
      <c r="H249" s="32"/>
      <c r="I249" s="29">
        <v>5187040.3</v>
      </c>
      <c r="J249" s="44"/>
      <c r="K249" s="45">
        <v>2724699</v>
      </c>
      <c r="L249" s="45"/>
      <c r="M249" s="45">
        <v>2721693</v>
      </c>
      <c r="N249" s="45"/>
      <c r="O249" s="45">
        <v>189263</v>
      </c>
      <c r="P249" s="32"/>
      <c r="Q249" s="116">
        <f t="shared" si="69"/>
        <v>3.65</v>
      </c>
      <c r="S249" s="117">
        <f t="shared" si="70"/>
        <v>14.4</v>
      </c>
      <c r="T249" s="32"/>
      <c r="U249" s="120">
        <v>2.53E-2</v>
      </c>
      <c r="W249" s="145">
        <f t="shared" si="71"/>
        <v>131232.11958999999</v>
      </c>
      <c r="X249" s="135"/>
      <c r="Y249" s="157">
        <f t="shared" si="72"/>
        <v>58030.880410000012</v>
      </c>
    </row>
    <row r="250" spans="1:25" x14ac:dyDescent="0.2">
      <c r="A250" s="26"/>
      <c r="B250" s="27"/>
      <c r="C250" s="58" t="s">
        <v>126</v>
      </c>
      <c r="D250" s="27"/>
      <c r="E250" s="20" t="s">
        <v>144</v>
      </c>
      <c r="F250" s="20" t="s">
        <v>64</v>
      </c>
      <c r="G250" s="19">
        <v>-5</v>
      </c>
      <c r="H250" s="27"/>
      <c r="I250" s="29">
        <v>4023002.37</v>
      </c>
      <c r="J250" s="44"/>
      <c r="K250" s="45">
        <v>3504167</v>
      </c>
      <c r="L250" s="45"/>
      <c r="M250" s="45">
        <v>719985</v>
      </c>
      <c r="N250" s="45"/>
      <c r="O250" s="45">
        <v>92815</v>
      </c>
      <c r="P250" s="27"/>
      <c r="Q250" s="116">
        <f t="shared" si="69"/>
        <v>2.31</v>
      </c>
      <c r="S250" s="117">
        <f t="shared" si="70"/>
        <v>7.8</v>
      </c>
      <c r="T250" s="32"/>
      <c r="U250" s="120">
        <v>0</v>
      </c>
      <c r="W250" s="145">
        <f t="shared" si="71"/>
        <v>0</v>
      </c>
      <c r="X250" s="135"/>
      <c r="Y250" s="157">
        <f t="shared" si="72"/>
        <v>92815</v>
      </c>
    </row>
    <row r="251" spans="1:25" x14ac:dyDescent="0.2">
      <c r="A251" s="26"/>
      <c r="B251" s="27"/>
      <c r="C251" s="58" t="s">
        <v>127</v>
      </c>
      <c r="D251" s="27"/>
      <c r="E251" s="20" t="s">
        <v>144</v>
      </c>
      <c r="F251" s="20" t="s">
        <v>64</v>
      </c>
      <c r="G251" s="19">
        <v>-5</v>
      </c>
      <c r="H251" s="27"/>
      <c r="I251" s="47">
        <v>5185636.1100000003</v>
      </c>
      <c r="J251" s="44"/>
      <c r="K251" s="45">
        <v>1792632</v>
      </c>
      <c r="L251" s="45"/>
      <c r="M251" s="45">
        <v>3652286</v>
      </c>
      <c r="N251" s="45"/>
      <c r="O251" s="45">
        <v>188553</v>
      </c>
      <c r="P251" s="27"/>
      <c r="Q251" s="116">
        <f t="shared" si="69"/>
        <v>3.64</v>
      </c>
      <c r="S251" s="117">
        <f t="shared" si="70"/>
        <v>19.399999999999999</v>
      </c>
      <c r="T251" s="32"/>
      <c r="U251" s="120">
        <v>2.9399999999999999E-2</v>
      </c>
      <c r="W251" s="158">
        <f t="shared" si="71"/>
        <v>152457.701634</v>
      </c>
      <c r="X251" s="135"/>
      <c r="Y251" s="159">
        <f t="shared" si="72"/>
        <v>36095.298366000003</v>
      </c>
    </row>
    <row r="252" spans="1:25" x14ac:dyDescent="0.2">
      <c r="A252" s="26"/>
      <c r="B252" s="27"/>
      <c r="C252" s="27"/>
      <c r="D252" s="27"/>
      <c r="E252" s="20"/>
      <c r="F252" s="20"/>
      <c r="G252" s="19"/>
      <c r="H252" s="27"/>
      <c r="I252" s="29"/>
      <c r="J252" s="27"/>
      <c r="K252" s="49"/>
      <c r="L252" s="34"/>
      <c r="M252" s="49"/>
      <c r="N252" s="34"/>
      <c r="O252" s="49"/>
      <c r="P252" s="27"/>
      <c r="Q252" s="26"/>
      <c r="R252" s="27"/>
      <c r="S252" s="62"/>
      <c r="T252" s="32"/>
      <c r="U252" s="120"/>
      <c r="X252" s="135"/>
    </row>
    <row r="253" spans="1:25" x14ac:dyDescent="0.2">
      <c r="A253" s="26"/>
      <c r="B253" s="27"/>
      <c r="C253" s="65" t="s">
        <v>38</v>
      </c>
      <c r="D253" s="27"/>
      <c r="E253" s="20"/>
      <c r="F253" s="20"/>
      <c r="G253" s="19"/>
      <c r="H253" s="27"/>
      <c r="I253" s="29">
        <f>+SUBTOTAL(9,I237:I252)</f>
        <v>59360761.139999993</v>
      </c>
      <c r="J253" s="27"/>
      <c r="K253" s="34">
        <f>+SUBTOTAL(9,K237:K252)</f>
        <v>25756113</v>
      </c>
      <c r="L253" s="34"/>
      <c r="M253" s="34">
        <f>+SUBTOTAL(9,M237:M252)</f>
        <v>36572685</v>
      </c>
      <c r="N253" s="34"/>
      <c r="O253" s="34">
        <f>+SUBTOTAL(9,O237:O252)</f>
        <v>2002014</v>
      </c>
      <c r="P253" s="27"/>
      <c r="Q253" s="116">
        <f>IF(O253/I253*100=0,"-     ",ROUND(O253/I253*100,2))</f>
        <v>3.37</v>
      </c>
      <c r="S253" s="117">
        <f t="shared" ref="S253" si="73">IF(O253=0,"-     ",ROUND(M253/O253,1))</f>
        <v>18.3</v>
      </c>
      <c r="T253" s="32"/>
      <c r="U253" s="120"/>
      <c r="W253" s="118">
        <f>+SUBTOTAL(9,W237:W252)</f>
        <v>1555700.2507169999</v>
      </c>
      <c r="X253" s="135"/>
      <c r="Y253" s="157">
        <f t="shared" si="72"/>
        <v>446313.74928300013</v>
      </c>
    </row>
    <row r="254" spans="1:25" x14ac:dyDescent="0.2">
      <c r="A254" s="26"/>
      <c r="B254" s="27"/>
      <c r="C254" s="27"/>
      <c r="D254" s="27"/>
      <c r="E254" s="20"/>
      <c r="F254" s="20"/>
      <c r="G254" s="19"/>
      <c r="H254" s="27"/>
      <c r="I254" s="29"/>
      <c r="J254" s="27"/>
      <c r="K254" s="34"/>
      <c r="L254" s="34"/>
      <c r="M254" s="34"/>
      <c r="N254" s="34"/>
      <c r="O254" s="34"/>
      <c r="P254" s="27"/>
      <c r="Q254" s="26"/>
      <c r="R254" s="27"/>
      <c r="S254" s="62"/>
      <c r="T254" s="32"/>
      <c r="U254" s="119"/>
      <c r="X254" s="135"/>
    </row>
    <row r="255" spans="1:25" x14ac:dyDescent="0.2">
      <c r="A255" s="26">
        <v>345</v>
      </c>
      <c r="B255" s="27"/>
      <c r="C255" s="27" t="s">
        <v>39</v>
      </c>
      <c r="D255" s="27"/>
      <c r="E255" s="56"/>
      <c r="F255" s="56"/>
      <c r="G255" s="66"/>
      <c r="H255" s="27"/>
      <c r="I255" s="29"/>
      <c r="J255" s="27"/>
      <c r="K255" s="34"/>
      <c r="L255" s="34"/>
      <c r="M255" s="34"/>
      <c r="N255" s="34"/>
      <c r="O255" s="34"/>
      <c r="P255" s="27"/>
      <c r="Q255" s="26"/>
      <c r="R255" s="27"/>
      <c r="S255" s="62"/>
      <c r="T255" s="32"/>
      <c r="U255" s="120"/>
      <c r="X255" s="135"/>
    </row>
    <row r="256" spans="1:25" x14ac:dyDescent="0.2">
      <c r="A256" s="26"/>
      <c r="B256" s="27"/>
      <c r="C256" s="58" t="s">
        <v>113</v>
      </c>
      <c r="D256" s="27"/>
      <c r="E256" s="20" t="s">
        <v>145</v>
      </c>
      <c r="F256" s="20" t="s">
        <v>64</v>
      </c>
      <c r="G256" s="19">
        <v>-5</v>
      </c>
      <c r="H256" s="27"/>
      <c r="I256" s="29">
        <v>1693975.04</v>
      </c>
      <c r="J256" s="44"/>
      <c r="K256" s="45">
        <v>513697</v>
      </c>
      <c r="L256" s="45"/>
      <c r="M256" s="45">
        <v>1264977</v>
      </c>
      <c r="N256" s="45"/>
      <c r="O256" s="45">
        <v>64303</v>
      </c>
      <c r="P256" s="27"/>
      <c r="Q256" s="116">
        <f t="shared" ref="Q256:Q270" si="74">IF(O256/I256*100=0,"-     ",ROUND(O256/I256*100,2))</f>
        <v>3.8</v>
      </c>
      <c r="S256" s="117">
        <f t="shared" ref="S256:S270" si="75">IF(O256=0,"-     ",ROUND(M256/O256,1))</f>
        <v>19.7</v>
      </c>
      <c r="T256" s="32"/>
      <c r="U256" s="120">
        <v>2.98E-2</v>
      </c>
      <c r="W256" s="145">
        <f t="shared" ref="W256:W270" si="76">I256*U256</f>
        <v>50480.456191999998</v>
      </c>
      <c r="X256" s="135"/>
      <c r="Y256" s="157">
        <f t="shared" ref="Y256:Y272" si="77">O256-W256</f>
        <v>13822.543808000002</v>
      </c>
    </row>
    <row r="257" spans="1:25" x14ac:dyDescent="0.2">
      <c r="A257" s="26"/>
      <c r="B257" s="27"/>
      <c r="C257" s="58" t="s">
        <v>114</v>
      </c>
      <c r="D257" s="27"/>
      <c r="E257" s="20" t="s">
        <v>145</v>
      </c>
      <c r="F257" s="20" t="s">
        <v>64</v>
      </c>
      <c r="G257" s="19">
        <v>-5</v>
      </c>
      <c r="H257" s="27"/>
      <c r="I257" s="29">
        <v>4324591.46</v>
      </c>
      <c r="J257" s="44"/>
      <c r="K257" s="45">
        <v>1036892</v>
      </c>
      <c r="L257" s="45"/>
      <c r="M257" s="45">
        <v>3503929</v>
      </c>
      <c r="N257" s="45"/>
      <c r="O257" s="45">
        <v>178222</v>
      </c>
      <c r="P257" s="27"/>
      <c r="Q257" s="116">
        <f t="shared" si="74"/>
        <v>4.12</v>
      </c>
      <c r="S257" s="117">
        <f t="shared" si="75"/>
        <v>19.7</v>
      </c>
      <c r="T257" s="32"/>
      <c r="U257" s="120">
        <v>2.98E-2</v>
      </c>
      <c r="W257" s="145">
        <f t="shared" si="76"/>
        <v>128872.82550799999</v>
      </c>
      <c r="X257" s="135"/>
      <c r="Y257" s="157">
        <f t="shared" si="77"/>
        <v>49349.174492000006</v>
      </c>
    </row>
    <row r="258" spans="1:25" x14ac:dyDescent="0.2">
      <c r="A258" s="26"/>
      <c r="B258" s="27"/>
      <c r="C258" s="58" t="s">
        <v>115</v>
      </c>
      <c r="D258" s="27"/>
      <c r="E258" s="20" t="s">
        <v>145</v>
      </c>
      <c r="F258" s="20" t="s">
        <v>64</v>
      </c>
      <c r="G258" s="19">
        <v>-5</v>
      </c>
      <c r="H258" s="27"/>
      <c r="I258" s="29">
        <v>3148439.35</v>
      </c>
      <c r="J258" s="44"/>
      <c r="K258" s="45">
        <v>792088</v>
      </c>
      <c r="L258" s="45"/>
      <c r="M258" s="45">
        <v>2513773</v>
      </c>
      <c r="N258" s="45"/>
      <c r="O258" s="45">
        <v>116323</v>
      </c>
      <c r="P258" s="27"/>
      <c r="Q258" s="116">
        <f t="shared" si="74"/>
        <v>3.69</v>
      </c>
      <c r="S258" s="117">
        <f t="shared" si="75"/>
        <v>21.6</v>
      </c>
      <c r="T258" s="32"/>
      <c r="U258" s="120">
        <v>3.1899999999999998E-2</v>
      </c>
      <c r="W258" s="145">
        <f t="shared" si="76"/>
        <v>100435.21526499999</v>
      </c>
      <c r="X258" s="135"/>
      <c r="Y258" s="157">
        <f t="shared" si="77"/>
        <v>15887.784735000008</v>
      </c>
    </row>
    <row r="259" spans="1:25" x14ac:dyDescent="0.2">
      <c r="A259" s="26"/>
      <c r="B259" s="27"/>
      <c r="C259" s="58" t="s">
        <v>116</v>
      </c>
      <c r="D259" s="27"/>
      <c r="E259" s="20" t="s">
        <v>145</v>
      </c>
      <c r="F259" s="20" t="s">
        <v>64</v>
      </c>
      <c r="G259" s="19">
        <v>-5</v>
      </c>
      <c r="H259" s="27"/>
      <c r="I259" s="29">
        <v>3139331.68</v>
      </c>
      <c r="J259" s="44"/>
      <c r="K259" s="45">
        <v>789796</v>
      </c>
      <c r="L259" s="45"/>
      <c r="M259" s="45">
        <v>2506502</v>
      </c>
      <c r="N259" s="45"/>
      <c r="O259" s="45">
        <v>115986</v>
      </c>
      <c r="P259" s="27"/>
      <c r="Q259" s="116">
        <f t="shared" si="74"/>
        <v>3.69</v>
      </c>
      <c r="S259" s="117">
        <f t="shared" si="75"/>
        <v>21.6</v>
      </c>
      <c r="T259" s="32"/>
      <c r="U259" s="120">
        <v>3.1899999999999998E-2</v>
      </c>
      <c r="W259" s="145">
        <f t="shared" si="76"/>
        <v>100144.680592</v>
      </c>
      <c r="X259" s="135"/>
      <c r="Y259" s="157">
        <f t="shared" si="77"/>
        <v>15841.319407999996</v>
      </c>
    </row>
    <row r="260" spans="1:25" x14ac:dyDescent="0.2">
      <c r="A260" s="26"/>
      <c r="B260" s="27"/>
      <c r="C260" s="58" t="s">
        <v>117</v>
      </c>
      <c r="D260" s="27"/>
      <c r="E260" s="20" t="s">
        <v>145</v>
      </c>
      <c r="F260" s="20" t="s">
        <v>64</v>
      </c>
      <c r="G260" s="19">
        <v>-5</v>
      </c>
      <c r="H260" s="27"/>
      <c r="I260" s="29">
        <v>3234031.47</v>
      </c>
      <c r="J260" s="44"/>
      <c r="K260" s="45">
        <v>804392</v>
      </c>
      <c r="L260" s="45"/>
      <c r="M260" s="45">
        <v>2591341</v>
      </c>
      <c r="N260" s="45"/>
      <c r="O260" s="45">
        <v>119912</v>
      </c>
      <c r="P260" s="27"/>
      <c r="Q260" s="116">
        <f t="shared" si="74"/>
        <v>3.71</v>
      </c>
      <c r="S260" s="117">
        <f t="shared" si="75"/>
        <v>21.6</v>
      </c>
      <c r="T260" s="32"/>
      <c r="U260" s="120">
        <v>3.1899999999999998E-2</v>
      </c>
      <c r="W260" s="145">
        <f t="shared" si="76"/>
        <v>103165.60389299999</v>
      </c>
      <c r="X260" s="135"/>
      <c r="Y260" s="157">
        <f t="shared" si="77"/>
        <v>16746.396107000008</v>
      </c>
    </row>
    <row r="261" spans="1:25" x14ac:dyDescent="0.2">
      <c r="A261" s="26"/>
      <c r="B261" s="27"/>
      <c r="C261" s="58" t="s">
        <v>118</v>
      </c>
      <c r="D261" s="27"/>
      <c r="E261" s="20" t="s">
        <v>145</v>
      </c>
      <c r="F261" s="20" t="s">
        <v>64</v>
      </c>
      <c r="G261" s="19">
        <v>-5</v>
      </c>
      <c r="H261" s="27"/>
      <c r="I261" s="29">
        <v>7196618.3399999999</v>
      </c>
      <c r="J261" s="44"/>
      <c r="K261" s="45">
        <v>1451369</v>
      </c>
      <c r="L261" s="45"/>
      <c r="M261" s="45">
        <v>6105080</v>
      </c>
      <c r="N261" s="45"/>
      <c r="O261" s="45">
        <v>282456</v>
      </c>
      <c r="P261" s="27"/>
      <c r="Q261" s="116">
        <f t="shared" si="74"/>
        <v>3.92</v>
      </c>
      <c r="S261" s="117">
        <f t="shared" si="75"/>
        <v>21.6</v>
      </c>
      <c r="T261" s="32"/>
      <c r="U261" s="120">
        <v>3.1899999999999998E-2</v>
      </c>
      <c r="W261" s="145">
        <f t="shared" si="76"/>
        <v>229572.12504599997</v>
      </c>
      <c r="X261" s="135"/>
      <c r="Y261" s="157">
        <f t="shared" si="77"/>
        <v>52883.874954000028</v>
      </c>
    </row>
    <row r="262" spans="1:25" x14ac:dyDescent="0.2">
      <c r="A262" s="26"/>
      <c r="B262" s="27"/>
      <c r="C262" s="58" t="s">
        <v>119</v>
      </c>
      <c r="D262" s="27"/>
      <c r="E262" s="20" t="s">
        <v>145</v>
      </c>
      <c r="F262" s="20" t="s">
        <v>64</v>
      </c>
      <c r="G262" s="19">
        <v>-5</v>
      </c>
      <c r="H262" s="27"/>
      <c r="I262" s="29">
        <v>2277020.4900000002</v>
      </c>
      <c r="J262" s="44"/>
      <c r="K262" s="45">
        <v>662990</v>
      </c>
      <c r="L262" s="45"/>
      <c r="M262" s="45">
        <v>1727882</v>
      </c>
      <c r="N262" s="45"/>
      <c r="O262" s="45">
        <v>92383</v>
      </c>
      <c r="P262" s="27"/>
      <c r="Q262" s="116">
        <f t="shared" si="74"/>
        <v>4.0599999999999996</v>
      </c>
      <c r="S262" s="117">
        <f t="shared" si="75"/>
        <v>18.7</v>
      </c>
      <c r="T262" s="32"/>
      <c r="U262" s="120">
        <v>2.8899999999999999E-2</v>
      </c>
      <c r="W262" s="145">
        <f t="shared" si="76"/>
        <v>65805.892160999996</v>
      </c>
      <c r="X262" s="135"/>
      <c r="Y262" s="157">
        <f t="shared" si="77"/>
        <v>26577.107839000004</v>
      </c>
    </row>
    <row r="263" spans="1:25" x14ac:dyDescent="0.2">
      <c r="A263" s="26"/>
      <c r="B263" s="27"/>
      <c r="C263" s="58" t="s">
        <v>120</v>
      </c>
      <c r="D263" s="27"/>
      <c r="E263" s="20" t="s">
        <v>145</v>
      </c>
      <c r="F263" s="20" t="s">
        <v>64</v>
      </c>
      <c r="G263" s="19">
        <v>-5</v>
      </c>
      <c r="H263" s="27"/>
      <c r="I263" s="29">
        <v>1975216.41</v>
      </c>
      <c r="J263" s="44"/>
      <c r="K263" s="45">
        <v>691980</v>
      </c>
      <c r="L263" s="45"/>
      <c r="M263" s="45">
        <v>1381997</v>
      </c>
      <c r="N263" s="45"/>
      <c r="O263" s="45">
        <v>82329</v>
      </c>
      <c r="P263" s="27"/>
      <c r="Q263" s="116">
        <f t="shared" si="74"/>
        <v>4.17</v>
      </c>
      <c r="S263" s="117">
        <f t="shared" si="75"/>
        <v>16.8</v>
      </c>
      <c r="T263" s="32"/>
      <c r="U263" s="120">
        <v>2.7099999999999999E-2</v>
      </c>
      <c r="W263" s="145">
        <f t="shared" si="76"/>
        <v>53528.364710999995</v>
      </c>
      <c r="X263" s="135"/>
      <c r="Y263" s="157">
        <f t="shared" si="77"/>
        <v>28800.635289000005</v>
      </c>
    </row>
    <row r="264" spans="1:25" x14ac:dyDescent="0.2">
      <c r="A264" s="26"/>
      <c r="B264" s="27"/>
      <c r="C264" s="58" t="s">
        <v>121</v>
      </c>
      <c r="D264" s="27"/>
      <c r="E264" s="20" t="s">
        <v>145</v>
      </c>
      <c r="F264" s="20" t="s">
        <v>64</v>
      </c>
      <c r="G264" s="19">
        <v>-5</v>
      </c>
      <c r="H264" s="27"/>
      <c r="I264" s="29">
        <v>1935781.98</v>
      </c>
      <c r="J264" s="44"/>
      <c r="K264" s="45">
        <v>675547</v>
      </c>
      <c r="L264" s="45"/>
      <c r="M264" s="45">
        <v>1357024</v>
      </c>
      <c r="N264" s="45"/>
      <c r="O264" s="45">
        <v>80891</v>
      </c>
      <c r="P264" s="27"/>
      <c r="Q264" s="116">
        <f t="shared" si="74"/>
        <v>4.18</v>
      </c>
      <c r="S264" s="117">
        <f t="shared" si="75"/>
        <v>16.8</v>
      </c>
      <c r="T264" s="32"/>
      <c r="U264" s="120">
        <v>2.7099999999999999E-2</v>
      </c>
      <c r="W264" s="145">
        <f t="shared" si="76"/>
        <v>52459.691657999996</v>
      </c>
      <c r="X264" s="135"/>
      <c r="Y264" s="157">
        <f t="shared" si="77"/>
        <v>28431.308342000004</v>
      </c>
    </row>
    <row r="265" spans="1:25" x14ac:dyDescent="0.2">
      <c r="A265" s="26"/>
      <c r="B265" s="27"/>
      <c r="C265" s="58" t="s">
        <v>122</v>
      </c>
      <c r="D265" s="27"/>
      <c r="E265" s="20" t="s">
        <v>145</v>
      </c>
      <c r="F265" s="20" t="s">
        <v>64</v>
      </c>
      <c r="G265" s="19">
        <v>-5</v>
      </c>
      <c r="H265" s="27"/>
      <c r="I265" s="29">
        <v>2720729.67</v>
      </c>
      <c r="J265" s="44"/>
      <c r="K265" s="45">
        <v>1361195</v>
      </c>
      <c r="L265" s="45"/>
      <c r="M265" s="45">
        <v>1495571</v>
      </c>
      <c r="N265" s="45"/>
      <c r="O265" s="45">
        <v>115931</v>
      </c>
      <c r="P265" s="27"/>
      <c r="Q265" s="116">
        <f t="shared" si="74"/>
        <v>4.26</v>
      </c>
      <c r="S265" s="117">
        <f t="shared" si="75"/>
        <v>12.9</v>
      </c>
      <c r="T265" s="32"/>
      <c r="U265" s="120">
        <v>2.41E-2</v>
      </c>
      <c r="W265" s="145">
        <f t="shared" si="76"/>
        <v>65569.585047</v>
      </c>
      <c r="X265" s="135"/>
      <c r="Y265" s="157">
        <f t="shared" si="77"/>
        <v>50361.414953</v>
      </c>
    </row>
    <row r="266" spans="1:25" x14ac:dyDescent="0.2">
      <c r="A266" s="26"/>
      <c r="B266" s="27"/>
      <c r="C266" s="58" t="s">
        <v>123</v>
      </c>
      <c r="D266" s="27"/>
      <c r="E266" s="20" t="s">
        <v>145</v>
      </c>
      <c r="F266" s="20" t="s">
        <v>64</v>
      </c>
      <c r="G266" s="19">
        <v>-5</v>
      </c>
      <c r="H266" s="27"/>
      <c r="I266" s="29">
        <v>4205847.29</v>
      </c>
      <c r="J266" s="44"/>
      <c r="K266" s="45">
        <v>1987226</v>
      </c>
      <c r="L266" s="45"/>
      <c r="M266" s="45">
        <v>2428914</v>
      </c>
      <c r="N266" s="45"/>
      <c r="O266" s="45">
        <v>133961</v>
      </c>
      <c r="P266" s="27"/>
      <c r="Q266" s="116">
        <f t="shared" si="74"/>
        <v>3.19</v>
      </c>
      <c r="S266" s="117">
        <f t="shared" si="75"/>
        <v>18.100000000000001</v>
      </c>
      <c r="T266" s="32"/>
      <c r="U266" s="120">
        <v>2.3199999999999998E-2</v>
      </c>
      <c r="W266" s="145">
        <f t="shared" si="76"/>
        <v>97575.657127999992</v>
      </c>
      <c r="X266" s="135"/>
      <c r="Y266" s="157">
        <f t="shared" si="77"/>
        <v>36385.342872000008</v>
      </c>
    </row>
    <row r="267" spans="1:25" x14ac:dyDescent="0.2">
      <c r="A267" s="26"/>
      <c r="B267" s="27"/>
      <c r="C267" s="58" t="s">
        <v>124</v>
      </c>
      <c r="D267" s="27"/>
      <c r="E267" s="20" t="s">
        <v>145</v>
      </c>
      <c r="F267" s="20" t="s">
        <v>64</v>
      </c>
      <c r="G267" s="19">
        <v>-5</v>
      </c>
      <c r="H267" s="27"/>
      <c r="I267" s="29">
        <v>2744492.7</v>
      </c>
      <c r="J267" s="44"/>
      <c r="K267" s="45">
        <v>1316949</v>
      </c>
      <c r="L267" s="45"/>
      <c r="M267" s="45">
        <v>1564768</v>
      </c>
      <c r="N267" s="45"/>
      <c r="O267" s="45">
        <v>86963</v>
      </c>
      <c r="P267" s="45"/>
      <c r="Q267" s="116">
        <f t="shared" si="74"/>
        <v>3.17</v>
      </c>
      <c r="S267" s="117">
        <f t="shared" si="75"/>
        <v>18</v>
      </c>
      <c r="T267" s="32"/>
      <c r="U267" s="120">
        <v>2.4400000000000002E-2</v>
      </c>
      <c r="W267" s="145">
        <f t="shared" si="76"/>
        <v>66965.621880000006</v>
      </c>
      <c r="X267" s="135"/>
      <c r="Y267" s="157">
        <f t="shared" si="77"/>
        <v>19997.378119999994</v>
      </c>
    </row>
    <row r="268" spans="1:25" x14ac:dyDescent="0.2">
      <c r="A268" s="26"/>
      <c r="B268" s="27"/>
      <c r="C268" s="58" t="s">
        <v>125</v>
      </c>
      <c r="D268" s="27"/>
      <c r="E268" s="20" t="s">
        <v>145</v>
      </c>
      <c r="F268" s="20" t="s">
        <v>64</v>
      </c>
      <c r="G268" s="19">
        <v>-5</v>
      </c>
      <c r="H268" s="27"/>
      <c r="I268" s="29">
        <v>1863053.15</v>
      </c>
      <c r="J268" s="44"/>
      <c r="K268" s="45">
        <v>778412</v>
      </c>
      <c r="L268" s="45"/>
      <c r="M268" s="45">
        <v>1177794</v>
      </c>
      <c r="N268" s="45"/>
      <c r="O268" s="45">
        <v>84727</v>
      </c>
      <c r="P268" s="27"/>
      <c r="Q268" s="116">
        <f t="shared" si="74"/>
        <v>4.55</v>
      </c>
      <c r="S268" s="117">
        <f t="shared" si="75"/>
        <v>13.9</v>
      </c>
      <c r="T268" s="32"/>
      <c r="U268" s="120">
        <v>2.4799999999999999E-2</v>
      </c>
      <c r="W268" s="145">
        <f t="shared" si="76"/>
        <v>46203.718119999998</v>
      </c>
      <c r="X268" s="135"/>
      <c r="Y268" s="157">
        <f t="shared" si="77"/>
        <v>38523.281880000002</v>
      </c>
    </row>
    <row r="269" spans="1:25" x14ac:dyDescent="0.2">
      <c r="A269" s="26"/>
      <c r="B269" s="27"/>
      <c r="C269" s="58" t="s">
        <v>126</v>
      </c>
      <c r="D269" s="27"/>
      <c r="E269" s="20" t="s">
        <v>145</v>
      </c>
      <c r="F269" s="20" t="s">
        <v>64</v>
      </c>
      <c r="G269" s="19">
        <v>-5</v>
      </c>
      <c r="H269" s="27"/>
      <c r="I269" s="29">
        <v>1451957.03</v>
      </c>
      <c r="J269" s="44"/>
      <c r="K269" s="45">
        <v>563545</v>
      </c>
      <c r="L269" s="45"/>
      <c r="M269" s="45">
        <v>961010</v>
      </c>
      <c r="N269" s="45"/>
      <c r="O269" s="45">
        <v>116933</v>
      </c>
      <c r="P269" s="27"/>
      <c r="Q269" s="116">
        <f t="shared" si="74"/>
        <v>8.0500000000000007</v>
      </c>
      <c r="S269" s="117">
        <f t="shared" si="75"/>
        <v>8.1999999999999993</v>
      </c>
      <c r="T269" s="32"/>
      <c r="U269" s="120">
        <v>0</v>
      </c>
      <c r="W269" s="145">
        <f t="shared" si="76"/>
        <v>0</v>
      </c>
      <c r="X269" s="135"/>
      <c r="Y269" s="157">
        <f t="shared" si="77"/>
        <v>116933</v>
      </c>
    </row>
    <row r="270" spans="1:25" x14ac:dyDescent="0.2">
      <c r="A270" s="26"/>
      <c r="B270" s="27"/>
      <c r="C270" s="58" t="s">
        <v>127</v>
      </c>
      <c r="D270" s="27"/>
      <c r="E270" s="20" t="s">
        <v>145</v>
      </c>
      <c r="F270" s="20" t="s">
        <v>64</v>
      </c>
      <c r="G270" s="19">
        <v>-5</v>
      </c>
      <c r="H270" s="27"/>
      <c r="I270" s="47">
        <v>2456320.0099999998</v>
      </c>
      <c r="J270" s="44"/>
      <c r="K270" s="45">
        <v>844832</v>
      </c>
      <c r="L270" s="45"/>
      <c r="M270" s="45">
        <v>1734304</v>
      </c>
      <c r="N270" s="45"/>
      <c r="O270" s="45">
        <v>92743</v>
      </c>
      <c r="P270" s="27"/>
      <c r="Q270" s="116">
        <f t="shared" si="74"/>
        <v>3.78</v>
      </c>
      <c r="S270" s="117">
        <f t="shared" si="75"/>
        <v>18.7</v>
      </c>
      <c r="T270" s="32"/>
      <c r="U270" s="120">
        <v>2.8799999999999999E-2</v>
      </c>
      <c r="W270" s="158">
        <f t="shared" si="76"/>
        <v>70742.016287999999</v>
      </c>
      <c r="X270" s="135"/>
      <c r="Y270" s="159">
        <f t="shared" si="77"/>
        <v>22000.983712000001</v>
      </c>
    </row>
    <row r="271" spans="1:25" x14ac:dyDescent="0.2">
      <c r="A271" s="26"/>
      <c r="B271" s="27"/>
      <c r="C271" s="27"/>
      <c r="D271" s="27"/>
      <c r="E271" s="20"/>
      <c r="F271" s="20"/>
      <c r="G271" s="19"/>
      <c r="H271" s="27"/>
      <c r="I271" s="29"/>
      <c r="J271" s="27"/>
      <c r="K271" s="49"/>
      <c r="L271" s="34"/>
      <c r="M271" s="49"/>
      <c r="N271" s="34"/>
      <c r="O271" s="49"/>
      <c r="P271" s="27"/>
      <c r="Q271" s="26"/>
      <c r="R271" s="27"/>
      <c r="S271" s="62"/>
      <c r="T271" s="32"/>
      <c r="U271" s="120"/>
      <c r="X271" s="135"/>
    </row>
    <row r="272" spans="1:25" x14ac:dyDescent="0.2">
      <c r="A272" s="26"/>
      <c r="B272" s="27"/>
      <c r="C272" s="65" t="s">
        <v>40</v>
      </c>
      <c r="D272" s="27"/>
      <c r="E272" s="20"/>
      <c r="F272" s="20"/>
      <c r="G272" s="19"/>
      <c r="H272" s="27"/>
      <c r="I272" s="29">
        <f>+SUBTOTAL(9,I256:I271)</f>
        <v>44367406.07</v>
      </c>
      <c r="J272" s="27"/>
      <c r="K272" s="34">
        <f>+SUBTOTAL(9,K256:K271)</f>
        <v>14270910</v>
      </c>
      <c r="L272" s="34"/>
      <c r="M272" s="34">
        <f>+SUBTOTAL(9,M256:M271)</f>
        <v>32314866</v>
      </c>
      <c r="N272" s="34"/>
      <c r="O272" s="34">
        <f>+SUBTOTAL(9,O256:O271)</f>
        <v>1764063</v>
      </c>
      <c r="P272" s="27"/>
      <c r="Q272" s="116">
        <f>IF(O272/I272*100=0,"-     ",ROUND(O272/I272*100,2))</f>
        <v>3.98</v>
      </c>
      <c r="S272" s="117">
        <f t="shared" ref="S272" si="78">IF(O272=0,"-     ",ROUND(M272/O272,1))</f>
        <v>18.3</v>
      </c>
      <c r="T272" s="32"/>
      <c r="U272" s="120"/>
      <c r="W272" s="118">
        <f>+SUBTOTAL(9,W256:W271)</f>
        <v>1231521.453489</v>
      </c>
      <c r="X272" s="135"/>
      <c r="Y272" s="157">
        <f t="shared" si="77"/>
        <v>532541.54651100002</v>
      </c>
    </row>
    <row r="273" spans="1:25" x14ac:dyDescent="0.2">
      <c r="A273" s="26"/>
      <c r="B273" s="27"/>
      <c r="C273" s="27"/>
      <c r="D273" s="27"/>
      <c r="E273" s="20"/>
      <c r="F273" s="20"/>
      <c r="G273" s="19"/>
      <c r="H273" s="27"/>
      <c r="I273" s="29"/>
      <c r="J273" s="27"/>
      <c r="K273" s="34"/>
      <c r="L273" s="34"/>
      <c r="M273" s="34"/>
      <c r="N273" s="34"/>
      <c r="O273" s="34"/>
      <c r="P273" s="27"/>
      <c r="Q273" s="26"/>
      <c r="R273" s="27"/>
      <c r="S273" s="62"/>
      <c r="T273" s="32"/>
      <c r="U273" s="120"/>
      <c r="X273" s="135"/>
    </row>
    <row r="274" spans="1:25" x14ac:dyDescent="0.2">
      <c r="A274" s="26">
        <v>346</v>
      </c>
      <c r="B274" s="27"/>
      <c r="C274" s="59" t="s">
        <v>176</v>
      </c>
      <c r="D274" s="27"/>
      <c r="E274" s="56"/>
      <c r="F274" s="56"/>
      <c r="G274" s="66"/>
      <c r="H274" s="27"/>
      <c r="I274" s="29"/>
      <c r="J274" s="27"/>
      <c r="K274" s="34"/>
      <c r="L274" s="34"/>
      <c r="M274" s="34"/>
      <c r="N274" s="34"/>
      <c r="O274" s="34"/>
      <c r="P274" s="27"/>
      <c r="Q274" s="26"/>
      <c r="R274" s="27"/>
      <c r="S274" s="62"/>
      <c r="T274" s="32"/>
      <c r="U274" s="120"/>
      <c r="X274" s="135"/>
    </row>
    <row r="275" spans="1:25" x14ac:dyDescent="0.2">
      <c r="A275" s="26"/>
      <c r="B275" s="27"/>
      <c r="C275" s="58" t="s">
        <v>113</v>
      </c>
      <c r="D275" s="27"/>
      <c r="E275" s="20" t="s">
        <v>146</v>
      </c>
      <c r="F275" s="20" t="s">
        <v>64</v>
      </c>
      <c r="G275" s="19">
        <v>-5</v>
      </c>
      <c r="H275" s="27"/>
      <c r="I275" s="29">
        <v>28963.63</v>
      </c>
      <c r="J275" s="44"/>
      <c r="K275" s="45">
        <v>8377</v>
      </c>
      <c r="L275" s="45"/>
      <c r="M275" s="45">
        <v>22035</v>
      </c>
      <c r="N275" s="45"/>
      <c r="O275" s="45">
        <v>1171</v>
      </c>
      <c r="P275" s="27"/>
      <c r="Q275" s="116">
        <f t="shared" ref="Q275:Q288" si="79">IF(O275/I275*100=0,"-     ",ROUND(O275/I275*100,2))</f>
        <v>4.04</v>
      </c>
      <c r="S275" s="117">
        <f t="shared" ref="S275:S288" si="80">IF(O275=0,"-     ",ROUND(M275/O275,1))</f>
        <v>18.8</v>
      </c>
      <c r="T275" s="32"/>
      <c r="U275" s="120">
        <v>3.73E-2</v>
      </c>
      <c r="W275" s="145">
        <f t="shared" ref="W275:W288" si="81">I275*U275</f>
        <v>1080.3433990000001</v>
      </c>
      <c r="X275" s="135"/>
      <c r="Y275" s="157">
        <f t="shared" ref="Y275:Y288" si="82">O275-W275</f>
        <v>90.65660099999991</v>
      </c>
    </row>
    <row r="276" spans="1:25" x14ac:dyDescent="0.2">
      <c r="A276" s="26"/>
      <c r="B276" s="27"/>
      <c r="C276" s="58" t="s">
        <v>115</v>
      </c>
      <c r="D276" s="27"/>
      <c r="E276" s="20" t="s">
        <v>146</v>
      </c>
      <c r="F276" s="20" t="s">
        <v>64</v>
      </c>
      <c r="G276" s="19">
        <v>-5</v>
      </c>
      <c r="H276" s="27"/>
      <c r="I276" s="29">
        <v>8888.93</v>
      </c>
      <c r="J276" s="44"/>
      <c r="K276" s="45">
        <v>2318</v>
      </c>
      <c r="L276" s="45"/>
      <c r="M276" s="45">
        <v>7015</v>
      </c>
      <c r="N276" s="45"/>
      <c r="O276" s="45">
        <v>353</v>
      </c>
      <c r="P276" s="27"/>
      <c r="Q276" s="116">
        <f t="shared" si="79"/>
        <v>3.97</v>
      </c>
      <c r="S276" s="117">
        <f t="shared" si="80"/>
        <v>19.899999999999999</v>
      </c>
      <c r="T276" s="32"/>
      <c r="U276" s="120">
        <v>3.5000000000000003E-2</v>
      </c>
      <c r="W276" s="145">
        <f t="shared" si="81"/>
        <v>311.11255000000006</v>
      </c>
      <c r="X276" s="135"/>
      <c r="Y276" s="157">
        <f t="shared" si="82"/>
        <v>41.887449999999944</v>
      </c>
    </row>
    <row r="277" spans="1:25" x14ac:dyDescent="0.2">
      <c r="A277" s="26"/>
      <c r="B277" s="27"/>
      <c r="C277" s="58" t="s">
        <v>116</v>
      </c>
      <c r="D277" s="27"/>
      <c r="E277" s="20" t="s">
        <v>146</v>
      </c>
      <c r="F277" s="20" t="s">
        <v>64</v>
      </c>
      <c r="G277" s="19">
        <v>-5</v>
      </c>
      <c r="H277" s="27"/>
      <c r="I277" s="29">
        <v>8861.01</v>
      </c>
      <c r="J277" s="44"/>
      <c r="K277" s="45">
        <v>2310</v>
      </c>
      <c r="L277" s="45"/>
      <c r="M277" s="45">
        <v>6994</v>
      </c>
      <c r="N277" s="45"/>
      <c r="O277" s="45">
        <v>352</v>
      </c>
      <c r="P277" s="27"/>
      <c r="Q277" s="116">
        <f t="shared" si="79"/>
        <v>3.97</v>
      </c>
      <c r="S277" s="117">
        <f t="shared" si="80"/>
        <v>19.899999999999999</v>
      </c>
      <c r="T277" s="32"/>
      <c r="U277" s="120">
        <v>3.5000000000000003E-2</v>
      </c>
      <c r="W277" s="145">
        <f t="shared" si="81"/>
        <v>310.13535000000002</v>
      </c>
      <c r="X277" s="135"/>
      <c r="Y277" s="157">
        <f t="shared" si="82"/>
        <v>41.864649999999983</v>
      </c>
    </row>
    <row r="278" spans="1:25" x14ac:dyDescent="0.2">
      <c r="A278" s="26"/>
      <c r="B278" s="27"/>
      <c r="C278" s="58" t="s">
        <v>117</v>
      </c>
      <c r="D278" s="27"/>
      <c r="E278" s="20" t="s">
        <v>146</v>
      </c>
      <c r="F278" s="20" t="s">
        <v>64</v>
      </c>
      <c r="G278" s="19">
        <v>-5</v>
      </c>
      <c r="H278" s="27"/>
      <c r="I278" s="29">
        <v>9113.52</v>
      </c>
      <c r="J278" s="44"/>
      <c r="K278" s="45">
        <v>2350</v>
      </c>
      <c r="L278" s="45"/>
      <c r="M278" s="45">
        <v>7219</v>
      </c>
      <c r="N278" s="45"/>
      <c r="O278" s="45">
        <v>363</v>
      </c>
      <c r="P278" s="27"/>
      <c r="Q278" s="116">
        <f t="shared" si="79"/>
        <v>3.98</v>
      </c>
      <c r="S278" s="117">
        <f t="shared" si="80"/>
        <v>19.899999999999999</v>
      </c>
      <c r="T278" s="32"/>
      <c r="U278" s="120">
        <v>3.5000000000000003E-2</v>
      </c>
      <c r="W278" s="145">
        <f t="shared" si="81"/>
        <v>318.97320000000002</v>
      </c>
      <c r="X278" s="135"/>
      <c r="Y278" s="157">
        <f t="shared" si="82"/>
        <v>44.02679999999998</v>
      </c>
    </row>
    <row r="279" spans="1:25" x14ac:dyDescent="0.2">
      <c r="A279" s="26"/>
      <c r="B279" s="27"/>
      <c r="C279" s="58" t="s">
        <v>118</v>
      </c>
      <c r="D279" s="27"/>
      <c r="E279" s="20" t="s">
        <v>146</v>
      </c>
      <c r="F279" s="20" t="s">
        <v>64</v>
      </c>
      <c r="G279" s="19">
        <v>-5</v>
      </c>
      <c r="H279" s="27"/>
      <c r="I279" s="29">
        <v>41868.51</v>
      </c>
      <c r="J279" s="44"/>
      <c r="K279" s="45">
        <v>4157</v>
      </c>
      <c r="L279" s="45"/>
      <c r="M279" s="45">
        <v>39805</v>
      </c>
      <c r="N279" s="45"/>
      <c r="O279" s="45">
        <v>1922</v>
      </c>
      <c r="P279" s="27"/>
      <c r="Q279" s="116">
        <f t="shared" si="79"/>
        <v>4.59</v>
      </c>
      <c r="S279" s="117">
        <f t="shared" si="80"/>
        <v>20.7</v>
      </c>
      <c r="T279" s="32"/>
      <c r="U279" s="120">
        <v>3.49E-2</v>
      </c>
      <c r="W279" s="145">
        <f t="shared" si="81"/>
        <v>1461.2109990000001</v>
      </c>
      <c r="X279" s="135"/>
      <c r="Y279" s="157">
        <f t="shared" si="82"/>
        <v>460.78900099999987</v>
      </c>
    </row>
    <row r="280" spans="1:25" x14ac:dyDescent="0.2">
      <c r="A280" s="26"/>
      <c r="B280" s="27"/>
      <c r="C280" s="58" t="s">
        <v>119</v>
      </c>
      <c r="D280" s="27"/>
      <c r="E280" s="20" t="s">
        <v>146</v>
      </c>
      <c r="F280" s="20" t="s">
        <v>64</v>
      </c>
      <c r="G280" s="19">
        <v>-5</v>
      </c>
      <c r="H280" s="27"/>
      <c r="I280" s="29">
        <v>2139352.61</v>
      </c>
      <c r="J280" s="44"/>
      <c r="K280" s="45">
        <v>749750</v>
      </c>
      <c r="L280" s="45"/>
      <c r="M280" s="45">
        <v>1496570</v>
      </c>
      <c r="N280" s="45"/>
      <c r="O280" s="45">
        <v>86757</v>
      </c>
      <c r="P280" s="27"/>
      <c r="Q280" s="116">
        <f t="shared" si="79"/>
        <v>4.0599999999999996</v>
      </c>
      <c r="S280" s="117">
        <f t="shared" si="80"/>
        <v>17.3</v>
      </c>
      <c r="T280" s="32"/>
      <c r="U280" s="120">
        <v>3.2000000000000001E-2</v>
      </c>
      <c r="W280" s="145">
        <f t="shared" si="81"/>
        <v>68459.283519999997</v>
      </c>
      <c r="X280" s="135"/>
      <c r="Y280" s="157">
        <f t="shared" si="82"/>
        <v>18297.716480000003</v>
      </c>
    </row>
    <row r="281" spans="1:25" x14ac:dyDescent="0.2">
      <c r="A281" s="114" t="s">
        <v>163</v>
      </c>
      <c r="B281" s="27"/>
      <c r="C281" s="58" t="s">
        <v>120</v>
      </c>
      <c r="D281" s="27"/>
      <c r="E281" s="20" t="s">
        <v>146</v>
      </c>
      <c r="F281" s="20" t="s">
        <v>64</v>
      </c>
      <c r="G281" s="19">
        <v>-5</v>
      </c>
      <c r="H281" s="27"/>
      <c r="I281" s="29">
        <v>53748.85</v>
      </c>
      <c r="J281" s="44"/>
      <c r="K281" s="45">
        <v>17904</v>
      </c>
      <c r="L281" s="45"/>
      <c r="M281" s="45">
        <v>38532</v>
      </c>
      <c r="N281" s="45"/>
      <c r="O281" s="45">
        <v>2404</v>
      </c>
      <c r="P281" s="27"/>
      <c r="Q281" s="116">
        <f t="shared" si="79"/>
        <v>4.47</v>
      </c>
      <c r="S281" s="117">
        <f t="shared" si="80"/>
        <v>16</v>
      </c>
      <c r="T281" s="32"/>
      <c r="U281" s="120">
        <v>3.3300000000000003E-2</v>
      </c>
      <c r="W281" s="145">
        <f t="shared" si="81"/>
        <v>1789.8367050000002</v>
      </c>
      <c r="X281" s="135"/>
      <c r="Y281" s="157">
        <f t="shared" si="82"/>
        <v>614.16329499999983</v>
      </c>
    </row>
    <row r="282" spans="1:25" x14ac:dyDescent="0.2">
      <c r="A282" s="26"/>
      <c r="B282" s="27"/>
      <c r="C282" s="58" t="s">
        <v>121</v>
      </c>
      <c r="D282" s="27"/>
      <c r="E282" s="20" t="s">
        <v>146</v>
      </c>
      <c r="F282" s="20" t="s">
        <v>64</v>
      </c>
      <c r="G282" s="19">
        <v>-5</v>
      </c>
      <c r="H282" s="27"/>
      <c r="I282" s="29">
        <v>35647.39</v>
      </c>
      <c r="J282" s="44"/>
      <c r="K282" s="45">
        <v>13487</v>
      </c>
      <c r="L282" s="45"/>
      <c r="M282" s="45">
        <v>23943</v>
      </c>
      <c r="N282" s="45"/>
      <c r="O282" s="45">
        <v>1515</v>
      </c>
      <c r="P282" s="27"/>
      <c r="Q282" s="116">
        <f t="shared" si="79"/>
        <v>4.25</v>
      </c>
      <c r="S282" s="117">
        <f t="shared" si="80"/>
        <v>15.8</v>
      </c>
      <c r="T282" s="32"/>
      <c r="U282" s="120">
        <v>3.2300000000000002E-2</v>
      </c>
      <c r="W282" s="145">
        <f t="shared" si="81"/>
        <v>1151.410697</v>
      </c>
      <c r="X282" s="135"/>
      <c r="Y282" s="157">
        <f t="shared" si="82"/>
        <v>363.58930299999997</v>
      </c>
    </row>
    <row r="283" spans="1:25" x14ac:dyDescent="0.2">
      <c r="A283" s="26"/>
      <c r="B283" s="27"/>
      <c r="C283" s="58" t="s">
        <v>122</v>
      </c>
      <c r="D283" s="27"/>
      <c r="E283" s="20" t="s">
        <v>146</v>
      </c>
      <c r="F283" s="20" t="s">
        <v>64</v>
      </c>
      <c r="G283" s="19">
        <v>-5</v>
      </c>
      <c r="H283" s="27"/>
      <c r="I283" s="29">
        <v>285932.33</v>
      </c>
      <c r="J283" s="44"/>
      <c r="K283" s="45">
        <v>133886</v>
      </c>
      <c r="L283" s="45"/>
      <c r="M283" s="45">
        <v>166343</v>
      </c>
      <c r="N283" s="45"/>
      <c r="O283" s="45">
        <v>13435</v>
      </c>
      <c r="P283" s="27"/>
      <c r="Q283" s="116">
        <f t="shared" si="79"/>
        <v>4.7</v>
      </c>
      <c r="S283" s="117">
        <f t="shared" si="80"/>
        <v>12.4</v>
      </c>
      <c r="T283" s="32"/>
      <c r="U283" s="120">
        <v>2.7699999999999999E-2</v>
      </c>
      <c r="W283" s="145">
        <f t="shared" si="81"/>
        <v>7920.3255410000002</v>
      </c>
      <c r="X283" s="135"/>
      <c r="Y283" s="157">
        <f t="shared" si="82"/>
        <v>5514.6744589999998</v>
      </c>
    </row>
    <row r="284" spans="1:25" x14ac:dyDescent="0.2">
      <c r="A284" s="26"/>
      <c r="B284" s="27"/>
      <c r="C284" s="58" t="s">
        <v>123</v>
      </c>
      <c r="D284" s="27"/>
      <c r="E284" s="20" t="s">
        <v>146</v>
      </c>
      <c r="F284" s="20" t="s">
        <v>64</v>
      </c>
      <c r="G284" s="19">
        <v>-5</v>
      </c>
      <c r="H284" s="27"/>
      <c r="I284" s="29">
        <v>760255.37</v>
      </c>
      <c r="J284" s="44"/>
      <c r="K284" s="45">
        <v>435836</v>
      </c>
      <c r="L284" s="45"/>
      <c r="M284" s="45">
        <v>362432</v>
      </c>
      <c r="N284" s="45"/>
      <c r="O284" s="45">
        <v>22729</v>
      </c>
      <c r="P284" s="27"/>
      <c r="Q284" s="116">
        <f t="shared" si="79"/>
        <v>2.99</v>
      </c>
      <c r="S284" s="117">
        <f t="shared" si="80"/>
        <v>15.9</v>
      </c>
      <c r="T284" s="32"/>
      <c r="U284" s="120">
        <v>2.7699999999999999E-2</v>
      </c>
      <c r="W284" s="145">
        <f t="shared" si="81"/>
        <v>21059.073748999999</v>
      </c>
      <c r="X284" s="135"/>
      <c r="Y284" s="157">
        <f t="shared" si="82"/>
        <v>1669.9262510000008</v>
      </c>
    </row>
    <row r="285" spans="1:25" x14ac:dyDescent="0.2">
      <c r="A285" s="26"/>
      <c r="B285" s="27"/>
      <c r="C285" s="58" t="s">
        <v>124</v>
      </c>
      <c r="D285" s="27"/>
      <c r="E285" s="20" t="s">
        <v>146</v>
      </c>
      <c r="F285" s="20" t="s">
        <v>64</v>
      </c>
      <c r="G285" s="19">
        <v>-5</v>
      </c>
      <c r="H285" s="27"/>
      <c r="I285" s="29">
        <v>274390.87</v>
      </c>
      <c r="J285" s="44"/>
      <c r="K285" s="45">
        <v>136467</v>
      </c>
      <c r="L285" s="45"/>
      <c r="M285" s="45">
        <v>151643</v>
      </c>
      <c r="N285" s="45"/>
      <c r="O285" s="45">
        <v>9323</v>
      </c>
      <c r="P285" s="27"/>
      <c r="Q285" s="116">
        <f t="shared" si="79"/>
        <v>3.4</v>
      </c>
      <c r="S285" s="117">
        <f t="shared" si="80"/>
        <v>16.3</v>
      </c>
      <c r="T285" s="32"/>
      <c r="U285" s="120">
        <v>2.8500000000000001E-2</v>
      </c>
      <c r="W285" s="145">
        <f t="shared" si="81"/>
        <v>7820.139795</v>
      </c>
      <c r="X285" s="135"/>
      <c r="Y285" s="157">
        <f t="shared" si="82"/>
        <v>1502.860205</v>
      </c>
    </row>
    <row r="286" spans="1:25" x14ac:dyDescent="0.2">
      <c r="A286" s="26"/>
      <c r="B286" s="27"/>
      <c r="C286" s="58" t="s">
        <v>125</v>
      </c>
      <c r="D286" s="27"/>
      <c r="E286" s="20" t="s">
        <v>146</v>
      </c>
      <c r="F286" s="20" t="s">
        <v>64</v>
      </c>
      <c r="G286" s="19">
        <v>-5</v>
      </c>
      <c r="H286" s="27"/>
      <c r="I286" s="29">
        <v>590562.81999999995</v>
      </c>
      <c r="J286" s="44"/>
      <c r="K286" s="45">
        <v>219404</v>
      </c>
      <c r="L286" s="45"/>
      <c r="M286" s="45">
        <v>400687</v>
      </c>
      <c r="N286" s="45"/>
      <c r="O286" s="45">
        <v>29785</v>
      </c>
      <c r="P286" s="27"/>
      <c r="Q286" s="116">
        <f t="shared" si="79"/>
        <v>5.04</v>
      </c>
      <c r="S286" s="117">
        <f t="shared" si="80"/>
        <v>13.5</v>
      </c>
      <c r="T286" s="32"/>
      <c r="U286" s="120">
        <v>3.2199999999999999E-2</v>
      </c>
      <c r="W286" s="145">
        <f t="shared" si="81"/>
        <v>19016.122803999999</v>
      </c>
      <c r="X286" s="135"/>
      <c r="Y286" s="157">
        <f t="shared" si="82"/>
        <v>10768.877196000001</v>
      </c>
    </row>
    <row r="287" spans="1:25" x14ac:dyDescent="0.2">
      <c r="A287" s="26"/>
      <c r="B287" s="27"/>
      <c r="C287" s="58" t="s">
        <v>126</v>
      </c>
      <c r="D287" s="27"/>
      <c r="E287" s="20" t="s">
        <v>146</v>
      </c>
      <c r="F287" s="20" t="s">
        <v>64</v>
      </c>
      <c r="G287" s="19">
        <v>-5</v>
      </c>
      <c r="H287" s="27"/>
      <c r="I287" s="29">
        <v>35805.199999999997</v>
      </c>
      <c r="J287" s="44"/>
      <c r="K287" s="45">
        <v>34289</v>
      </c>
      <c r="L287" s="45"/>
      <c r="M287" s="45">
        <v>3306</v>
      </c>
      <c r="N287" s="45"/>
      <c r="O287" s="45">
        <v>597</v>
      </c>
      <c r="P287" s="27"/>
      <c r="Q287" s="116">
        <f t="shared" si="79"/>
        <v>1.67</v>
      </c>
      <c r="S287" s="117">
        <f t="shared" si="80"/>
        <v>5.5</v>
      </c>
      <c r="T287" s="32"/>
      <c r="U287" s="120">
        <v>0</v>
      </c>
      <c r="W287" s="145">
        <f t="shared" si="81"/>
        <v>0</v>
      </c>
      <c r="X287" s="135"/>
      <c r="Y287" s="157">
        <f t="shared" si="82"/>
        <v>597</v>
      </c>
    </row>
    <row r="288" spans="1:25" x14ac:dyDescent="0.2">
      <c r="A288" s="26"/>
      <c r="B288" s="27"/>
      <c r="C288" s="58" t="s">
        <v>127</v>
      </c>
      <c r="D288" s="27"/>
      <c r="E288" s="20" t="s">
        <v>146</v>
      </c>
      <c r="F288" s="20" t="s">
        <v>64</v>
      </c>
      <c r="G288" s="19">
        <v>-5</v>
      </c>
      <c r="H288" s="27"/>
      <c r="I288" s="47">
        <v>1089550.03</v>
      </c>
      <c r="J288" s="44"/>
      <c r="K288" s="45">
        <v>384938</v>
      </c>
      <c r="L288" s="45"/>
      <c r="M288" s="45">
        <v>759090</v>
      </c>
      <c r="N288" s="45"/>
      <c r="O288" s="45">
        <v>44055</v>
      </c>
      <c r="P288" s="27"/>
      <c r="Q288" s="116">
        <f t="shared" si="79"/>
        <v>4.04</v>
      </c>
      <c r="S288" s="117">
        <f t="shared" si="80"/>
        <v>17.2</v>
      </c>
      <c r="T288" s="32"/>
      <c r="U288" s="120">
        <v>3.2000000000000001E-2</v>
      </c>
      <c r="W288" s="158">
        <f t="shared" si="81"/>
        <v>34865.600960000003</v>
      </c>
      <c r="X288" s="135"/>
      <c r="Y288" s="159">
        <f t="shared" si="82"/>
        <v>9189.3990399999966</v>
      </c>
    </row>
    <row r="289" spans="1:25" x14ac:dyDescent="0.2">
      <c r="A289" s="26"/>
      <c r="B289" s="27"/>
      <c r="C289" s="27"/>
      <c r="D289" s="27"/>
      <c r="E289" s="20"/>
      <c r="F289" s="20"/>
      <c r="G289" s="19"/>
      <c r="H289" s="27"/>
      <c r="I289" s="29"/>
      <c r="J289" s="27"/>
      <c r="K289" s="49"/>
      <c r="L289" s="34"/>
      <c r="M289" s="49"/>
      <c r="N289" s="34"/>
      <c r="O289" s="49"/>
      <c r="P289" s="27"/>
      <c r="Q289" s="26"/>
      <c r="R289" s="27"/>
      <c r="S289" s="62"/>
      <c r="T289" s="32"/>
      <c r="U289" s="120"/>
      <c r="X289" s="135"/>
    </row>
    <row r="290" spans="1:25" x14ac:dyDescent="0.2">
      <c r="A290" s="26"/>
      <c r="B290" s="27"/>
      <c r="C290" s="65" t="s">
        <v>177</v>
      </c>
      <c r="D290" s="27"/>
      <c r="E290" s="20"/>
      <c r="F290" s="20"/>
      <c r="G290" s="19"/>
      <c r="H290" s="27"/>
      <c r="I290" s="47">
        <f>+SUBTOTAL(9,I275:I289)</f>
        <v>5362941.0700000012</v>
      </c>
      <c r="J290" s="27"/>
      <c r="K290" s="69">
        <f>+SUBTOTAL(9,K275:K289)</f>
        <v>2145473</v>
      </c>
      <c r="L290" s="34"/>
      <c r="M290" s="69">
        <f>+SUBTOTAL(9,M275:M289)</f>
        <v>3485614</v>
      </c>
      <c r="N290" s="34"/>
      <c r="O290" s="69">
        <f>+SUBTOTAL(9,O275:O289)</f>
        <v>214761</v>
      </c>
      <c r="P290" s="27"/>
      <c r="Q290" s="116">
        <f>IF(O290/I290*100=0,"-     ",ROUND(O290/I290*100,2))</f>
        <v>4</v>
      </c>
      <c r="S290" s="117">
        <f t="shared" ref="S290" si="83">IF(O290=0,"-     ",ROUND(M290/O290,1))</f>
        <v>16.2</v>
      </c>
      <c r="T290" s="32"/>
      <c r="U290" s="120"/>
      <c r="W290" s="125">
        <f>+SUBTOTAL(9,W275:W289)</f>
        <v>165563.569269</v>
      </c>
      <c r="X290" s="135"/>
      <c r="Y290" s="159">
        <f t="shared" ref="Y290" si="84">O290-W290</f>
        <v>49197.430731</v>
      </c>
    </row>
    <row r="291" spans="1:25" x14ac:dyDescent="0.2">
      <c r="A291" s="26"/>
      <c r="B291" s="27"/>
      <c r="C291" s="27"/>
      <c r="D291" s="27"/>
      <c r="E291" s="20"/>
      <c r="F291" s="20"/>
      <c r="G291" s="19"/>
      <c r="H291" s="27"/>
      <c r="I291" s="29"/>
      <c r="J291" s="27"/>
      <c r="K291" s="34"/>
      <c r="L291" s="34"/>
      <c r="M291" s="34"/>
      <c r="N291" s="34"/>
      <c r="O291" s="34"/>
      <c r="P291" s="27"/>
      <c r="Q291" s="26"/>
      <c r="R291" s="27"/>
      <c r="S291" s="62"/>
      <c r="T291" s="32"/>
      <c r="U291" s="120"/>
      <c r="X291" s="135"/>
    </row>
    <row r="292" spans="1:25" ht="15.75" x14ac:dyDescent="0.25">
      <c r="A292" s="26"/>
      <c r="B292" s="27"/>
      <c r="C292" s="91" t="s">
        <v>41</v>
      </c>
      <c r="D292" s="27"/>
      <c r="E292" s="48"/>
      <c r="F292" s="56"/>
      <c r="G292" s="51"/>
      <c r="H292" s="30"/>
      <c r="I292" s="52">
        <f>+SUBTOTAL(9,I173:I291)</f>
        <v>526856779.58000004</v>
      </c>
      <c r="J292" s="30"/>
      <c r="K292" s="31">
        <f>+SUBTOTAL(9,K173:K291)</f>
        <v>178011802</v>
      </c>
      <c r="L292" s="31"/>
      <c r="M292" s="31">
        <f>+SUBTOTAL(9,M173:M291)</f>
        <v>375178989</v>
      </c>
      <c r="N292" s="31"/>
      <c r="O292" s="31">
        <f>+SUBTOTAL(9,O173:O291)</f>
        <v>22008824</v>
      </c>
      <c r="P292" s="30"/>
      <c r="Q292" s="61">
        <f>+ROUND(O292/I292*100,2)</f>
        <v>4.18</v>
      </c>
      <c r="R292" s="27"/>
      <c r="S292" s="62"/>
      <c r="T292" s="32"/>
      <c r="U292" s="120"/>
      <c r="W292" s="132">
        <f>+SUBTOTAL(9,W173:W291)</f>
        <v>17682673.403652009</v>
      </c>
      <c r="X292" s="135"/>
      <c r="Y292" s="132">
        <f t="shared" ref="Y292" si="85">O292-W292</f>
        <v>4326150.5963479914</v>
      </c>
    </row>
    <row r="293" spans="1:25" ht="15.75" x14ac:dyDescent="0.25">
      <c r="A293" s="26"/>
      <c r="B293" s="27"/>
      <c r="C293" s="91"/>
      <c r="D293" s="27"/>
      <c r="E293" s="48"/>
      <c r="F293" s="56"/>
      <c r="G293" s="51"/>
      <c r="H293" s="30"/>
      <c r="I293" s="29"/>
      <c r="J293" s="30"/>
      <c r="K293" s="31"/>
      <c r="L293" s="31"/>
      <c r="M293" s="31"/>
      <c r="N293" s="31"/>
      <c r="O293" s="31"/>
      <c r="P293" s="30"/>
      <c r="Q293" s="26"/>
      <c r="R293" s="27"/>
      <c r="S293" s="62"/>
      <c r="T293" s="32"/>
      <c r="U293" s="120"/>
      <c r="X293" s="135"/>
    </row>
    <row r="294" spans="1:25" x14ac:dyDescent="0.2">
      <c r="A294" s="26"/>
      <c r="B294" s="27"/>
      <c r="C294" s="27"/>
      <c r="D294" s="27"/>
      <c r="E294" s="48"/>
      <c r="F294" s="56"/>
      <c r="G294" s="19"/>
      <c r="H294" s="27"/>
      <c r="I294" s="29"/>
      <c r="J294" s="27"/>
      <c r="K294" s="34"/>
      <c r="L294" s="34"/>
      <c r="M294" s="34"/>
      <c r="N294" s="34"/>
      <c r="O294" s="34"/>
      <c r="P294" s="27"/>
      <c r="Q294" s="26"/>
      <c r="R294" s="27"/>
      <c r="S294" s="62"/>
      <c r="T294" s="32"/>
      <c r="U294" s="120"/>
      <c r="X294" s="135"/>
    </row>
    <row r="295" spans="1:25" ht="15.75" x14ac:dyDescent="0.25">
      <c r="A295" s="26"/>
      <c r="B295" s="27"/>
      <c r="C295" s="53" t="s">
        <v>42</v>
      </c>
      <c r="D295" s="27"/>
      <c r="E295" s="48"/>
      <c r="F295" s="56"/>
      <c r="G295" s="19"/>
      <c r="H295" s="27"/>
      <c r="I295" s="29"/>
      <c r="J295" s="27"/>
      <c r="K295" s="34"/>
      <c r="L295" s="34"/>
      <c r="M295" s="34"/>
      <c r="N295" s="34"/>
      <c r="O295" s="34"/>
      <c r="P295" s="27"/>
      <c r="Q295" s="26"/>
      <c r="R295" s="27"/>
      <c r="S295" s="62"/>
      <c r="T295" s="32"/>
      <c r="U295" s="120"/>
      <c r="X295" s="135"/>
    </row>
    <row r="296" spans="1:25" s="27" customFormat="1" ht="15.75" x14ac:dyDescent="0.25">
      <c r="A296" s="26"/>
      <c r="C296" s="43"/>
      <c r="E296" s="48"/>
      <c r="F296" s="56"/>
      <c r="G296" s="19"/>
      <c r="I296" s="29"/>
      <c r="K296" s="34"/>
      <c r="L296" s="34"/>
      <c r="M296" s="34"/>
      <c r="N296" s="34"/>
      <c r="O296" s="34"/>
      <c r="Q296" s="26"/>
      <c r="S296" s="62"/>
      <c r="T296" s="32"/>
      <c r="U296" s="120"/>
      <c r="W296" s="150"/>
      <c r="X296" s="139"/>
      <c r="Y296" s="153"/>
    </row>
    <row r="297" spans="1:25" s="27" customFormat="1" x14ac:dyDescent="0.2">
      <c r="A297" s="26">
        <v>350.1</v>
      </c>
      <c r="C297" s="27" t="s">
        <v>179</v>
      </c>
      <c r="E297" s="20" t="s">
        <v>195</v>
      </c>
      <c r="F297" s="56"/>
      <c r="G297" s="19">
        <v>0</v>
      </c>
      <c r="I297" s="29">
        <v>23413728.550000001</v>
      </c>
      <c r="J297" s="44"/>
      <c r="K297" s="45">
        <v>15953928</v>
      </c>
      <c r="L297" s="45"/>
      <c r="M297" s="45">
        <v>7459801</v>
      </c>
      <c r="N297" s="45"/>
      <c r="O297" s="45">
        <v>225538</v>
      </c>
      <c r="Q297" s="116">
        <f t="shared" ref="Q297:Q306" si="86">IF(O297/I297*100=0,"-     ",ROUND(O297/I297*100,2))</f>
        <v>0.96</v>
      </c>
      <c r="R297"/>
      <c r="S297" s="117">
        <f t="shared" ref="S297:S306" si="87">IF(O297=0,"-     ",ROUND(M297/O297,1))</f>
        <v>33.1</v>
      </c>
      <c r="T297" s="32"/>
      <c r="U297" s="120">
        <v>9.7999999999999997E-3</v>
      </c>
      <c r="W297" s="145">
        <f t="shared" ref="W297:W306" si="88">I297*U297</f>
        <v>229454.53979000001</v>
      </c>
      <c r="X297" s="139"/>
      <c r="Y297" s="157">
        <f t="shared" ref="Y297:Y306" si="89">O297-W297</f>
        <v>-3916.5397900000098</v>
      </c>
    </row>
    <row r="298" spans="1:25" s="27" customFormat="1" ht="15" customHeight="1" x14ac:dyDescent="0.2">
      <c r="A298" s="26">
        <v>352.1</v>
      </c>
      <c r="C298" s="59" t="s">
        <v>35</v>
      </c>
      <c r="E298" s="20" t="s">
        <v>147</v>
      </c>
      <c r="F298" s="56"/>
      <c r="G298" s="19">
        <v>-25</v>
      </c>
      <c r="I298" s="29">
        <v>17020058.510000002</v>
      </c>
      <c r="J298" s="44"/>
      <c r="K298" s="45">
        <v>4850267</v>
      </c>
      <c r="L298" s="45"/>
      <c r="M298" s="45">
        <v>16424806</v>
      </c>
      <c r="N298" s="45"/>
      <c r="O298" s="45">
        <v>298018</v>
      </c>
      <c r="Q298" s="116">
        <f t="shared" si="86"/>
        <v>1.75</v>
      </c>
      <c r="R298"/>
      <c r="S298" s="117">
        <f t="shared" si="87"/>
        <v>55.1</v>
      </c>
      <c r="T298" s="32"/>
      <c r="U298" s="120">
        <v>1.54E-2</v>
      </c>
      <c r="W298" s="145">
        <f t="shared" si="88"/>
        <v>262108.90105400005</v>
      </c>
      <c r="X298" s="139"/>
      <c r="Y298" s="157">
        <f t="shared" si="89"/>
        <v>35909.098945999955</v>
      </c>
    </row>
    <row r="299" spans="1:25" s="27" customFormat="1" ht="15" customHeight="1" x14ac:dyDescent="0.2">
      <c r="A299" s="26">
        <v>352.2</v>
      </c>
      <c r="C299" s="27" t="s">
        <v>183</v>
      </c>
      <c r="E299" s="20" t="s">
        <v>195</v>
      </c>
      <c r="F299" s="56"/>
      <c r="G299" s="19">
        <v>-25</v>
      </c>
      <c r="I299" s="29">
        <v>1220542.6200000001</v>
      </c>
      <c r="J299" s="44"/>
      <c r="K299" s="45">
        <v>860225</v>
      </c>
      <c r="L299" s="45"/>
      <c r="M299" s="45">
        <v>665453</v>
      </c>
      <c r="N299" s="45"/>
      <c r="O299" s="45">
        <v>19271</v>
      </c>
      <c r="Q299" s="116">
        <f t="shared" si="86"/>
        <v>1.58</v>
      </c>
      <c r="R299"/>
      <c r="S299" s="117">
        <f t="shared" si="87"/>
        <v>34.5</v>
      </c>
      <c r="T299" s="32"/>
      <c r="U299" s="120">
        <v>1.43E-2</v>
      </c>
      <c r="W299" s="145">
        <f t="shared" si="88"/>
        <v>17453.759466000003</v>
      </c>
      <c r="X299" s="139"/>
      <c r="Y299" s="157">
        <f t="shared" si="89"/>
        <v>1817.2405339999968</v>
      </c>
    </row>
    <row r="300" spans="1:25" s="27" customFormat="1" ht="15" customHeight="1" x14ac:dyDescent="0.2">
      <c r="A300" s="26">
        <v>353.1</v>
      </c>
      <c r="C300" s="27" t="s">
        <v>181</v>
      </c>
      <c r="E300" s="20" t="s">
        <v>196</v>
      </c>
      <c r="F300" s="56"/>
      <c r="G300" s="19">
        <v>-10</v>
      </c>
      <c r="I300" s="29">
        <v>191753788.16999999</v>
      </c>
      <c r="J300" s="44"/>
      <c r="K300" s="45">
        <v>67092664</v>
      </c>
      <c r="L300" s="45"/>
      <c r="M300" s="45">
        <v>143836503</v>
      </c>
      <c r="N300" s="45"/>
      <c r="O300" s="45">
        <v>3211159</v>
      </c>
      <c r="Q300" s="116">
        <f t="shared" si="86"/>
        <v>1.67</v>
      </c>
      <c r="R300"/>
      <c r="S300" s="117">
        <f t="shared" si="87"/>
        <v>44.8</v>
      </c>
      <c r="T300" s="32"/>
      <c r="U300" s="120">
        <v>1.9800000000000002E-2</v>
      </c>
      <c r="W300" s="145">
        <f t="shared" si="88"/>
        <v>3796725.0057660001</v>
      </c>
      <c r="X300" s="139"/>
      <c r="Y300" s="157">
        <f t="shared" si="89"/>
        <v>-585566.00576600013</v>
      </c>
    </row>
    <row r="301" spans="1:25" s="27" customFormat="1" ht="15" customHeight="1" x14ac:dyDescent="0.2">
      <c r="A301" s="26">
        <v>353.2</v>
      </c>
      <c r="C301" s="27" t="s">
        <v>182</v>
      </c>
      <c r="E301" s="20" t="s">
        <v>197</v>
      </c>
      <c r="F301" s="56"/>
      <c r="G301" s="19">
        <v>-10</v>
      </c>
      <c r="I301" s="29">
        <v>14668403.51</v>
      </c>
      <c r="J301" s="44"/>
      <c r="K301" s="45">
        <v>16135244</v>
      </c>
      <c r="L301" s="45"/>
      <c r="M301" s="45">
        <v>0</v>
      </c>
      <c r="N301" s="45"/>
      <c r="O301" s="45">
        <v>0</v>
      </c>
      <c r="Q301" s="116" t="str">
        <f t="shared" si="86"/>
        <v xml:space="preserve">-     </v>
      </c>
      <c r="R301"/>
      <c r="S301" s="117" t="str">
        <f t="shared" si="87"/>
        <v xml:space="preserve">-     </v>
      </c>
      <c r="T301" s="32"/>
      <c r="U301" s="120">
        <v>4.5999999999999999E-3</v>
      </c>
      <c r="W301" s="145">
        <f t="shared" si="88"/>
        <v>67474.656145999994</v>
      </c>
      <c r="X301" s="139"/>
      <c r="Y301" s="157">
        <f t="shared" si="89"/>
        <v>-67474.656145999994</v>
      </c>
    </row>
    <row r="302" spans="1:25" s="27" customFormat="1" x14ac:dyDescent="0.2">
      <c r="A302" s="26">
        <v>354</v>
      </c>
      <c r="C302" s="27" t="s">
        <v>70</v>
      </c>
      <c r="E302" s="20" t="s">
        <v>198</v>
      </c>
      <c r="F302" s="56"/>
      <c r="G302" s="19">
        <v>-25</v>
      </c>
      <c r="I302" s="29">
        <v>95353356.620000005</v>
      </c>
      <c r="J302" s="44"/>
      <c r="K302" s="45">
        <v>48758751</v>
      </c>
      <c r="L302" s="45"/>
      <c r="M302" s="45">
        <v>70432945</v>
      </c>
      <c r="N302" s="45"/>
      <c r="O302" s="45">
        <v>1300626</v>
      </c>
      <c r="Q302" s="116">
        <f t="shared" si="86"/>
        <v>1.36</v>
      </c>
      <c r="R302"/>
      <c r="S302" s="117">
        <f t="shared" si="87"/>
        <v>54.2</v>
      </c>
      <c r="T302" s="32"/>
      <c r="U302" s="120">
        <v>1.21E-2</v>
      </c>
      <c r="W302" s="145">
        <f t="shared" si="88"/>
        <v>1153775.6151020001</v>
      </c>
      <c r="X302" s="139"/>
      <c r="Y302" s="157">
        <f t="shared" si="89"/>
        <v>146850.38489799993</v>
      </c>
    </row>
    <row r="303" spans="1:25" s="27" customFormat="1" x14ac:dyDescent="0.2">
      <c r="A303" s="26">
        <v>355</v>
      </c>
      <c r="C303" s="27" t="s">
        <v>71</v>
      </c>
      <c r="E303" s="20" t="s">
        <v>199</v>
      </c>
      <c r="F303" s="56"/>
      <c r="G303" s="19">
        <v>-55</v>
      </c>
      <c r="I303" s="29">
        <v>148658780.47999999</v>
      </c>
      <c r="J303" s="44"/>
      <c r="K303" s="45">
        <v>68401548</v>
      </c>
      <c r="L303" s="45"/>
      <c r="M303" s="45">
        <v>162019562</v>
      </c>
      <c r="N303" s="45"/>
      <c r="O303" s="45">
        <v>3485089</v>
      </c>
      <c r="Q303" s="116">
        <f t="shared" si="86"/>
        <v>2.34</v>
      </c>
      <c r="R303"/>
      <c r="S303" s="117">
        <f t="shared" si="87"/>
        <v>46.5</v>
      </c>
      <c r="T303" s="32"/>
      <c r="U303" s="120">
        <v>2.2800000000000001E-2</v>
      </c>
      <c r="W303" s="145">
        <f t="shared" si="88"/>
        <v>3389420.1949439999</v>
      </c>
      <c r="X303" s="139"/>
      <c r="Y303" s="157">
        <f t="shared" si="89"/>
        <v>95668.805056000128</v>
      </c>
    </row>
    <row r="304" spans="1:25" s="27" customFormat="1" x14ac:dyDescent="0.2">
      <c r="A304" s="26">
        <v>356</v>
      </c>
      <c r="C304" s="27" t="s">
        <v>72</v>
      </c>
      <c r="E304" s="20" t="s">
        <v>195</v>
      </c>
      <c r="F304" s="56"/>
      <c r="G304" s="19">
        <v>-50</v>
      </c>
      <c r="I304" s="29">
        <v>160446879.27000001</v>
      </c>
      <c r="J304" s="44"/>
      <c r="K304" s="45">
        <v>109283433</v>
      </c>
      <c r="L304" s="45"/>
      <c r="M304" s="45">
        <v>131386886</v>
      </c>
      <c r="N304" s="45"/>
      <c r="O304" s="45">
        <v>3105267</v>
      </c>
      <c r="Q304" s="116">
        <f t="shared" si="86"/>
        <v>1.94</v>
      </c>
      <c r="R304"/>
      <c r="S304" s="117">
        <f t="shared" si="87"/>
        <v>42.3</v>
      </c>
      <c r="T304" s="32"/>
      <c r="U304" s="120">
        <v>1.7899999999999999E-2</v>
      </c>
      <c r="W304" s="145">
        <f t="shared" si="88"/>
        <v>2871999.1389330002</v>
      </c>
      <c r="X304" s="139"/>
      <c r="Y304" s="157">
        <f t="shared" si="89"/>
        <v>233267.86106699985</v>
      </c>
    </row>
    <row r="305" spans="1:25" s="27" customFormat="1" x14ac:dyDescent="0.2">
      <c r="A305" s="26">
        <v>357</v>
      </c>
      <c r="C305" s="27" t="s">
        <v>73</v>
      </c>
      <c r="E305" s="20" t="s">
        <v>200</v>
      </c>
      <c r="F305" s="56"/>
      <c r="G305" s="19">
        <v>0</v>
      </c>
      <c r="I305" s="29">
        <v>448760.26</v>
      </c>
      <c r="J305" s="44"/>
      <c r="K305" s="45">
        <v>187418</v>
      </c>
      <c r="L305" s="45"/>
      <c r="M305" s="45">
        <v>261342</v>
      </c>
      <c r="N305" s="45"/>
      <c r="O305" s="45">
        <v>10209</v>
      </c>
      <c r="Q305" s="116">
        <f t="shared" si="86"/>
        <v>2.27</v>
      </c>
      <c r="R305"/>
      <c r="S305" s="117">
        <f t="shared" si="87"/>
        <v>25.6</v>
      </c>
      <c r="T305" s="32"/>
      <c r="U305" s="120">
        <v>2.5999999999999999E-2</v>
      </c>
      <c r="W305" s="145">
        <f t="shared" si="88"/>
        <v>11667.76676</v>
      </c>
      <c r="X305" s="139"/>
      <c r="Y305" s="157">
        <f t="shared" si="89"/>
        <v>-1458.7667600000004</v>
      </c>
    </row>
    <row r="306" spans="1:25" s="27" customFormat="1" x14ac:dyDescent="0.2">
      <c r="A306" s="26">
        <v>358</v>
      </c>
      <c r="C306" s="46" t="s">
        <v>74</v>
      </c>
      <c r="E306" s="20" t="s">
        <v>201</v>
      </c>
      <c r="F306" s="56"/>
      <c r="G306" s="19">
        <v>0</v>
      </c>
      <c r="I306" s="47">
        <v>1161549.29</v>
      </c>
      <c r="J306" s="44"/>
      <c r="K306" s="45">
        <v>918039</v>
      </c>
      <c r="L306" s="45"/>
      <c r="M306" s="45">
        <v>243510</v>
      </c>
      <c r="N306" s="45"/>
      <c r="O306" s="45">
        <v>11420</v>
      </c>
      <c r="Q306" s="116">
        <f t="shared" si="86"/>
        <v>0.98</v>
      </c>
      <c r="R306"/>
      <c r="S306" s="117">
        <f t="shared" si="87"/>
        <v>21.3</v>
      </c>
      <c r="T306" s="32"/>
      <c r="U306" s="120">
        <v>1.26E-2</v>
      </c>
      <c r="W306" s="158">
        <f t="shared" si="88"/>
        <v>14635.521054000001</v>
      </c>
      <c r="X306" s="139"/>
      <c r="Y306" s="159">
        <f t="shared" si="89"/>
        <v>-3215.5210540000007</v>
      </c>
    </row>
    <row r="307" spans="1:25" s="27" customFormat="1" x14ac:dyDescent="0.2">
      <c r="A307" s="26"/>
      <c r="E307" s="20"/>
      <c r="F307" s="56"/>
      <c r="G307" s="19"/>
      <c r="I307" s="29"/>
      <c r="K307" s="49"/>
      <c r="L307" s="34"/>
      <c r="M307" s="49"/>
      <c r="N307" s="34"/>
      <c r="O307" s="49"/>
      <c r="Q307" s="26"/>
      <c r="S307" s="62"/>
      <c r="T307" s="32"/>
      <c r="U307" s="120"/>
      <c r="W307" s="150"/>
      <c r="X307" s="139"/>
      <c r="Y307" s="153"/>
    </row>
    <row r="308" spans="1:25" s="27" customFormat="1" ht="15.75" x14ac:dyDescent="0.25">
      <c r="A308" s="26"/>
      <c r="C308" s="50" t="s">
        <v>43</v>
      </c>
      <c r="E308" s="20"/>
      <c r="F308" s="56"/>
      <c r="G308" s="19"/>
      <c r="H308" s="30"/>
      <c r="I308" s="52">
        <f>+SUBTOTAL(9,I297:I307)</f>
        <v>654145847.27999997</v>
      </c>
      <c r="J308" s="30"/>
      <c r="K308" s="31">
        <f>+SUBTOTAL(9,K297:K307)</f>
        <v>332441517</v>
      </c>
      <c r="L308" s="31"/>
      <c r="M308" s="31">
        <f>+SUBTOTAL(9,M297:M307)</f>
        <v>532730808</v>
      </c>
      <c r="N308" s="31"/>
      <c r="O308" s="31">
        <f>+SUBTOTAL(9,O297:O307)</f>
        <v>11666597</v>
      </c>
      <c r="Q308" s="61">
        <f>+ROUND(O308/I308*100,2)</f>
        <v>1.78</v>
      </c>
      <c r="S308" s="62"/>
      <c r="T308" s="32"/>
      <c r="U308" s="120"/>
      <c r="W308" s="132">
        <f>+SUBTOTAL(9,W297:W307)</f>
        <v>11814715.099014997</v>
      </c>
      <c r="X308" s="139"/>
      <c r="Y308" s="163">
        <f t="shared" ref="Y308" si="90">O308-W308</f>
        <v>-148118.09901499748</v>
      </c>
    </row>
    <row r="309" spans="1:25" s="27" customFormat="1" ht="15.75" x14ac:dyDescent="0.25">
      <c r="A309" s="26"/>
      <c r="C309" s="50"/>
      <c r="E309" s="20"/>
      <c r="F309" s="56"/>
      <c r="G309" s="19"/>
      <c r="H309" s="30"/>
      <c r="I309" s="29"/>
      <c r="J309" s="30"/>
      <c r="K309" s="31"/>
      <c r="L309" s="31"/>
      <c r="M309" s="31"/>
      <c r="N309" s="31"/>
      <c r="O309" s="31"/>
      <c r="Q309" s="26"/>
      <c r="S309" s="62"/>
      <c r="T309" s="32"/>
      <c r="U309" s="120"/>
      <c r="W309" s="150"/>
      <c r="X309" s="139"/>
      <c r="Y309" s="153"/>
    </row>
    <row r="310" spans="1:25" s="27" customFormat="1" x14ac:dyDescent="0.2">
      <c r="A310" s="26"/>
      <c r="E310" s="20"/>
      <c r="F310" s="56"/>
      <c r="G310" s="19"/>
      <c r="I310" s="29"/>
      <c r="K310" s="34"/>
      <c r="L310" s="34"/>
      <c r="M310" s="34"/>
      <c r="N310" s="34"/>
      <c r="O310" s="34"/>
      <c r="Q310" s="26"/>
      <c r="S310" s="62"/>
      <c r="T310" s="32"/>
      <c r="U310" s="120"/>
      <c r="W310" s="150"/>
      <c r="X310" s="139"/>
      <c r="Y310" s="153"/>
    </row>
    <row r="311" spans="1:25" s="27" customFormat="1" ht="15.75" x14ac:dyDescent="0.25">
      <c r="A311" s="26"/>
      <c r="B311" s="32"/>
      <c r="C311" s="53" t="s">
        <v>44</v>
      </c>
      <c r="D311" s="32"/>
      <c r="E311" s="20"/>
      <c r="F311" s="56"/>
      <c r="G311" s="19"/>
      <c r="H311" s="32"/>
      <c r="I311" s="29"/>
      <c r="J311" s="32"/>
      <c r="K311" s="34"/>
      <c r="L311" s="34"/>
      <c r="M311" s="34"/>
      <c r="N311" s="34"/>
      <c r="O311" s="34"/>
      <c r="P311" s="32"/>
      <c r="Q311" s="26"/>
      <c r="S311" s="62"/>
      <c r="T311" s="32"/>
      <c r="U311" s="120"/>
      <c r="W311" s="150"/>
      <c r="X311" s="139"/>
      <c r="Y311" s="153"/>
    </row>
    <row r="312" spans="1:25" s="27" customFormat="1" ht="15.75" x14ac:dyDescent="0.25">
      <c r="A312" s="26"/>
      <c r="C312" s="43"/>
      <c r="E312" s="20"/>
      <c r="F312" s="56"/>
      <c r="G312" s="19"/>
      <c r="I312" s="29"/>
      <c r="K312" s="34"/>
      <c r="L312" s="34"/>
      <c r="M312" s="34"/>
      <c r="N312" s="34"/>
      <c r="O312" s="34"/>
      <c r="Q312" s="26"/>
      <c r="S312" s="62"/>
      <c r="T312" s="32"/>
      <c r="U312" s="120"/>
      <c r="W312" s="150"/>
      <c r="X312" s="139"/>
      <c r="Y312" s="153"/>
    </row>
    <row r="313" spans="1:25" s="27" customFormat="1" x14ac:dyDescent="0.2">
      <c r="A313" s="26">
        <v>360.1</v>
      </c>
      <c r="C313" s="59" t="s">
        <v>180</v>
      </c>
      <c r="E313" s="20" t="s">
        <v>202</v>
      </c>
      <c r="F313" s="56"/>
      <c r="G313" s="19">
        <v>0</v>
      </c>
      <c r="I313" s="29">
        <v>2039033.29</v>
      </c>
      <c r="J313" s="44"/>
      <c r="K313" s="45">
        <v>1485249</v>
      </c>
      <c r="L313" s="45"/>
      <c r="M313" s="45">
        <v>553784</v>
      </c>
      <c r="N313" s="45"/>
      <c r="O313" s="45">
        <v>11896</v>
      </c>
      <c r="Q313" s="116">
        <f t="shared" ref="Q313:Q324" si="91">IF(O313/I313*100=0,"-     ",ROUND(O313/I313*100,2))</f>
        <v>0.57999999999999996</v>
      </c>
      <c r="R313"/>
      <c r="S313" s="117">
        <f t="shared" ref="S313:S324" si="92">IF(O313=0,"-     ",ROUND(M313/O313,1))</f>
        <v>46.6</v>
      </c>
      <c r="T313" s="32"/>
      <c r="U313" s="120">
        <v>6.4999999999999997E-3</v>
      </c>
      <c r="W313" s="145">
        <f t="shared" ref="W313:W324" si="93">I313*U313</f>
        <v>13253.716385</v>
      </c>
      <c r="X313" s="139"/>
      <c r="Y313" s="157">
        <f t="shared" ref="Y313:Y324" si="94">O313-W313</f>
        <v>-1357.7163849999997</v>
      </c>
    </row>
    <row r="314" spans="1:25" x14ac:dyDescent="0.2">
      <c r="A314" s="26">
        <v>361</v>
      </c>
      <c r="B314" s="27"/>
      <c r="C314" s="27" t="s">
        <v>90</v>
      </c>
      <c r="D314" s="27"/>
      <c r="E314" s="20" t="s">
        <v>134</v>
      </c>
      <c r="F314" s="56"/>
      <c r="G314" s="19">
        <v>-20</v>
      </c>
      <c r="H314" s="27"/>
      <c r="I314" s="29">
        <v>7658288.0899999999</v>
      </c>
      <c r="J314" s="44"/>
      <c r="K314" s="45">
        <v>1787771</v>
      </c>
      <c r="L314" s="45"/>
      <c r="M314" s="45">
        <v>7402175</v>
      </c>
      <c r="N314" s="45"/>
      <c r="O314" s="45">
        <v>153285</v>
      </c>
      <c r="P314" s="27"/>
      <c r="Q314" s="116">
        <f t="shared" si="91"/>
        <v>2</v>
      </c>
      <c r="S314" s="117">
        <f t="shared" si="92"/>
        <v>48.3</v>
      </c>
      <c r="T314" s="32"/>
      <c r="U314" s="120">
        <v>1.6500000000000001E-2</v>
      </c>
      <c r="W314" s="145">
        <f t="shared" si="93"/>
        <v>126361.75348500001</v>
      </c>
      <c r="X314" s="135"/>
      <c r="Y314" s="157">
        <f t="shared" si="94"/>
        <v>26923.246514999992</v>
      </c>
    </row>
    <row r="315" spans="1:25" x14ac:dyDescent="0.2">
      <c r="A315" s="26">
        <v>362</v>
      </c>
      <c r="B315" s="27"/>
      <c r="C315" s="46" t="s">
        <v>75</v>
      </c>
      <c r="D315" s="27"/>
      <c r="E315" s="20" t="s">
        <v>203</v>
      </c>
      <c r="F315" s="56"/>
      <c r="G315" s="19">
        <v>-20</v>
      </c>
      <c r="H315" s="27"/>
      <c r="I315" s="29">
        <v>141200430.90000001</v>
      </c>
      <c r="J315" s="44"/>
      <c r="K315" s="45">
        <v>40173683</v>
      </c>
      <c r="L315" s="45"/>
      <c r="M315" s="45">
        <v>129266834</v>
      </c>
      <c r="N315" s="45"/>
      <c r="O315" s="45">
        <v>3198522</v>
      </c>
      <c r="P315" s="27"/>
      <c r="Q315" s="116">
        <f t="shared" si="91"/>
        <v>2.27</v>
      </c>
      <c r="S315" s="117">
        <f t="shared" si="92"/>
        <v>40.4</v>
      </c>
      <c r="T315" s="32"/>
      <c r="U315" s="120">
        <v>2.2800000000000001E-2</v>
      </c>
      <c r="W315" s="145">
        <f t="shared" si="93"/>
        <v>3219369.8245200003</v>
      </c>
      <c r="X315" s="135"/>
      <c r="Y315" s="157">
        <f t="shared" si="94"/>
        <v>-20847.824520000257</v>
      </c>
    </row>
    <row r="316" spans="1:25" x14ac:dyDescent="0.2">
      <c r="A316" s="26">
        <v>364</v>
      </c>
      <c r="B316" s="27"/>
      <c r="C316" s="46" t="s">
        <v>76</v>
      </c>
      <c r="D316" s="27"/>
      <c r="E316" s="20" t="s">
        <v>204</v>
      </c>
      <c r="F316" s="56"/>
      <c r="G316" s="19">
        <v>-45</v>
      </c>
      <c r="H316" s="27"/>
      <c r="I316" s="29">
        <v>287791923.14999998</v>
      </c>
      <c r="J316" s="44"/>
      <c r="K316" s="45">
        <v>133160672</v>
      </c>
      <c r="L316" s="45"/>
      <c r="M316" s="45">
        <v>284137617</v>
      </c>
      <c r="N316" s="45"/>
      <c r="O316" s="45">
        <v>6719281</v>
      </c>
      <c r="P316" s="27"/>
      <c r="Q316" s="116">
        <f t="shared" si="91"/>
        <v>2.33</v>
      </c>
      <c r="S316" s="117">
        <f t="shared" si="92"/>
        <v>42.3</v>
      </c>
      <c r="T316" s="32"/>
      <c r="U316" s="120">
        <v>2.3E-2</v>
      </c>
      <c r="W316" s="145">
        <f t="shared" si="93"/>
        <v>6619214.2324499991</v>
      </c>
      <c r="X316" s="135"/>
      <c r="Y316" s="157">
        <f t="shared" si="94"/>
        <v>100066.76755000092</v>
      </c>
    </row>
    <row r="317" spans="1:25" x14ac:dyDescent="0.2">
      <c r="A317" s="26">
        <v>365</v>
      </c>
      <c r="B317" s="27"/>
      <c r="C317" s="27" t="s">
        <v>77</v>
      </c>
      <c r="D317" s="27"/>
      <c r="E317" s="20" t="s">
        <v>205</v>
      </c>
      <c r="F317" s="56"/>
      <c r="G317" s="19">
        <v>-60</v>
      </c>
      <c r="H317" s="27"/>
      <c r="I317" s="29">
        <v>276285758.81</v>
      </c>
      <c r="J317" s="44"/>
      <c r="K317" s="45">
        <v>108982197</v>
      </c>
      <c r="L317" s="45"/>
      <c r="M317" s="45">
        <v>333075017</v>
      </c>
      <c r="N317" s="45"/>
      <c r="O317" s="45">
        <v>8911891</v>
      </c>
      <c r="P317" s="27"/>
      <c r="Q317" s="116">
        <f t="shared" si="91"/>
        <v>3.23</v>
      </c>
      <c r="S317" s="117">
        <f t="shared" si="92"/>
        <v>37.4</v>
      </c>
      <c r="T317" s="32"/>
      <c r="U317" s="120">
        <v>2.7E-2</v>
      </c>
      <c r="W317" s="145">
        <f t="shared" si="93"/>
        <v>7459715.4878700003</v>
      </c>
      <c r="X317" s="135"/>
      <c r="Y317" s="157">
        <f t="shared" si="94"/>
        <v>1452175.5121299997</v>
      </c>
    </row>
    <row r="318" spans="1:25" x14ac:dyDescent="0.2">
      <c r="A318" s="26">
        <v>366</v>
      </c>
      <c r="B318" s="27"/>
      <c r="C318" s="59" t="s">
        <v>155</v>
      </c>
      <c r="D318" s="27"/>
      <c r="E318" s="20" t="s">
        <v>206</v>
      </c>
      <c r="F318" s="56"/>
      <c r="G318" s="19">
        <v>-5</v>
      </c>
      <c r="H318" s="27"/>
      <c r="I318" s="29">
        <v>1861963.15</v>
      </c>
      <c r="J318" s="44"/>
      <c r="K318" s="45">
        <v>653383</v>
      </c>
      <c r="L318" s="45"/>
      <c r="M318" s="45">
        <v>1301678</v>
      </c>
      <c r="N318" s="45"/>
      <c r="O318" s="45">
        <v>50337</v>
      </c>
      <c r="P318" s="27"/>
      <c r="Q318" s="116">
        <f t="shared" si="91"/>
        <v>2.7</v>
      </c>
      <c r="S318" s="117">
        <f t="shared" si="92"/>
        <v>25.9</v>
      </c>
      <c r="T318" s="32"/>
      <c r="U318" s="120">
        <v>1.9300000000000001E-2</v>
      </c>
      <c r="W318" s="145">
        <f t="shared" si="93"/>
        <v>35935.888794999999</v>
      </c>
      <c r="X318" s="135"/>
      <c r="Y318" s="157">
        <f t="shared" si="94"/>
        <v>14401.111205000001</v>
      </c>
    </row>
    <row r="319" spans="1:25" x14ac:dyDescent="0.2">
      <c r="A319" s="26">
        <v>367</v>
      </c>
      <c r="B319" s="27"/>
      <c r="C319" s="27" t="s">
        <v>78</v>
      </c>
      <c r="D319" s="27"/>
      <c r="E319" s="20" t="s">
        <v>207</v>
      </c>
      <c r="F319" s="56"/>
      <c r="G319" s="19">
        <v>-10</v>
      </c>
      <c r="H319" s="27"/>
      <c r="I319" s="29">
        <v>140620009.31999999</v>
      </c>
      <c r="J319" s="44"/>
      <c r="K319" s="45">
        <v>28891798</v>
      </c>
      <c r="L319" s="45"/>
      <c r="M319" s="45">
        <v>125790212</v>
      </c>
      <c r="N319" s="45"/>
      <c r="O319" s="45">
        <v>3333408</v>
      </c>
      <c r="P319" s="27"/>
      <c r="Q319" s="116">
        <f t="shared" si="91"/>
        <v>2.37</v>
      </c>
      <c r="S319" s="117">
        <f t="shared" si="92"/>
        <v>37.700000000000003</v>
      </c>
      <c r="T319" s="32"/>
      <c r="U319" s="120">
        <v>2.0899999999999998E-2</v>
      </c>
      <c r="W319" s="145">
        <f t="shared" si="93"/>
        <v>2938958.1947879996</v>
      </c>
      <c r="X319" s="135"/>
      <c r="Y319" s="157">
        <f t="shared" si="94"/>
        <v>394449.80521200038</v>
      </c>
    </row>
    <row r="320" spans="1:25" x14ac:dyDescent="0.2">
      <c r="A320" s="26">
        <v>368</v>
      </c>
      <c r="B320" s="27"/>
      <c r="C320" s="27" t="s">
        <v>79</v>
      </c>
      <c r="D320" s="27"/>
      <c r="E320" s="20" t="s">
        <v>208</v>
      </c>
      <c r="F320" s="56"/>
      <c r="G320" s="19">
        <v>-15</v>
      </c>
      <c r="H320" s="27"/>
      <c r="I320" s="29">
        <v>286070399.06</v>
      </c>
      <c r="J320" s="44"/>
      <c r="K320" s="45">
        <v>117730753</v>
      </c>
      <c r="L320" s="45"/>
      <c r="M320" s="45">
        <v>211250206</v>
      </c>
      <c r="N320" s="45"/>
      <c r="O320" s="45">
        <v>7018693</v>
      </c>
      <c r="P320" s="27"/>
      <c r="Q320" s="116">
        <f t="shared" si="91"/>
        <v>2.4500000000000002</v>
      </c>
      <c r="S320" s="117">
        <f t="shared" si="92"/>
        <v>30.1</v>
      </c>
      <c r="T320" s="32"/>
      <c r="U320" s="120">
        <v>3.1E-2</v>
      </c>
      <c r="W320" s="145">
        <f t="shared" si="93"/>
        <v>8868182.3708599992</v>
      </c>
      <c r="X320" s="135"/>
      <c r="Y320" s="157">
        <f t="shared" si="94"/>
        <v>-1849489.3708599992</v>
      </c>
    </row>
    <row r="321" spans="1:25" x14ac:dyDescent="0.2">
      <c r="A321" s="26">
        <v>369</v>
      </c>
      <c r="B321" s="27"/>
      <c r="C321" s="27" t="s">
        <v>80</v>
      </c>
      <c r="D321" s="27"/>
      <c r="E321" s="20" t="s">
        <v>148</v>
      </c>
      <c r="F321" s="56"/>
      <c r="G321" s="19">
        <v>-30</v>
      </c>
      <c r="H321" s="27"/>
      <c r="I321" s="29">
        <v>89050180.390000001</v>
      </c>
      <c r="J321" s="44"/>
      <c r="K321" s="45">
        <v>57697779</v>
      </c>
      <c r="L321" s="45"/>
      <c r="M321" s="45">
        <v>58067456</v>
      </c>
      <c r="N321" s="45"/>
      <c r="O321" s="45">
        <v>1811200</v>
      </c>
      <c r="P321" s="27"/>
      <c r="Q321" s="116">
        <f t="shared" si="91"/>
        <v>2.0299999999999998</v>
      </c>
      <c r="S321" s="117">
        <f t="shared" si="92"/>
        <v>32.1</v>
      </c>
      <c r="T321" s="32"/>
      <c r="U321" s="120">
        <v>1.9900000000000001E-2</v>
      </c>
      <c r="W321" s="145">
        <f t="shared" si="93"/>
        <v>1772098.5897610001</v>
      </c>
      <c r="X321" s="135"/>
      <c r="Y321" s="157">
        <f t="shared" si="94"/>
        <v>39101.410238999873</v>
      </c>
    </row>
    <row r="322" spans="1:25" x14ac:dyDescent="0.2">
      <c r="A322" s="26">
        <v>370</v>
      </c>
      <c r="B322" s="27"/>
      <c r="C322" s="27" t="s">
        <v>81</v>
      </c>
      <c r="D322" s="27"/>
      <c r="E322" s="20" t="s">
        <v>209</v>
      </c>
      <c r="F322" s="56"/>
      <c r="G322" s="19">
        <v>0</v>
      </c>
      <c r="H322" s="27"/>
      <c r="I322" s="29">
        <v>70049355.340000004</v>
      </c>
      <c r="J322" s="44"/>
      <c r="K322" s="45">
        <v>32484596</v>
      </c>
      <c r="L322" s="45"/>
      <c r="M322" s="45">
        <v>37564759</v>
      </c>
      <c r="N322" s="45"/>
      <c r="O322" s="45">
        <v>1603713</v>
      </c>
      <c r="P322" s="27"/>
      <c r="Q322" s="116">
        <f t="shared" si="91"/>
        <v>2.29</v>
      </c>
      <c r="S322" s="117">
        <f t="shared" si="92"/>
        <v>23.4</v>
      </c>
      <c r="T322" s="32"/>
      <c r="U322" s="120">
        <v>1.7600000000000001E-2</v>
      </c>
      <c r="W322" s="145">
        <f t="shared" si="93"/>
        <v>1232868.6539840002</v>
      </c>
      <c r="X322" s="135"/>
      <c r="Y322" s="157">
        <f t="shared" si="94"/>
        <v>370844.34601599979</v>
      </c>
    </row>
    <row r="323" spans="1:25" x14ac:dyDescent="0.2">
      <c r="A323" s="26">
        <v>371</v>
      </c>
      <c r="B323" s="27"/>
      <c r="C323" s="27" t="s">
        <v>185</v>
      </c>
      <c r="D323" s="27"/>
      <c r="E323" s="20" t="s">
        <v>210</v>
      </c>
      <c r="F323" s="56"/>
      <c r="G323" s="19">
        <v>-10</v>
      </c>
      <c r="H323" s="27"/>
      <c r="I323" s="29">
        <v>18253214.449999999</v>
      </c>
      <c r="J323" s="44"/>
      <c r="K323" s="45">
        <v>17404873</v>
      </c>
      <c r="L323" s="45"/>
      <c r="M323" s="45">
        <v>2673663</v>
      </c>
      <c r="N323" s="45"/>
      <c r="O323" s="45">
        <v>148124</v>
      </c>
      <c r="P323" s="27"/>
      <c r="Q323" s="116">
        <f t="shared" si="91"/>
        <v>0.81</v>
      </c>
      <c r="S323" s="117">
        <f t="shared" si="92"/>
        <v>18.100000000000001</v>
      </c>
      <c r="T323" s="32"/>
      <c r="U323" s="120">
        <v>2.3800000000000002E-2</v>
      </c>
      <c r="W323" s="145">
        <f t="shared" si="93"/>
        <v>434426.50391000003</v>
      </c>
      <c r="X323" s="135"/>
      <c r="Y323" s="157">
        <f t="shared" si="94"/>
        <v>-286302.50391000003</v>
      </c>
    </row>
    <row r="324" spans="1:25" x14ac:dyDescent="0.2">
      <c r="A324" s="26">
        <v>373</v>
      </c>
      <c r="B324" s="27"/>
      <c r="C324" s="27" t="s">
        <v>82</v>
      </c>
      <c r="D324" s="27"/>
      <c r="E324" s="20" t="s">
        <v>211</v>
      </c>
      <c r="F324" s="56"/>
      <c r="G324" s="19">
        <v>-10</v>
      </c>
      <c r="H324" s="27"/>
      <c r="I324" s="47">
        <v>81534875.549999997</v>
      </c>
      <c r="J324" s="44"/>
      <c r="K324" s="45">
        <v>20703034</v>
      </c>
      <c r="L324" s="45"/>
      <c r="M324" s="45">
        <v>68985329</v>
      </c>
      <c r="N324" s="45"/>
      <c r="O324" s="45">
        <v>3261361</v>
      </c>
      <c r="P324" s="27"/>
      <c r="Q324" s="116">
        <f t="shared" si="91"/>
        <v>4</v>
      </c>
      <c r="S324" s="117">
        <f t="shared" si="92"/>
        <v>21.2</v>
      </c>
      <c r="T324" s="32"/>
      <c r="U324" s="120">
        <v>2.29E-2</v>
      </c>
      <c r="W324" s="158">
        <f t="shared" si="93"/>
        <v>1867148.6500949999</v>
      </c>
      <c r="X324" s="135"/>
      <c r="Y324" s="159">
        <f t="shared" si="94"/>
        <v>1394212.3499050001</v>
      </c>
    </row>
    <row r="325" spans="1:25" x14ac:dyDescent="0.2">
      <c r="A325" s="26"/>
      <c r="B325" s="27"/>
      <c r="C325" s="27"/>
      <c r="D325" s="27"/>
      <c r="E325" s="20"/>
      <c r="F325" s="56"/>
      <c r="G325" s="19"/>
      <c r="H325" s="27"/>
      <c r="I325" s="29"/>
      <c r="J325" s="27"/>
      <c r="K325" s="49"/>
      <c r="L325" s="34"/>
      <c r="M325" s="49"/>
      <c r="N325" s="34"/>
      <c r="O325" s="49"/>
      <c r="P325" s="27"/>
      <c r="Q325" s="26"/>
      <c r="R325" s="27"/>
      <c r="S325" s="62"/>
      <c r="T325" s="32"/>
      <c r="U325" s="120"/>
      <c r="X325" s="135"/>
    </row>
    <row r="326" spans="1:25" ht="15.75" x14ac:dyDescent="0.25">
      <c r="A326" s="26"/>
      <c r="B326" s="27"/>
      <c r="C326" s="50" t="s">
        <v>45</v>
      </c>
      <c r="D326" s="27"/>
      <c r="E326" s="20"/>
      <c r="F326" s="56"/>
      <c r="G326" s="19"/>
      <c r="H326" s="30"/>
      <c r="I326" s="52">
        <f>+SUBTOTAL(9,I313:I325)</f>
        <v>1402415431.5</v>
      </c>
      <c r="J326" s="30"/>
      <c r="K326" s="31">
        <f>+SUBTOTAL(9,K313:K325)</f>
        <v>561155788</v>
      </c>
      <c r="L326" s="31"/>
      <c r="M326" s="31">
        <f>+SUBTOTAL(9,M313:M325)</f>
        <v>1260068730</v>
      </c>
      <c r="N326" s="31"/>
      <c r="O326" s="31">
        <f>+SUBTOTAL(9,O313:O325)</f>
        <v>36221711</v>
      </c>
      <c r="P326" s="30"/>
      <c r="Q326" s="61">
        <f>+ROUND(O326/I326*100,2)</f>
        <v>2.58</v>
      </c>
      <c r="R326" s="27"/>
      <c r="S326" s="62"/>
      <c r="T326" s="32"/>
      <c r="U326" s="120"/>
      <c r="W326" s="132">
        <f>+SUBTOTAL(9,W313:W325)</f>
        <v>34587533.866903</v>
      </c>
      <c r="X326" s="135"/>
      <c r="Y326" s="132">
        <f t="shared" ref="Y326" si="95">O326-W326</f>
        <v>1634177.1330970004</v>
      </c>
    </row>
    <row r="327" spans="1:25" ht="15.75" x14ac:dyDescent="0.25">
      <c r="A327" s="26"/>
      <c r="B327" s="27"/>
      <c r="C327" s="50"/>
      <c r="D327" s="27"/>
      <c r="E327" s="20"/>
      <c r="F327" s="56"/>
      <c r="G327" s="19"/>
      <c r="H327" s="30"/>
      <c r="I327" s="29"/>
      <c r="J327" s="30"/>
      <c r="K327" s="31"/>
      <c r="L327" s="31"/>
      <c r="M327" s="31"/>
      <c r="N327" s="31"/>
      <c r="O327" s="31"/>
      <c r="P327" s="30"/>
      <c r="Q327" s="26"/>
      <c r="R327" s="27"/>
      <c r="S327" s="62"/>
      <c r="T327" s="32"/>
      <c r="U327" s="120"/>
      <c r="X327" s="135"/>
    </row>
    <row r="328" spans="1:25" x14ac:dyDescent="0.2">
      <c r="A328" s="26"/>
      <c r="B328" s="27"/>
      <c r="C328" s="27"/>
      <c r="D328" s="27"/>
      <c r="E328" s="48"/>
      <c r="F328" s="56"/>
      <c r="G328" s="19"/>
      <c r="H328" s="27"/>
      <c r="I328" s="29"/>
      <c r="J328" s="27"/>
      <c r="K328" s="34"/>
      <c r="L328" s="34"/>
      <c r="M328" s="34"/>
      <c r="N328" s="34"/>
      <c r="O328" s="34"/>
      <c r="P328" s="27"/>
      <c r="Q328" s="26"/>
      <c r="R328" s="27"/>
      <c r="S328" s="62"/>
      <c r="T328" s="32"/>
      <c r="U328" s="120"/>
      <c r="X328" s="135"/>
    </row>
    <row r="329" spans="1:25" ht="15.75" x14ac:dyDescent="0.25">
      <c r="A329" s="26"/>
      <c r="B329" s="27"/>
      <c r="C329" s="53" t="s">
        <v>46</v>
      </c>
      <c r="D329" s="27"/>
      <c r="E329" s="48"/>
      <c r="F329" s="56"/>
      <c r="G329" s="19"/>
      <c r="H329" s="27"/>
      <c r="I329" s="29"/>
      <c r="J329" s="27"/>
      <c r="K329" s="34"/>
      <c r="L329" s="34"/>
      <c r="M329" s="34"/>
      <c r="N329" s="34"/>
      <c r="O329" s="34"/>
      <c r="P329" s="27"/>
      <c r="Q329" s="26"/>
      <c r="R329" s="27"/>
      <c r="S329" s="62"/>
      <c r="T329" s="32"/>
      <c r="U329" s="120"/>
      <c r="X329" s="135"/>
    </row>
    <row r="330" spans="1:25" ht="15.75" x14ac:dyDescent="0.25">
      <c r="A330" s="26"/>
      <c r="B330" s="27"/>
      <c r="C330" s="43"/>
      <c r="D330" s="27"/>
      <c r="E330" s="48"/>
      <c r="F330" s="56"/>
      <c r="G330" s="19"/>
      <c r="H330" s="27"/>
      <c r="I330" s="29"/>
      <c r="J330" s="27"/>
      <c r="K330" s="34"/>
      <c r="L330" s="34"/>
      <c r="M330" s="34"/>
      <c r="N330" s="34"/>
      <c r="O330" s="34"/>
      <c r="P330" s="27"/>
      <c r="Q330" s="26"/>
      <c r="R330" s="27"/>
      <c r="S330" s="62"/>
      <c r="T330" s="32"/>
      <c r="U330" s="120"/>
      <c r="X330" s="135"/>
    </row>
    <row r="331" spans="1:25" x14ac:dyDescent="0.2">
      <c r="A331" s="26">
        <v>390.1</v>
      </c>
      <c r="B331" s="27"/>
      <c r="C331" s="57" t="s">
        <v>129</v>
      </c>
      <c r="D331" s="27"/>
      <c r="E331" s="20" t="s">
        <v>212</v>
      </c>
      <c r="F331" s="56"/>
      <c r="G331" s="19">
        <v>-10</v>
      </c>
      <c r="H331" s="27"/>
      <c r="I331" s="29">
        <v>47011269.520000003</v>
      </c>
      <c r="J331" s="44"/>
      <c r="K331" s="45">
        <v>9650596</v>
      </c>
      <c r="L331" s="45"/>
      <c r="M331" s="45">
        <v>42061800</v>
      </c>
      <c r="N331" s="45"/>
      <c r="O331" s="45">
        <v>945113</v>
      </c>
      <c r="P331" s="27"/>
      <c r="Q331" s="116">
        <f t="shared" ref="Q331:Q342" si="96">IF(O331/I331*100=0,"-     ",ROUND(O331/I331*100,2))</f>
        <v>2.0099999999999998</v>
      </c>
      <c r="S331" s="117">
        <f t="shared" ref="S331:S343" si="97">IF(O331=0,"-     ",ROUND(M331/O331,1))</f>
        <v>44.5</v>
      </c>
      <c r="T331" s="32"/>
      <c r="U331" s="120">
        <v>1.66E-2</v>
      </c>
      <c r="W331" s="145">
        <f t="shared" ref="W331:W343" si="98">I331*U331</f>
        <v>780387.07403200003</v>
      </c>
      <c r="X331" s="135"/>
      <c r="Y331" s="157">
        <f t="shared" ref="Y331:Y343" si="99">O331-W331</f>
        <v>164725.92596799997</v>
      </c>
    </row>
    <row r="332" spans="1:25" x14ac:dyDescent="0.2">
      <c r="A332" s="26">
        <v>390.2</v>
      </c>
      <c r="B332" s="27"/>
      <c r="C332" s="57" t="s">
        <v>184</v>
      </c>
      <c r="D332" s="27"/>
      <c r="E332" s="20" t="s">
        <v>149</v>
      </c>
      <c r="F332" s="56"/>
      <c r="G332" s="19">
        <v>-10</v>
      </c>
      <c r="H332" s="27"/>
      <c r="I332" s="29">
        <v>531973.43999999994</v>
      </c>
      <c r="J332" s="44"/>
      <c r="K332" s="45">
        <v>413480</v>
      </c>
      <c r="L332" s="45"/>
      <c r="M332" s="45">
        <v>171691</v>
      </c>
      <c r="N332" s="45"/>
      <c r="O332" s="45">
        <v>9139</v>
      </c>
      <c r="P332" s="27"/>
      <c r="Q332" s="116">
        <f t="shared" si="96"/>
        <v>1.72</v>
      </c>
      <c r="S332" s="117">
        <f t="shared" si="97"/>
        <v>18.8</v>
      </c>
      <c r="T332" s="32"/>
      <c r="U332" s="120">
        <v>1.5599999999999999E-2</v>
      </c>
      <c r="W332" s="145">
        <f t="shared" si="98"/>
        <v>8298.7856639999991</v>
      </c>
      <c r="X332" s="135"/>
      <c r="Y332" s="157">
        <f t="shared" si="99"/>
        <v>840.21433600000091</v>
      </c>
    </row>
    <row r="333" spans="1:25" x14ac:dyDescent="0.2">
      <c r="A333" s="26">
        <v>391.1</v>
      </c>
      <c r="B333" s="27"/>
      <c r="C333" s="92" t="s">
        <v>83</v>
      </c>
      <c r="D333" s="27"/>
      <c r="E333" s="20" t="s">
        <v>150</v>
      </c>
      <c r="F333" s="56"/>
      <c r="G333" s="19">
        <v>0</v>
      </c>
      <c r="H333" s="27"/>
      <c r="I333" s="29">
        <v>7513787.5599999996</v>
      </c>
      <c r="J333" s="44"/>
      <c r="K333" s="45">
        <v>4161871</v>
      </c>
      <c r="L333" s="45"/>
      <c r="M333" s="45">
        <v>3351917</v>
      </c>
      <c r="N333" s="45"/>
      <c r="O333" s="45">
        <v>335131</v>
      </c>
      <c r="P333" s="27"/>
      <c r="Q333" s="116">
        <f t="shared" si="96"/>
        <v>4.46</v>
      </c>
      <c r="S333" s="117">
        <f t="shared" si="97"/>
        <v>10</v>
      </c>
      <c r="T333" s="32"/>
      <c r="U333" s="120">
        <v>4.19E-2</v>
      </c>
      <c r="W333" s="145">
        <f t="shared" si="98"/>
        <v>314827.69876399997</v>
      </c>
      <c r="X333" s="135"/>
      <c r="Y333" s="157">
        <f t="shared" si="99"/>
        <v>20303.301236000028</v>
      </c>
    </row>
    <row r="334" spans="1:25" x14ac:dyDescent="0.2">
      <c r="A334" s="26">
        <v>391.2</v>
      </c>
      <c r="B334" s="27"/>
      <c r="C334" s="92" t="s">
        <v>84</v>
      </c>
      <c r="D334" s="27"/>
      <c r="E334" s="20" t="s">
        <v>153</v>
      </c>
      <c r="F334" s="56"/>
      <c r="G334" s="19">
        <v>0</v>
      </c>
      <c r="H334" s="27"/>
      <c r="I334" s="29">
        <v>17256012.350000001</v>
      </c>
      <c r="J334" s="44"/>
      <c r="K334" s="45">
        <v>6803953</v>
      </c>
      <c r="L334" s="45"/>
      <c r="M334" s="45">
        <v>10452059</v>
      </c>
      <c r="N334" s="45"/>
      <c r="O334" s="45">
        <v>3723700</v>
      </c>
      <c r="P334" s="27"/>
      <c r="Q334" s="116">
        <f t="shared" si="96"/>
        <v>21.58</v>
      </c>
      <c r="S334" s="117">
        <f t="shared" si="97"/>
        <v>2.8</v>
      </c>
      <c r="T334" s="32"/>
      <c r="U334" s="120">
        <v>0.1014</v>
      </c>
      <c r="W334" s="145">
        <f t="shared" si="98"/>
        <v>1749759.6522900001</v>
      </c>
      <c r="X334" s="135"/>
      <c r="Y334" s="157">
        <f t="shared" si="99"/>
        <v>1973940.3477099999</v>
      </c>
    </row>
    <row r="335" spans="1:25" x14ac:dyDescent="0.2">
      <c r="A335" s="26">
        <v>391.31</v>
      </c>
      <c r="B335" s="27"/>
      <c r="C335" s="57" t="s">
        <v>128</v>
      </c>
      <c r="D335" s="27"/>
      <c r="E335" s="20" t="s">
        <v>213</v>
      </c>
      <c r="F335" s="56"/>
      <c r="G335" s="19">
        <v>0</v>
      </c>
      <c r="H335" s="27"/>
      <c r="I335" s="29">
        <v>6398371.6500000004</v>
      </c>
      <c r="J335" s="44"/>
      <c r="K335" s="45">
        <v>4572023</v>
      </c>
      <c r="L335" s="45"/>
      <c r="M335" s="45">
        <v>1826349</v>
      </c>
      <c r="N335" s="45"/>
      <c r="O335" s="45">
        <v>571269</v>
      </c>
      <c r="P335" s="27"/>
      <c r="Q335" s="116">
        <f t="shared" si="96"/>
        <v>8.93</v>
      </c>
      <c r="S335" s="117">
        <f t="shared" si="97"/>
        <v>3.2</v>
      </c>
      <c r="T335" s="32"/>
      <c r="U335" s="120">
        <v>0.1547</v>
      </c>
      <c r="W335" s="145">
        <f t="shared" si="98"/>
        <v>989828.09425500012</v>
      </c>
      <c r="X335" s="135"/>
      <c r="Y335" s="157">
        <f t="shared" si="99"/>
        <v>-418559.09425500012</v>
      </c>
    </row>
    <row r="336" spans="1:25" x14ac:dyDescent="0.2">
      <c r="A336" s="26">
        <v>392.1</v>
      </c>
      <c r="B336" s="27"/>
      <c r="C336" s="59" t="s">
        <v>164</v>
      </c>
      <c r="D336" s="27"/>
      <c r="E336" s="20" t="s">
        <v>214</v>
      </c>
      <c r="F336" s="56"/>
      <c r="G336" s="19">
        <v>0</v>
      </c>
      <c r="H336" s="27"/>
      <c r="I336" s="29">
        <v>1865090.97</v>
      </c>
      <c r="J336" s="44"/>
      <c r="K336" s="45">
        <v>1578423</v>
      </c>
      <c r="L336" s="45"/>
      <c r="M336" s="45">
        <v>286668</v>
      </c>
      <c r="N336" s="45"/>
      <c r="O336" s="45">
        <v>45497</v>
      </c>
      <c r="P336" s="27"/>
      <c r="Q336" s="116">
        <f t="shared" si="96"/>
        <v>2.44</v>
      </c>
      <c r="S336" s="117">
        <f t="shared" si="97"/>
        <v>6.3</v>
      </c>
      <c r="T336" s="32"/>
      <c r="U336" s="120">
        <v>0.2</v>
      </c>
      <c r="W336" s="145">
        <f t="shared" si="98"/>
        <v>373018.19400000002</v>
      </c>
      <c r="X336" s="135"/>
      <c r="Y336" s="157">
        <f t="shared" si="99"/>
        <v>-327521.19400000002</v>
      </c>
    </row>
    <row r="337" spans="1:25" x14ac:dyDescent="0.2">
      <c r="A337" s="26">
        <v>392.3</v>
      </c>
      <c r="B337" s="27"/>
      <c r="C337" s="59" t="s">
        <v>165</v>
      </c>
      <c r="D337" s="27"/>
      <c r="E337" s="20" t="s">
        <v>215</v>
      </c>
      <c r="F337" s="56"/>
      <c r="G337" s="19">
        <v>0</v>
      </c>
      <c r="H337" s="27"/>
      <c r="I337" s="29">
        <v>14101987.630000001</v>
      </c>
      <c r="J337" s="44"/>
      <c r="K337" s="45">
        <v>13160795</v>
      </c>
      <c r="L337" s="45"/>
      <c r="M337" s="45">
        <v>941193</v>
      </c>
      <c r="N337" s="45"/>
      <c r="O337" s="45">
        <v>76623</v>
      </c>
      <c r="P337" s="27"/>
      <c r="Q337" s="116">
        <f t="shared" si="96"/>
        <v>0.54</v>
      </c>
      <c r="S337" s="117">
        <f t="shared" si="97"/>
        <v>12.3</v>
      </c>
      <c r="T337" s="32"/>
      <c r="U337" s="120">
        <v>0.2</v>
      </c>
      <c r="W337" s="145">
        <f t="shared" si="98"/>
        <v>2820397.5260000005</v>
      </c>
      <c r="X337" s="135"/>
      <c r="Y337" s="157">
        <f t="shared" si="99"/>
        <v>-2743774.5260000005</v>
      </c>
    </row>
    <row r="338" spans="1:25" x14ac:dyDescent="0.2">
      <c r="A338" s="26">
        <v>393</v>
      </c>
      <c r="B338" s="27"/>
      <c r="C338" s="46" t="s">
        <v>85</v>
      </c>
      <c r="D338" s="27"/>
      <c r="E338" s="20" t="s">
        <v>151</v>
      </c>
      <c r="F338" s="56"/>
      <c r="G338" s="19">
        <v>0</v>
      </c>
      <c r="H338" s="27"/>
      <c r="I338" s="29">
        <v>551794.27</v>
      </c>
      <c r="J338" s="44"/>
      <c r="K338" s="45">
        <v>164539</v>
      </c>
      <c r="L338" s="45"/>
      <c r="M338" s="45">
        <v>387255</v>
      </c>
      <c r="N338" s="45"/>
      <c r="O338" s="45">
        <v>27960</v>
      </c>
      <c r="P338" s="27"/>
      <c r="Q338" s="116">
        <f t="shared" si="96"/>
        <v>5.07</v>
      </c>
      <c r="S338" s="117">
        <f t="shared" si="97"/>
        <v>13.9</v>
      </c>
      <c r="T338" s="32"/>
      <c r="U338" s="120">
        <v>5.2499999999999998E-2</v>
      </c>
      <c r="W338" s="145">
        <f t="shared" si="98"/>
        <v>28969.199175000002</v>
      </c>
      <c r="X338" s="135"/>
      <c r="Y338" s="157">
        <f t="shared" si="99"/>
        <v>-1009.1991750000016</v>
      </c>
    </row>
    <row r="339" spans="1:25" x14ac:dyDescent="0.2">
      <c r="A339" s="26">
        <v>394</v>
      </c>
      <c r="B339" s="27"/>
      <c r="C339" s="93" t="s">
        <v>86</v>
      </c>
      <c r="D339" s="27"/>
      <c r="E339" s="20" t="s">
        <v>151</v>
      </c>
      <c r="F339" s="56"/>
      <c r="G339" s="19">
        <v>0</v>
      </c>
      <c r="H339" s="27"/>
      <c r="I339" s="29">
        <v>7648755.4400000004</v>
      </c>
      <c r="J339" s="44"/>
      <c r="K339" s="45">
        <v>1767311</v>
      </c>
      <c r="L339" s="45"/>
      <c r="M339" s="45">
        <v>5881444</v>
      </c>
      <c r="N339" s="45"/>
      <c r="O339" s="45">
        <v>326703</v>
      </c>
      <c r="P339" s="27"/>
      <c r="Q339" s="116">
        <f t="shared" si="96"/>
        <v>4.2699999999999996</v>
      </c>
      <c r="S339" s="117">
        <f t="shared" si="97"/>
        <v>18</v>
      </c>
      <c r="T339" s="32"/>
      <c r="U339" s="120">
        <v>4.7500000000000001E-2</v>
      </c>
      <c r="W339" s="145">
        <f t="shared" si="98"/>
        <v>363315.88340000005</v>
      </c>
      <c r="X339" s="135"/>
      <c r="Y339" s="157">
        <f t="shared" si="99"/>
        <v>-36612.88340000005</v>
      </c>
    </row>
    <row r="340" spans="1:25" x14ac:dyDescent="0.2">
      <c r="A340" s="26">
        <v>396.3</v>
      </c>
      <c r="B340" s="27"/>
      <c r="C340" s="57" t="s">
        <v>166</v>
      </c>
      <c r="D340" s="27"/>
      <c r="E340" s="20" t="s">
        <v>216</v>
      </c>
      <c r="F340" s="56"/>
      <c r="G340" s="19">
        <v>0</v>
      </c>
      <c r="H340" s="27"/>
      <c r="I340" s="29">
        <v>1174225.44</v>
      </c>
      <c r="J340" s="44"/>
      <c r="K340" s="45">
        <v>139927</v>
      </c>
      <c r="L340" s="45"/>
      <c r="M340" s="45">
        <v>1034298</v>
      </c>
      <c r="N340" s="45"/>
      <c r="O340" s="45">
        <v>104334</v>
      </c>
      <c r="P340" s="27"/>
      <c r="Q340" s="116">
        <f t="shared" si="96"/>
        <v>8.89</v>
      </c>
      <c r="S340" s="117">
        <f t="shared" si="97"/>
        <v>9.9</v>
      </c>
      <c r="T340" s="32"/>
      <c r="U340" s="120">
        <v>6.3700000000000007E-2</v>
      </c>
      <c r="W340" s="145">
        <f t="shared" si="98"/>
        <v>74798.160528000008</v>
      </c>
      <c r="X340" s="135"/>
      <c r="Y340" s="157">
        <f t="shared" si="99"/>
        <v>29535.839471999992</v>
      </c>
    </row>
    <row r="341" spans="1:25" x14ac:dyDescent="0.2">
      <c r="A341" s="26">
        <v>397.1</v>
      </c>
      <c r="B341" s="27"/>
      <c r="C341" s="63" t="s">
        <v>167</v>
      </c>
      <c r="D341" s="27"/>
      <c r="E341" s="20" t="s">
        <v>152</v>
      </c>
      <c r="F341" s="56"/>
      <c r="G341" s="19">
        <v>0</v>
      </c>
      <c r="H341" s="27"/>
      <c r="I341" s="29">
        <v>10171295.9</v>
      </c>
      <c r="J341" s="44"/>
      <c r="K341" s="45">
        <v>5248935</v>
      </c>
      <c r="L341" s="45"/>
      <c r="M341" s="45">
        <v>4922361</v>
      </c>
      <c r="N341" s="45"/>
      <c r="O341" s="45">
        <v>579495</v>
      </c>
      <c r="P341" s="27"/>
      <c r="Q341" s="116">
        <f t="shared" si="96"/>
        <v>5.7</v>
      </c>
      <c r="S341" s="117">
        <f t="shared" si="97"/>
        <v>8.5</v>
      </c>
      <c r="T341" s="32"/>
      <c r="U341" s="120">
        <v>7.1300000000000002E-2</v>
      </c>
      <c r="W341" s="145">
        <f t="shared" si="98"/>
        <v>725213.39767000009</v>
      </c>
      <c r="X341" s="135"/>
      <c r="Y341" s="157">
        <f t="shared" si="99"/>
        <v>-145718.39767000009</v>
      </c>
    </row>
    <row r="342" spans="1:25" x14ac:dyDescent="0.2">
      <c r="A342" s="26">
        <v>397.2</v>
      </c>
      <c r="B342" s="27"/>
      <c r="C342" s="63" t="s">
        <v>168</v>
      </c>
      <c r="D342" s="27"/>
      <c r="E342" s="20" t="s">
        <v>217</v>
      </c>
      <c r="F342" s="56"/>
      <c r="G342" s="19">
        <v>0</v>
      </c>
      <c r="H342" s="27"/>
      <c r="I342" s="29">
        <v>19915035.899999999</v>
      </c>
      <c r="J342" s="44"/>
      <c r="K342" s="45">
        <v>5655027</v>
      </c>
      <c r="L342" s="45"/>
      <c r="M342" s="45">
        <v>14260009</v>
      </c>
      <c r="N342" s="45"/>
      <c r="O342" s="45">
        <v>746086</v>
      </c>
      <c r="P342" s="27"/>
      <c r="Q342" s="116">
        <f t="shared" si="96"/>
        <v>3.75</v>
      </c>
      <c r="S342" s="117">
        <f t="shared" si="97"/>
        <v>19.100000000000001</v>
      </c>
      <c r="T342" s="32"/>
      <c r="U342" s="120">
        <v>7.1300000000000002E-2</v>
      </c>
      <c r="W342" s="145">
        <f t="shared" si="98"/>
        <v>1419942.0596699999</v>
      </c>
      <c r="X342" s="135"/>
      <c r="Y342" s="157">
        <f t="shared" si="99"/>
        <v>-673856.05966999987</v>
      </c>
    </row>
    <row r="343" spans="1:25" x14ac:dyDescent="0.2">
      <c r="A343" s="26">
        <v>397.3</v>
      </c>
      <c r="B343" s="27"/>
      <c r="C343" s="63" t="s">
        <v>169</v>
      </c>
      <c r="D343" s="27"/>
      <c r="E343" s="20" t="s">
        <v>159</v>
      </c>
      <c r="F343" s="56"/>
      <c r="G343" s="19">
        <v>0</v>
      </c>
      <c r="H343" s="27"/>
      <c r="I343" s="47">
        <v>786233.2</v>
      </c>
      <c r="J343" s="44"/>
      <c r="K343" s="45">
        <v>786233</v>
      </c>
      <c r="L343" s="45"/>
      <c r="M343" s="45">
        <v>0</v>
      </c>
      <c r="N343" s="45"/>
      <c r="O343" s="45">
        <v>0</v>
      </c>
      <c r="P343" s="27"/>
      <c r="Q343" s="116" t="str">
        <f t="shared" ref="Q343" si="100">IF(O343/I343*100=0,"-     ",O343/I343*100)</f>
        <v xml:space="preserve">-     </v>
      </c>
      <c r="S343" s="117" t="str">
        <f t="shared" si="97"/>
        <v xml:space="preserve">-     </v>
      </c>
      <c r="T343" s="32"/>
      <c r="U343" s="120">
        <v>7.1300000000000002E-2</v>
      </c>
      <c r="W343" s="158">
        <f t="shared" si="98"/>
        <v>56058.427159999999</v>
      </c>
      <c r="X343" s="135"/>
      <c r="Y343" s="159">
        <f t="shared" si="99"/>
        <v>-56058.427159999999</v>
      </c>
    </row>
    <row r="344" spans="1:25" x14ac:dyDescent="0.2">
      <c r="A344" s="26"/>
      <c r="B344" s="27"/>
      <c r="C344" s="27"/>
      <c r="D344" s="27"/>
      <c r="E344" s="20"/>
      <c r="F344" s="56"/>
      <c r="G344" s="19"/>
      <c r="H344" s="27"/>
      <c r="I344" s="29"/>
      <c r="J344" s="27"/>
      <c r="K344" s="49"/>
      <c r="L344" s="34"/>
      <c r="M344" s="49"/>
      <c r="N344" s="34"/>
      <c r="O344" s="49"/>
      <c r="P344" s="27"/>
      <c r="Q344" s="26"/>
      <c r="R344" s="27"/>
      <c r="S344" s="62"/>
      <c r="T344" s="32"/>
      <c r="X344" s="135"/>
    </row>
    <row r="345" spans="1:25" ht="15.75" x14ac:dyDescent="0.25">
      <c r="A345" s="32"/>
      <c r="B345" s="27"/>
      <c r="C345" s="50" t="s">
        <v>47</v>
      </c>
      <c r="D345" s="27"/>
      <c r="E345" s="48"/>
      <c r="F345" s="56"/>
      <c r="G345" s="19"/>
      <c r="H345" s="27"/>
      <c r="I345" s="94">
        <f>+SUBTOTAL(9,I331:I344)</f>
        <v>134925833.26999998</v>
      </c>
      <c r="J345" s="30"/>
      <c r="K345" s="95">
        <f>+SUBTOTAL(9,K331:K344)</f>
        <v>54103113</v>
      </c>
      <c r="L345" s="31"/>
      <c r="M345" s="95">
        <f>+SUBTOTAL(9,M331:M344)</f>
        <v>85577044</v>
      </c>
      <c r="N345" s="31"/>
      <c r="O345" s="95">
        <f>+SUBTOTAL(9,O331:O344)</f>
        <v>7491050</v>
      </c>
      <c r="P345" s="30"/>
      <c r="Q345" s="61">
        <f>+ROUND(O345/I345*100,2)</f>
        <v>5.55</v>
      </c>
      <c r="R345" s="27"/>
      <c r="S345" s="113"/>
      <c r="T345" s="32"/>
      <c r="W345" s="124">
        <f>+SUBTOTAL(9,W331:W344)</f>
        <v>9704814.1526080016</v>
      </c>
      <c r="X345" s="135"/>
      <c r="Y345" s="159">
        <f t="shared" ref="Y345" si="101">O345-W345</f>
        <v>-2213764.1526080016</v>
      </c>
    </row>
    <row r="346" spans="1:25" ht="15.75" x14ac:dyDescent="0.25">
      <c r="A346" s="32"/>
      <c r="B346" s="27"/>
      <c r="C346" s="30"/>
      <c r="D346" s="27"/>
      <c r="E346" s="48"/>
      <c r="F346" s="56"/>
      <c r="G346" s="19"/>
      <c r="H346" s="27"/>
      <c r="I346" s="52"/>
      <c r="J346" s="30"/>
      <c r="K346" s="31"/>
      <c r="L346" s="31"/>
      <c r="M346" s="31"/>
      <c r="N346" s="31"/>
      <c r="O346" s="31"/>
      <c r="P346" s="30"/>
      <c r="Q346" s="26"/>
      <c r="R346" s="27"/>
      <c r="S346" s="113"/>
      <c r="T346" s="32"/>
      <c r="X346" s="135"/>
      <c r="Y346" s="154"/>
    </row>
    <row r="347" spans="1:25" ht="16.5" thickBot="1" x14ac:dyDescent="0.3">
      <c r="A347" s="32"/>
      <c r="B347" s="27"/>
      <c r="C347" s="50" t="s">
        <v>55</v>
      </c>
      <c r="D347" s="27"/>
      <c r="E347" s="48"/>
      <c r="F347" s="56"/>
      <c r="G347" s="19"/>
      <c r="H347" s="27"/>
      <c r="I347" s="96">
        <f>+SUBTOTAL(9,I16:I346)</f>
        <v>6365236955.6799994</v>
      </c>
      <c r="J347" s="30"/>
      <c r="K347" s="97">
        <f>+SUBTOTAL(9,K16:K346)</f>
        <v>2412555355</v>
      </c>
      <c r="L347" s="31"/>
      <c r="M347" s="97">
        <f>+SUBTOTAL(9,M16:M346)</f>
        <v>5057370141</v>
      </c>
      <c r="N347" s="31"/>
      <c r="O347" s="97">
        <f>+SUBTOTAL(9,O16:O346)</f>
        <v>189326536</v>
      </c>
      <c r="P347" s="30"/>
      <c r="Q347" s="61">
        <f>+ROUND(O347/I347*100,2)</f>
        <v>2.97</v>
      </c>
      <c r="R347" s="27"/>
      <c r="S347" s="113"/>
      <c r="T347" s="32"/>
      <c r="W347" s="160">
        <f>+SUBTOTAL(9,W16:W346)</f>
        <v>195249737.41976997</v>
      </c>
      <c r="X347" s="135"/>
      <c r="Y347" s="164">
        <f t="shared" ref="Y347" si="102">O347-W347</f>
        <v>-5923201.4197699726</v>
      </c>
    </row>
    <row r="348" spans="1:25" ht="16.5" thickTop="1" x14ac:dyDescent="0.25">
      <c r="A348" s="32"/>
      <c r="B348" s="27"/>
      <c r="C348" s="50"/>
      <c r="D348" s="27"/>
      <c r="E348" s="48"/>
      <c r="F348" s="56"/>
      <c r="G348" s="19"/>
      <c r="H348" s="27"/>
      <c r="I348" s="98"/>
      <c r="J348" s="30"/>
      <c r="K348" s="99"/>
      <c r="L348" s="31"/>
      <c r="M348" s="99"/>
      <c r="N348" s="31"/>
      <c r="O348" s="99"/>
      <c r="P348" s="30"/>
      <c r="Q348" s="26"/>
      <c r="R348" s="27"/>
      <c r="S348" s="113"/>
      <c r="T348" s="32"/>
      <c r="X348" s="135"/>
    </row>
    <row r="349" spans="1:25" ht="15.75" x14ac:dyDescent="0.25">
      <c r="A349" s="32"/>
      <c r="B349" s="27"/>
      <c r="C349" s="50"/>
      <c r="D349" s="27"/>
      <c r="E349" s="48"/>
      <c r="F349" s="56"/>
      <c r="G349" s="19"/>
      <c r="H349" s="27"/>
      <c r="I349" s="29"/>
      <c r="J349" s="30"/>
      <c r="K349" s="31"/>
      <c r="L349" s="31"/>
      <c r="M349" s="31"/>
      <c r="N349" s="31"/>
      <c r="O349" s="31"/>
      <c r="P349" s="30"/>
      <c r="Q349" s="26"/>
      <c r="R349" s="27"/>
      <c r="S349" s="113"/>
      <c r="T349" s="32"/>
      <c r="W349" s="142"/>
      <c r="X349" s="141"/>
      <c r="Y349" s="155"/>
    </row>
    <row r="350" spans="1:25" ht="15.75" x14ac:dyDescent="0.25">
      <c r="A350" s="32"/>
      <c r="B350" s="27"/>
      <c r="C350" s="53" t="s">
        <v>49</v>
      </c>
      <c r="D350" s="27"/>
      <c r="E350" s="48"/>
      <c r="F350" s="56"/>
      <c r="G350" s="19"/>
      <c r="H350" s="27"/>
      <c r="I350" s="29"/>
      <c r="J350" s="100"/>
      <c r="K350" s="34"/>
      <c r="L350" s="34"/>
      <c r="M350" s="34"/>
      <c r="N350" s="34"/>
      <c r="O350" s="34"/>
      <c r="P350" s="100"/>
      <c r="Q350" s="100"/>
      <c r="R350" s="27"/>
      <c r="S350" s="27"/>
      <c r="T350" s="32"/>
      <c r="W350" s="143"/>
      <c r="X350" s="137"/>
      <c r="Y350" s="155"/>
    </row>
    <row r="351" spans="1:25" ht="15.75" x14ac:dyDescent="0.25">
      <c r="A351" s="32"/>
      <c r="B351" s="27"/>
      <c r="C351" s="27"/>
      <c r="D351" s="27"/>
      <c r="E351" s="48"/>
      <c r="F351" s="56"/>
      <c r="G351" s="19"/>
      <c r="H351" s="27"/>
      <c r="I351" s="29"/>
      <c r="J351" s="100"/>
      <c r="K351" s="34"/>
      <c r="L351" s="34"/>
      <c r="M351" s="34"/>
      <c r="N351" s="34"/>
      <c r="O351" s="34"/>
      <c r="P351" s="100"/>
      <c r="Q351" s="100"/>
      <c r="R351" s="27"/>
      <c r="S351" s="27"/>
      <c r="T351" s="32"/>
      <c r="W351" s="143"/>
      <c r="X351" s="137"/>
      <c r="Y351" s="155"/>
    </row>
    <row r="352" spans="1:25" x14ac:dyDescent="0.2">
      <c r="A352" s="26">
        <v>301</v>
      </c>
      <c r="B352" s="27"/>
      <c r="C352" s="27" t="s">
        <v>87</v>
      </c>
      <c r="D352" s="27"/>
      <c r="E352" s="48"/>
      <c r="F352" s="56"/>
      <c r="G352" s="19"/>
      <c r="H352" s="27"/>
      <c r="I352" s="29">
        <v>44455.58</v>
      </c>
      <c r="J352" s="100"/>
      <c r="K352" s="34"/>
      <c r="L352" s="34"/>
      <c r="M352" s="34"/>
      <c r="N352" s="34"/>
      <c r="O352" s="34"/>
      <c r="P352" s="100"/>
      <c r="Q352" s="100"/>
      <c r="R352" s="27"/>
      <c r="S352" s="27"/>
      <c r="T352" s="32"/>
      <c r="X352" s="135"/>
    </row>
    <row r="353" spans="1:25" x14ac:dyDescent="0.2">
      <c r="A353" s="26">
        <v>310.2</v>
      </c>
      <c r="B353" s="27"/>
      <c r="C353" s="27" t="s">
        <v>51</v>
      </c>
      <c r="D353" s="27"/>
      <c r="E353" s="48"/>
      <c r="F353" s="56"/>
      <c r="G353" s="19"/>
      <c r="H353" s="27"/>
      <c r="I353" s="29">
        <v>10881103.859999999</v>
      </c>
      <c r="J353" s="100"/>
      <c r="K353" s="34"/>
      <c r="L353" s="34"/>
      <c r="M353" s="34"/>
      <c r="N353" s="34"/>
      <c r="O353" s="34"/>
      <c r="P353" s="100"/>
      <c r="Q353" s="100"/>
      <c r="R353" s="27"/>
      <c r="S353" s="27"/>
      <c r="T353" s="32"/>
      <c r="X353" s="126"/>
    </row>
    <row r="354" spans="1:25" x14ac:dyDescent="0.2">
      <c r="A354" s="26">
        <v>340.2</v>
      </c>
      <c r="B354" s="27"/>
      <c r="C354" s="27" t="s">
        <v>51</v>
      </c>
      <c r="D354" s="27"/>
      <c r="E354" s="48"/>
      <c r="F354" s="56"/>
      <c r="G354" s="19"/>
      <c r="H354" s="27"/>
      <c r="I354" s="29">
        <v>118514.41</v>
      </c>
      <c r="J354" s="100"/>
      <c r="K354" s="34"/>
      <c r="L354" s="34"/>
      <c r="M354" s="34"/>
      <c r="N354" s="34"/>
      <c r="O354" s="34"/>
      <c r="P354" s="100"/>
      <c r="Q354" s="100"/>
      <c r="R354" s="27"/>
      <c r="S354" s="27"/>
      <c r="T354" s="32"/>
      <c r="X354" s="126"/>
    </row>
    <row r="355" spans="1:25" x14ac:dyDescent="0.2">
      <c r="A355" s="26">
        <v>350.2</v>
      </c>
      <c r="B355" s="27"/>
      <c r="C355" s="27" t="s">
        <v>51</v>
      </c>
      <c r="D355" s="27"/>
      <c r="E355" s="48"/>
      <c r="F355" s="56"/>
      <c r="G355" s="19"/>
      <c r="H355" s="27"/>
      <c r="I355" s="29">
        <v>2199383.04</v>
      </c>
      <c r="J355" s="100"/>
      <c r="K355" s="34"/>
      <c r="L355" s="34"/>
      <c r="M355" s="34"/>
      <c r="N355" s="34"/>
      <c r="O355" s="34"/>
      <c r="P355" s="100"/>
      <c r="Q355" s="100"/>
      <c r="R355" s="27"/>
      <c r="S355" s="27"/>
      <c r="T355" s="32"/>
      <c r="X355" s="126"/>
    </row>
    <row r="356" spans="1:25" x14ac:dyDescent="0.2">
      <c r="A356" s="26">
        <v>360.2</v>
      </c>
      <c r="B356" s="27"/>
      <c r="C356" s="27" t="s">
        <v>52</v>
      </c>
      <c r="D356" s="27"/>
      <c r="E356" s="48"/>
      <c r="F356" s="56"/>
      <c r="G356" s="19"/>
      <c r="H356" s="27"/>
      <c r="I356" s="29">
        <v>3271807.48</v>
      </c>
      <c r="J356" s="100"/>
      <c r="K356" s="34"/>
      <c r="L356" s="34"/>
      <c r="M356" s="34"/>
      <c r="N356" s="34"/>
      <c r="O356" s="34"/>
      <c r="P356" s="100"/>
      <c r="Q356" s="100"/>
      <c r="R356" s="27"/>
      <c r="S356" s="27"/>
      <c r="T356" s="32"/>
      <c r="X356" s="126"/>
    </row>
    <row r="357" spans="1:25" x14ac:dyDescent="0.2">
      <c r="A357" s="26">
        <v>389.2</v>
      </c>
      <c r="B357" s="27"/>
      <c r="C357" s="27" t="s">
        <v>52</v>
      </c>
      <c r="D357" s="27"/>
      <c r="E357" s="48"/>
      <c r="F357" s="56"/>
      <c r="G357" s="19"/>
      <c r="H357" s="27"/>
      <c r="I357" s="47">
        <v>2567847.4</v>
      </c>
      <c r="J357" s="100"/>
      <c r="K357" s="41"/>
      <c r="L357" s="34"/>
      <c r="M357" s="34"/>
      <c r="N357" s="34"/>
      <c r="O357" s="34"/>
      <c r="P357" s="100"/>
      <c r="Q357" s="100"/>
      <c r="R357" s="27"/>
      <c r="S357" s="27"/>
      <c r="T357" s="32"/>
      <c r="X357" s="126"/>
    </row>
    <row r="358" spans="1:25" x14ac:dyDescent="0.2">
      <c r="A358" s="26"/>
      <c r="B358" s="27"/>
      <c r="C358" s="27"/>
      <c r="D358" s="27"/>
      <c r="E358" s="48"/>
      <c r="F358" s="56"/>
      <c r="G358" s="19"/>
      <c r="H358" s="27"/>
      <c r="I358" s="29"/>
      <c r="J358" s="100"/>
      <c r="K358" s="41"/>
      <c r="L358" s="34"/>
      <c r="M358" s="34"/>
      <c r="N358" s="34"/>
      <c r="O358" s="34"/>
      <c r="P358" s="100"/>
      <c r="Q358" s="100"/>
      <c r="R358" s="27"/>
      <c r="S358" s="27"/>
      <c r="T358" s="32"/>
      <c r="X358" s="126"/>
    </row>
    <row r="359" spans="1:25" ht="15.75" x14ac:dyDescent="0.25">
      <c r="A359" s="32"/>
      <c r="B359" s="27"/>
      <c r="C359" s="50" t="s">
        <v>53</v>
      </c>
      <c r="D359" s="27"/>
      <c r="E359" s="56"/>
      <c r="F359" s="56"/>
      <c r="G359" s="19"/>
      <c r="H359" s="27"/>
      <c r="I359" s="94">
        <f>+SUBTOTAL(9,I352:I358)</f>
        <v>19083111.77</v>
      </c>
      <c r="J359" s="101"/>
      <c r="K359" s="102"/>
      <c r="L359" s="31"/>
      <c r="M359" s="31"/>
      <c r="N359" s="31"/>
      <c r="O359" s="31"/>
      <c r="P359" s="101"/>
      <c r="Q359" s="100"/>
      <c r="R359" s="27"/>
      <c r="S359" s="27"/>
      <c r="T359" s="32"/>
      <c r="U359" s="25"/>
      <c r="W359" s="161"/>
      <c r="X359" s="25"/>
      <c r="Y359" s="162"/>
    </row>
    <row r="360" spans="1:25" s="25" customFormat="1" x14ac:dyDescent="0.2">
      <c r="A360" s="54"/>
      <c r="B360" s="72"/>
      <c r="C360" s="28"/>
      <c r="D360" s="72"/>
      <c r="E360" s="105"/>
      <c r="F360" s="105"/>
      <c r="G360" s="81"/>
      <c r="H360" s="72"/>
      <c r="I360" s="74"/>
      <c r="J360" s="103"/>
      <c r="K360" s="104"/>
      <c r="L360" s="75"/>
      <c r="M360" s="75"/>
      <c r="N360" s="75"/>
      <c r="O360" s="75"/>
      <c r="P360" s="103"/>
      <c r="Q360" s="106"/>
      <c r="R360" s="72"/>
      <c r="S360" s="72"/>
      <c r="T360" s="54"/>
      <c r="U360"/>
      <c r="W360" s="145"/>
      <c r="X360" s="126"/>
      <c r="Y360" s="144"/>
    </row>
    <row r="361" spans="1:25" ht="16.5" thickBot="1" x14ac:dyDescent="0.3">
      <c r="A361" s="32"/>
      <c r="B361" s="27"/>
      <c r="C361" s="50" t="s">
        <v>48</v>
      </c>
      <c r="D361" s="27"/>
      <c r="E361" s="56"/>
      <c r="F361" s="56"/>
      <c r="G361" s="19"/>
      <c r="H361" s="27"/>
      <c r="I361" s="52">
        <f>+SUBTOTAL(9,I16:I360)</f>
        <v>6384320067.4499979</v>
      </c>
      <c r="J361" s="101"/>
      <c r="K361" s="102">
        <f>+SUBTOTAL(9,K16:K360)</f>
        <v>2412555355</v>
      </c>
      <c r="L361" s="31"/>
      <c r="M361" s="102">
        <f>+SUBTOTAL(9,M16:M360)</f>
        <v>5057370141</v>
      </c>
      <c r="N361" s="31"/>
      <c r="O361" s="102">
        <f>+SUBTOTAL(9,O16:O360)</f>
        <v>189326536</v>
      </c>
      <c r="P361" s="101"/>
      <c r="Q361" s="100"/>
      <c r="R361" s="27"/>
      <c r="S361" s="27"/>
      <c r="T361" s="32"/>
      <c r="X361" s="126"/>
    </row>
    <row r="362" spans="1:25" ht="16.5" thickTop="1" x14ac:dyDescent="0.25">
      <c r="A362" s="32"/>
      <c r="B362" s="27"/>
      <c r="C362" s="50"/>
      <c r="D362" s="27"/>
      <c r="E362" s="56"/>
      <c r="F362" s="56"/>
      <c r="G362" s="19"/>
      <c r="H362" s="27"/>
      <c r="I362" s="107"/>
      <c r="J362" s="101"/>
      <c r="K362" s="108"/>
      <c r="L362" s="31"/>
      <c r="M362" s="108"/>
      <c r="N362" s="31"/>
      <c r="O362" s="108"/>
      <c r="P362" s="101"/>
      <c r="Q362" s="100"/>
      <c r="R362" s="27"/>
      <c r="S362" s="27"/>
      <c r="T362" s="32"/>
      <c r="X362" s="126"/>
    </row>
    <row r="363" spans="1:25" ht="15.75" x14ac:dyDescent="0.25">
      <c r="A363" s="32"/>
      <c r="B363" s="27"/>
      <c r="C363" s="50"/>
      <c r="D363" s="27"/>
      <c r="E363" s="56"/>
      <c r="F363" s="56"/>
      <c r="G363" s="19"/>
      <c r="H363" s="27"/>
      <c r="I363" s="109"/>
      <c r="J363" s="101"/>
      <c r="K363" s="31"/>
      <c r="L363" s="31"/>
      <c r="M363" s="31"/>
      <c r="N363" s="31"/>
      <c r="O363" s="31"/>
      <c r="P363" s="101"/>
      <c r="Q363" s="100"/>
      <c r="R363" s="27"/>
      <c r="S363" s="27"/>
      <c r="T363" s="32"/>
      <c r="X363" s="126"/>
    </row>
    <row r="364" spans="1:25" ht="15.75" x14ac:dyDescent="0.25">
      <c r="B364" s="67" t="s">
        <v>54</v>
      </c>
      <c r="C364" s="50"/>
      <c r="D364" s="27"/>
      <c r="E364" s="56"/>
      <c r="F364" s="56"/>
      <c r="G364" s="19"/>
      <c r="H364" s="27"/>
      <c r="I364" s="110"/>
      <c r="J364" s="101"/>
      <c r="K364" s="110"/>
      <c r="L364" s="31"/>
      <c r="M364" s="31"/>
      <c r="N364" s="31"/>
      <c r="O364" s="31"/>
      <c r="P364" s="101"/>
      <c r="Q364" s="100"/>
      <c r="R364" s="27"/>
      <c r="S364" s="27"/>
      <c r="T364" s="32"/>
      <c r="X364" s="126"/>
    </row>
    <row r="365" spans="1:25" x14ac:dyDescent="0.2">
      <c r="B365" s="32"/>
      <c r="C365" s="27"/>
      <c r="D365" s="27"/>
      <c r="E365" s="56"/>
      <c r="F365" s="56"/>
      <c r="G365" s="19"/>
      <c r="H365" s="27"/>
      <c r="I365" s="26"/>
      <c r="J365" s="100"/>
      <c r="K365" s="34"/>
      <c r="L365" s="34"/>
      <c r="M365" s="34"/>
      <c r="N365" s="34"/>
      <c r="O365" s="34"/>
      <c r="P365" s="100"/>
      <c r="Q365" s="100"/>
      <c r="R365" s="27"/>
      <c r="S365" s="27"/>
      <c r="T365" s="32"/>
      <c r="X365" s="126"/>
    </row>
    <row r="366" spans="1:25" x14ac:dyDescent="0.2">
      <c r="X366" s="126"/>
    </row>
    <row r="367" spans="1:25" x14ac:dyDescent="0.2">
      <c r="X367" s="126"/>
    </row>
    <row r="368" spans="1:25" x14ac:dyDescent="0.2">
      <c r="X368" s="126"/>
    </row>
    <row r="369" spans="24:24" customFormat="1" x14ac:dyDescent="0.2">
      <c r="X369" s="126"/>
    </row>
    <row r="370" spans="24:24" customFormat="1" x14ac:dyDescent="0.2">
      <c r="X370" s="126"/>
    </row>
    <row r="371" spans="24:24" customFormat="1" x14ac:dyDescent="0.2">
      <c r="X371" s="126"/>
    </row>
    <row r="372" spans="24:24" customFormat="1" x14ac:dyDescent="0.2">
      <c r="X372" s="126"/>
    </row>
    <row r="373" spans="24:24" customFormat="1" x14ac:dyDescent="0.2">
      <c r="X373" s="126"/>
    </row>
    <row r="374" spans="24:24" customFormat="1" x14ac:dyDescent="0.2">
      <c r="X374" s="126"/>
    </row>
    <row r="375" spans="24:24" customFormat="1" x14ac:dyDescent="0.2">
      <c r="X375" s="126"/>
    </row>
    <row r="376" spans="24:24" customFormat="1" x14ac:dyDescent="0.2">
      <c r="X376" s="126"/>
    </row>
    <row r="377" spans="24:24" customFormat="1" x14ac:dyDescent="0.2">
      <c r="X377" s="126"/>
    </row>
    <row r="378" spans="24:24" customFormat="1" x14ac:dyDescent="0.2">
      <c r="X378" s="126"/>
    </row>
    <row r="379" spans="24:24" customFormat="1" x14ac:dyDescent="0.2">
      <c r="X379" s="126"/>
    </row>
    <row r="380" spans="24:24" customFormat="1" x14ac:dyDescent="0.2">
      <c r="X380" s="126"/>
    </row>
    <row r="381" spans="24:24" customFormat="1" x14ac:dyDescent="0.2">
      <c r="X381" s="126"/>
    </row>
    <row r="382" spans="24:24" customFormat="1" x14ac:dyDescent="0.2">
      <c r="X382" s="126"/>
    </row>
    <row r="383" spans="24:24" customFormat="1" x14ac:dyDescent="0.2">
      <c r="X383" s="126"/>
    </row>
    <row r="384" spans="24:24" customFormat="1" x14ac:dyDescent="0.2">
      <c r="X384" s="126"/>
    </row>
    <row r="385" spans="24:24" customFormat="1" x14ac:dyDescent="0.2">
      <c r="X385" s="126"/>
    </row>
  </sheetData>
  <mergeCells count="3">
    <mergeCell ref="U7:W7"/>
    <mergeCell ref="O7:Q7"/>
    <mergeCell ref="E3:L3"/>
  </mergeCells>
  <phoneticPr fontId="0" type="noConversion"/>
  <pageMargins left="0.5" right="0.5" top="0.68" bottom="0.25" header="0.5" footer="0.5"/>
  <pageSetup scale="51" fitToHeight="0" orientation="landscape" r:id="rId1"/>
  <headerFooter alignWithMargins="0">
    <oddHeader>&amp;R&amp;"Times New Roman,Bold"Attachment to Response to KU KIUC-1 Question No. 46
Page &amp;P of &amp;N
Spanos</oddHeader>
  </headerFooter>
  <rowBreaks count="6" manualBreakCount="6">
    <brk id="65" min="3" max="24" man="1"/>
    <brk id="120" min="3" max="24" man="1"/>
    <brk id="170" min="3" max="24" man="1"/>
    <brk id="225" min="3" max="24" man="1"/>
    <brk id="280" min="3" max="24" man="1"/>
    <brk id="328" min="3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5"/>
  <sheetViews>
    <sheetView topLeftCell="P262" zoomScale="85" zoomScaleNormal="85" workbookViewId="0">
      <selection activeCell="Z293" sqref="Z293"/>
    </sheetView>
  </sheetViews>
  <sheetFormatPr defaultColWidth="9.77734375" defaultRowHeight="15" x14ac:dyDescent="0.2"/>
  <cols>
    <col min="1" max="1" width="9.77734375" style="135" customWidth="1"/>
    <col min="2" max="2" width="1.5546875" style="135" bestFit="1" customWidth="1"/>
    <col min="3" max="3" width="51.77734375" style="135" customWidth="1"/>
    <col min="4" max="4" width="5.6640625" style="135" bestFit="1" customWidth="1"/>
    <col min="5" max="5" width="16.21875" style="232" customWidth="1"/>
    <col min="6" max="6" width="3.77734375" style="232" customWidth="1"/>
    <col min="7" max="7" width="9.77734375" style="23" customWidth="1"/>
    <col min="8" max="8" width="3.77734375" style="135" customWidth="1"/>
    <col min="9" max="9" width="16.44140625" style="135" customWidth="1"/>
    <col min="10" max="10" width="3.77734375" style="135" customWidth="1"/>
    <col min="11" max="11" width="16.6640625" style="16" customWidth="1"/>
    <col min="12" max="12" width="3.77734375" style="16" customWidth="1"/>
    <col min="13" max="13" width="16" style="16" bestFit="1" customWidth="1"/>
    <col min="14" max="14" width="3.77734375" style="16" customWidth="1"/>
    <col min="15" max="15" width="14" style="16" bestFit="1" customWidth="1"/>
    <col min="16" max="16" width="3.77734375" style="135" customWidth="1"/>
    <col min="17" max="17" width="11.77734375" style="135" customWidth="1"/>
    <col min="18" max="18" width="3.77734375" style="135" customWidth="1"/>
    <col min="19" max="19" width="12.77734375" style="135" customWidth="1"/>
    <col min="20" max="20" width="3.77734375" style="135" customWidth="1"/>
    <col min="21" max="21" width="9.77734375" style="135"/>
    <col min="22" max="22" width="3.77734375" style="135" customWidth="1"/>
    <col min="23" max="23" width="12.77734375" style="145" customWidth="1"/>
    <col min="24" max="24" width="3.77734375" style="135" customWidth="1"/>
    <col min="25" max="25" width="12.44140625" style="144" bestFit="1" customWidth="1"/>
    <col min="26" max="26" width="11.21875" style="135" bestFit="1" customWidth="1"/>
    <col min="27" max="16384" width="9.77734375" style="135"/>
  </cols>
  <sheetData>
    <row r="1" spans="1:25" x14ac:dyDescent="0.2">
      <c r="A1" s="9"/>
      <c r="B1" s="9"/>
      <c r="C1" s="9"/>
      <c r="D1" s="9"/>
      <c r="H1" s="9"/>
      <c r="I1" s="9"/>
      <c r="J1" s="9"/>
      <c r="K1" s="14"/>
      <c r="L1" s="14"/>
      <c r="M1" s="14"/>
      <c r="N1" s="14"/>
      <c r="O1" s="14"/>
      <c r="P1" s="9"/>
      <c r="Q1" s="9"/>
      <c r="R1" s="9"/>
      <c r="S1" s="9"/>
      <c r="T1" s="9"/>
    </row>
    <row r="2" spans="1:25" ht="15.75" x14ac:dyDescent="0.25">
      <c r="A2" s="60" t="s">
        <v>131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9"/>
    </row>
    <row r="3" spans="1:25" ht="15.75" x14ac:dyDescent="0.25">
      <c r="A3" s="298" t="s">
        <v>296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9"/>
    </row>
    <row r="4" spans="1:25" ht="15.75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9"/>
    </row>
    <row r="5" spans="1:25" ht="15.75" x14ac:dyDescent="0.25">
      <c r="A5" s="60" t="s">
        <v>161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9"/>
    </row>
    <row r="6" spans="1:25" ht="16.5" thickBot="1" x14ac:dyDescent="0.3">
      <c r="A6" s="4"/>
      <c r="B6" s="10"/>
      <c r="C6" s="10"/>
      <c r="D6" s="10"/>
      <c r="E6" s="55"/>
      <c r="F6" s="55"/>
      <c r="H6" s="10"/>
      <c r="I6" s="10"/>
      <c r="J6" s="10"/>
      <c r="K6" s="15"/>
      <c r="L6" s="15"/>
      <c r="M6" s="15"/>
      <c r="N6" s="15"/>
      <c r="T6" s="9"/>
    </row>
    <row r="7" spans="1:25" ht="16.5" thickBot="1" x14ac:dyDescent="0.3">
      <c r="A7" s="9"/>
      <c r="B7" s="7"/>
      <c r="C7" s="2"/>
      <c r="D7" s="128"/>
      <c r="E7" s="128"/>
      <c r="F7" s="128"/>
      <c r="G7" s="127" t="s">
        <v>2</v>
      </c>
      <c r="H7" s="128"/>
      <c r="I7" s="128"/>
      <c r="J7" s="128"/>
      <c r="K7" s="17" t="s">
        <v>3</v>
      </c>
      <c r="L7" s="17"/>
      <c r="M7" s="17"/>
      <c r="N7" s="17"/>
      <c r="O7" s="295" t="s">
        <v>308</v>
      </c>
      <c r="P7" s="296"/>
      <c r="Q7" s="297"/>
      <c r="R7" s="1"/>
      <c r="S7" s="128" t="s">
        <v>4</v>
      </c>
      <c r="T7" s="9"/>
      <c r="U7" s="292" t="s">
        <v>300</v>
      </c>
      <c r="V7" s="293"/>
      <c r="W7" s="294"/>
      <c r="X7" s="129"/>
    </row>
    <row r="8" spans="1:25" ht="15.75" x14ac:dyDescent="0.25">
      <c r="A8" s="9"/>
      <c r="B8" s="7"/>
      <c r="C8" s="128"/>
      <c r="D8" s="128"/>
      <c r="E8" s="128" t="s">
        <v>5</v>
      </c>
      <c r="F8" s="128"/>
      <c r="G8" s="127" t="s">
        <v>6</v>
      </c>
      <c r="H8" s="128"/>
      <c r="I8" s="128" t="s">
        <v>7</v>
      </c>
      <c r="J8" s="128"/>
      <c r="K8" s="17" t="s">
        <v>8</v>
      </c>
      <c r="L8" s="17"/>
      <c r="M8" s="17" t="s">
        <v>9</v>
      </c>
      <c r="N8" s="17"/>
      <c r="O8" s="172" t="s">
        <v>10</v>
      </c>
      <c r="P8" s="171"/>
      <c r="Q8" s="173" t="s">
        <v>11</v>
      </c>
      <c r="R8" s="1"/>
      <c r="S8" s="128" t="s">
        <v>12</v>
      </c>
      <c r="T8" s="9"/>
      <c r="U8" s="130"/>
    </row>
    <row r="9" spans="1:25" ht="15.75" x14ac:dyDescent="0.25">
      <c r="A9" s="9"/>
      <c r="B9" s="7"/>
      <c r="C9" s="128" t="s">
        <v>13</v>
      </c>
      <c r="D9" s="128"/>
      <c r="E9" s="128" t="s">
        <v>14</v>
      </c>
      <c r="F9" s="128"/>
      <c r="G9" s="127" t="s">
        <v>15</v>
      </c>
      <c r="H9" s="128"/>
      <c r="I9" s="128" t="s">
        <v>16</v>
      </c>
      <c r="J9" s="128"/>
      <c r="K9" s="17" t="s">
        <v>17</v>
      </c>
      <c r="L9" s="17"/>
      <c r="M9" s="17" t="s">
        <v>18</v>
      </c>
      <c r="N9" s="17"/>
      <c r="O9" s="17" t="s">
        <v>19</v>
      </c>
      <c r="P9" s="128"/>
      <c r="Q9" s="2" t="s">
        <v>20</v>
      </c>
      <c r="R9" s="1"/>
      <c r="S9" s="128" t="s">
        <v>21</v>
      </c>
      <c r="T9" s="9"/>
      <c r="U9" s="131" t="s">
        <v>219</v>
      </c>
      <c r="V9" s="128"/>
      <c r="W9" s="146" t="s">
        <v>220</v>
      </c>
      <c r="X9" s="128"/>
      <c r="Y9" s="147" t="s">
        <v>221</v>
      </c>
    </row>
    <row r="10" spans="1:25" ht="15.75" x14ac:dyDescent="0.25">
      <c r="A10" s="9"/>
      <c r="B10" s="7"/>
      <c r="C10" s="11">
        <v>-1</v>
      </c>
      <c r="D10" s="148"/>
      <c r="E10" s="11">
        <v>-2</v>
      </c>
      <c r="F10" s="148"/>
      <c r="G10" s="13">
        <v>-3</v>
      </c>
      <c r="H10" s="148"/>
      <c r="I10" s="11">
        <v>-4</v>
      </c>
      <c r="J10" s="148"/>
      <c r="K10" s="11">
        <v>-5</v>
      </c>
      <c r="L10" s="17"/>
      <c r="M10" s="11" t="s">
        <v>231</v>
      </c>
      <c r="N10" s="17"/>
      <c r="O10" s="238" t="s">
        <v>299</v>
      </c>
      <c r="P10" s="148"/>
      <c r="Q10" s="3" t="s">
        <v>22</v>
      </c>
      <c r="S10" s="238" t="s">
        <v>298</v>
      </c>
      <c r="T10" s="9"/>
      <c r="U10" s="127">
        <v>-10</v>
      </c>
      <c r="V10" s="128"/>
      <c r="W10" s="148" t="s">
        <v>222</v>
      </c>
      <c r="X10" s="128"/>
      <c r="Y10" s="149" t="s">
        <v>223</v>
      </c>
    </row>
    <row r="11" spans="1:25" ht="15.75" x14ac:dyDescent="0.25">
      <c r="A11" s="9"/>
      <c r="B11" s="7"/>
      <c r="C11" s="148"/>
      <c r="D11" s="148"/>
      <c r="E11" s="148"/>
      <c r="F11" s="148"/>
      <c r="G11" s="127"/>
      <c r="H11" s="148"/>
      <c r="I11" s="148"/>
      <c r="J11" s="148"/>
      <c r="K11" s="17"/>
      <c r="L11" s="17"/>
      <c r="M11" s="17"/>
      <c r="N11" s="17"/>
      <c r="O11" s="17"/>
      <c r="P11" s="148"/>
      <c r="Q11" s="148" t="s">
        <v>241</v>
      </c>
      <c r="S11" s="148"/>
      <c r="T11" s="9"/>
    </row>
    <row r="12" spans="1:25" ht="15.75" x14ac:dyDescent="0.25">
      <c r="A12" s="9"/>
      <c r="C12" s="8" t="s">
        <v>56</v>
      </c>
      <c r="K12" s="14"/>
      <c r="L12" s="14"/>
      <c r="M12" s="14"/>
      <c r="N12" s="14"/>
      <c r="O12" s="14"/>
      <c r="T12" s="9"/>
    </row>
    <row r="13" spans="1:25" x14ac:dyDescent="0.2">
      <c r="A13" s="9"/>
      <c r="K13" s="14"/>
      <c r="L13" s="14"/>
      <c r="M13" s="14"/>
      <c r="N13" s="14"/>
      <c r="O13" s="14"/>
      <c r="T13" s="9"/>
    </row>
    <row r="14" spans="1:25" ht="15.75" x14ac:dyDescent="0.25">
      <c r="A14" s="9"/>
      <c r="C14" s="70" t="s">
        <v>157</v>
      </c>
      <c r="K14" s="14"/>
      <c r="L14" s="14"/>
      <c r="M14" s="14"/>
      <c r="N14" s="14"/>
      <c r="O14" s="14"/>
      <c r="T14" s="9"/>
    </row>
    <row r="15" spans="1:25" x14ac:dyDescent="0.2">
      <c r="A15" s="9"/>
      <c r="K15" s="14"/>
      <c r="L15" s="14"/>
      <c r="M15" s="14"/>
      <c r="N15" s="14"/>
      <c r="O15" s="14"/>
      <c r="T15" s="9"/>
    </row>
    <row r="16" spans="1:25" x14ac:dyDescent="0.2">
      <c r="A16" s="26">
        <v>302</v>
      </c>
      <c r="B16" s="139"/>
      <c r="C16" s="59" t="s">
        <v>156</v>
      </c>
      <c r="D16" s="139"/>
      <c r="E16" s="20" t="s">
        <v>150</v>
      </c>
      <c r="F16" s="20"/>
      <c r="G16" s="19">
        <v>0</v>
      </c>
      <c r="H16" s="139"/>
      <c r="I16" s="45">
        <v>55918.83</v>
      </c>
      <c r="J16" s="100"/>
      <c r="K16" s="45">
        <v>21074</v>
      </c>
      <c r="L16" s="34"/>
      <c r="M16" s="200">
        <f>+((1-G16)*I16)-K16</f>
        <v>34844.83</v>
      </c>
      <c r="N16" s="45"/>
      <c r="O16" s="45">
        <f>M16/S16</f>
        <v>10559.039393939394</v>
      </c>
      <c r="P16" s="139"/>
      <c r="Q16" s="116">
        <f>IF(O16/I16*100=0,"-     ",ROUND(O16/I16*100,2))</f>
        <v>18.88</v>
      </c>
      <c r="S16" s="117">
        <v>3.3</v>
      </c>
      <c r="T16" s="32"/>
      <c r="U16" s="116">
        <v>18.78</v>
      </c>
      <c r="W16" s="145">
        <f>(I16/100)*U16</f>
        <v>10501.556274</v>
      </c>
      <c r="Y16" s="144">
        <f>O16-W16</f>
        <v>57.483119939393873</v>
      </c>
    </row>
    <row r="17" spans="1:25" x14ac:dyDescent="0.2">
      <c r="A17" s="26">
        <v>303</v>
      </c>
      <c r="B17" s="139"/>
      <c r="C17" s="139" t="s">
        <v>50</v>
      </c>
      <c r="D17" s="139"/>
      <c r="E17" s="20" t="s">
        <v>153</v>
      </c>
      <c r="F17" s="20"/>
      <c r="G17" s="19">
        <v>0</v>
      </c>
      <c r="H17" s="139"/>
      <c r="I17" s="45">
        <v>18338712.02</v>
      </c>
      <c r="J17" s="100"/>
      <c r="K17" s="45">
        <v>7484852</v>
      </c>
      <c r="L17" s="34"/>
      <c r="M17" s="200">
        <f t="shared" ref="M17:M18" si="0">+((1-(G17/100))*I17)-K17</f>
        <v>10853860.02</v>
      </c>
      <c r="N17" s="45"/>
      <c r="O17" s="45">
        <f t="shared" ref="O17:O18" si="1">M17/S17</f>
        <v>2783041.0307692308</v>
      </c>
      <c r="P17" s="139"/>
      <c r="Q17" s="116">
        <f>IF(O17/I17*100=0,"-     ",ROUND(O17/I17*100,2))</f>
        <v>15.18</v>
      </c>
      <c r="S17" s="117">
        <v>3.9</v>
      </c>
      <c r="T17" s="32"/>
      <c r="U17" s="116">
        <v>15.28</v>
      </c>
      <c r="W17" s="145">
        <f t="shared" ref="W17:W18" si="2">(I17/100)*U17</f>
        <v>2802155.1966559999</v>
      </c>
      <c r="Y17" s="144">
        <f t="shared" ref="Y17:Y18" si="3">O17-W17</f>
        <v>-19114.165886769071</v>
      </c>
    </row>
    <row r="18" spans="1:25" x14ac:dyDescent="0.2">
      <c r="A18" s="26">
        <v>303.10000000000002</v>
      </c>
      <c r="B18" s="139"/>
      <c r="C18" s="139" t="s">
        <v>92</v>
      </c>
      <c r="D18" s="139"/>
      <c r="E18" s="20" t="s">
        <v>132</v>
      </c>
      <c r="F18" s="20" t="s">
        <v>64</v>
      </c>
      <c r="G18" s="19">
        <v>0</v>
      </c>
      <c r="H18" s="139"/>
      <c r="I18" s="90">
        <v>40210208.289999999</v>
      </c>
      <c r="J18" s="100"/>
      <c r="K18" s="90">
        <v>10240838</v>
      </c>
      <c r="L18" s="34"/>
      <c r="M18" s="200">
        <f t="shared" si="0"/>
        <v>29969370.289999999</v>
      </c>
      <c r="N18" s="45"/>
      <c r="O18" s="45">
        <f t="shared" si="1"/>
        <v>3995916.0386666665</v>
      </c>
      <c r="P18" s="139"/>
      <c r="Q18" s="116">
        <f>IF(O18/I18*100=0,"-     ",ROUND(O18/I18*100,2))</f>
        <v>9.94</v>
      </c>
      <c r="S18" s="117">
        <v>7.5</v>
      </c>
      <c r="T18" s="32"/>
      <c r="U18" s="116">
        <v>9.94</v>
      </c>
      <c r="W18" s="145">
        <f t="shared" si="2"/>
        <v>3996894.7040259996</v>
      </c>
      <c r="Y18" s="144">
        <f t="shared" si="3"/>
        <v>-978.66535933315754</v>
      </c>
    </row>
    <row r="19" spans="1:25" x14ac:dyDescent="0.2">
      <c r="A19" s="9"/>
      <c r="I19" s="16"/>
      <c r="K19" s="14"/>
      <c r="L19" s="14"/>
      <c r="M19" s="14"/>
      <c r="N19" s="14"/>
      <c r="O19" s="14"/>
      <c r="T19" s="9"/>
    </row>
    <row r="20" spans="1:25" ht="15.75" x14ac:dyDescent="0.25">
      <c r="A20" s="9"/>
      <c r="C20" s="64" t="s">
        <v>158</v>
      </c>
      <c r="I20" s="102">
        <f>SUM(I16:I19)</f>
        <v>58604839.140000001</v>
      </c>
      <c r="J20" s="30"/>
      <c r="K20" s="102">
        <f>SUM(K16:K19)</f>
        <v>17746764</v>
      </c>
      <c r="L20" s="31"/>
      <c r="M20" s="102">
        <f>SUM(M16:M19)</f>
        <v>40858075.140000001</v>
      </c>
      <c r="N20" s="31"/>
      <c r="O20" s="102">
        <f>SUM(O16:O19)</f>
        <v>6789516.1088298373</v>
      </c>
      <c r="Q20" s="137">
        <f>+ROUND(O20/I20*100,2)</f>
        <v>11.59</v>
      </c>
      <c r="T20" s="9"/>
      <c r="U20" s="242">
        <f>W20/I20</f>
        <v>0.11619435454278425</v>
      </c>
      <c r="W20" s="102">
        <f>SUM(W16:W19)</f>
        <v>6809551.4569559991</v>
      </c>
      <c r="Y20" s="102">
        <f>SUM(Y16:Y19)</f>
        <v>-20035.348126162833</v>
      </c>
    </row>
    <row r="21" spans="1:25" ht="15.75" x14ac:dyDescent="0.25">
      <c r="A21" s="9"/>
      <c r="C21" s="50"/>
      <c r="I21" s="16"/>
      <c r="K21" s="14"/>
      <c r="L21" s="14"/>
      <c r="M21" s="14"/>
      <c r="N21" s="14"/>
      <c r="O21" s="14"/>
      <c r="T21" s="9"/>
      <c r="W21" s="143"/>
      <c r="Y21" s="102"/>
    </row>
    <row r="22" spans="1:25" ht="15.75" x14ac:dyDescent="0.25">
      <c r="A22" s="9"/>
      <c r="I22" s="16"/>
      <c r="K22" s="14"/>
      <c r="L22" s="14"/>
      <c r="M22" s="14"/>
      <c r="N22" s="14"/>
      <c r="O22" s="14"/>
      <c r="T22" s="9"/>
      <c r="W22" s="143"/>
      <c r="Y22" s="155"/>
    </row>
    <row r="23" spans="1:25" ht="15.75" x14ac:dyDescent="0.25">
      <c r="A23" s="32"/>
      <c r="B23" s="139"/>
      <c r="C23" s="53" t="s">
        <v>24</v>
      </c>
      <c r="D23" s="139"/>
      <c r="E23" s="56"/>
      <c r="F23" s="56"/>
      <c r="G23" s="66"/>
      <c r="H23" s="139"/>
      <c r="I23" s="240"/>
      <c r="J23" s="139"/>
      <c r="K23" s="34"/>
      <c r="L23" s="34"/>
      <c r="M23" s="34"/>
      <c r="N23" s="34"/>
      <c r="O23" s="34"/>
      <c r="P23" s="139"/>
      <c r="Q23" s="62"/>
      <c r="R23" s="139"/>
      <c r="S23" s="26"/>
      <c r="T23" s="32"/>
      <c r="U23" s="62"/>
    </row>
    <row r="24" spans="1:25" ht="15.75" x14ac:dyDescent="0.25">
      <c r="A24" s="32"/>
      <c r="B24" s="139"/>
      <c r="C24" s="43"/>
      <c r="D24" s="139"/>
      <c r="E24" s="56"/>
      <c r="F24" s="56"/>
      <c r="G24" s="66"/>
      <c r="H24" s="139"/>
      <c r="I24" s="240"/>
      <c r="J24" s="139"/>
      <c r="K24" s="34"/>
      <c r="L24" s="34"/>
      <c r="M24" s="34"/>
      <c r="N24" s="34"/>
      <c r="O24" s="34"/>
      <c r="P24" s="139"/>
      <c r="Q24" s="62"/>
      <c r="R24" s="139"/>
      <c r="S24" s="26"/>
      <c r="T24" s="32"/>
      <c r="U24" s="62"/>
    </row>
    <row r="25" spans="1:25" x14ac:dyDescent="0.2">
      <c r="A25" s="26">
        <v>311</v>
      </c>
      <c r="B25" s="139"/>
      <c r="C25" s="139" t="s">
        <v>25</v>
      </c>
      <c r="D25" s="139"/>
      <c r="E25" s="20"/>
      <c r="F25" s="20"/>
      <c r="G25" s="19"/>
      <c r="H25" s="139"/>
      <c r="I25" s="45"/>
      <c r="J25" s="44"/>
      <c r="K25" s="45"/>
      <c r="L25" s="45"/>
      <c r="M25" s="45"/>
      <c r="N25" s="45"/>
      <c r="O25" s="45"/>
      <c r="P25" s="139"/>
      <c r="Q25" s="26"/>
      <c r="R25" s="139"/>
      <c r="S25" s="62"/>
      <c r="T25" s="32"/>
      <c r="U25" s="26"/>
    </row>
    <row r="26" spans="1:25" x14ac:dyDescent="0.2">
      <c r="A26" s="26"/>
      <c r="B26" s="139"/>
      <c r="C26" s="59" t="s">
        <v>93</v>
      </c>
      <c r="D26" s="139"/>
      <c r="E26" s="20" t="s">
        <v>191</v>
      </c>
      <c r="F26" s="20" t="s">
        <v>64</v>
      </c>
      <c r="G26" s="234">
        <f>'Spanos KU Prod No Term. NS'!U$65</f>
        <v>-0.1</v>
      </c>
      <c r="H26" s="139"/>
      <c r="I26" s="45">
        <v>106290580.94</v>
      </c>
      <c r="J26" s="44"/>
      <c r="K26" s="45">
        <v>18699136</v>
      </c>
      <c r="L26" s="45"/>
      <c r="M26" s="200">
        <f>+((1-G26)*I26)-K26</f>
        <v>98220503.034000009</v>
      </c>
      <c r="N26" s="45"/>
      <c r="O26" s="45">
        <f>M26/S26</f>
        <v>1918369.1998828126</v>
      </c>
      <c r="P26" s="139"/>
      <c r="Q26" s="116">
        <f t="shared" ref="Q26:Q44" si="4">IF(O26/I26*100=0,"-     ",ROUND(O26/I26*100,2))</f>
        <v>1.8</v>
      </c>
      <c r="S26" s="117">
        <v>51.2</v>
      </c>
      <c r="T26" s="32"/>
      <c r="U26" s="116">
        <v>1.9</v>
      </c>
      <c r="W26" s="145">
        <f t="shared" ref="W26:W44" si="5">(I26/100)*U26</f>
        <v>2019521.0378599998</v>
      </c>
      <c r="Y26" s="144">
        <f t="shared" ref="Y26:Y44" si="6">O26-W26</f>
        <v>-101151.83797718724</v>
      </c>
    </row>
    <row r="27" spans="1:25" x14ac:dyDescent="0.2">
      <c r="A27" s="26"/>
      <c r="B27" s="139"/>
      <c r="C27" s="59" t="s">
        <v>94</v>
      </c>
      <c r="D27" s="139"/>
      <c r="E27" s="20" t="s">
        <v>191</v>
      </c>
      <c r="F27" s="20" t="s">
        <v>64</v>
      </c>
      <c r="G27" s="234">
        <f>'Spanos KU Prod No Term. NS'!U$65</f>
        <v>-0.1</v>
      </c>
      <c r="H27" s="139"/>
      <c r="I27" s="45">
        <v>5522306.9800000004</v>
      </c>
      <c r="J27" s="44"/>
      <c r="K27" s="45">
        <v>2689746</v>
      </c>
      <c r="L27" s="45"/>
      <c r="M27" s="200">
        <f t="shared" ref="M27:M44" si="7">+((1-G27)*I27)-K27</f>
        <v>3384791.6780000012</v>
      </c>
      <c r="N27" s="45"/>
      <c r="O27" s="45">
        <f t="shared" ref="O27:O44" si="8">M27/S27</f>
        <v>69645.919300411551</v>
      </c>
      <c r="P27" s="139"/>
      <c r="Q27" s="116">
        <f t="shared" si="4"/>
        <v>1.26</v>
      </c>
      <c r="S27" s="117">
        <v>48.6</v>
      </c>
      <c r="T27" s="32"/>
      <c r="U27" s="116">
        <v>1.36</v>
      </c>
      <c r="W27" s="145">
        <f t="shared" si="5"/>
        <v>75103.374928000005</v>
      </c>
      <c r="Y27" s="144">
        <f t="shared" si="6"/>
        <v>-5457.4556275884534</v>
      </c>
    </row>
    <row r="28" spans="1:25" x14ac:dyDescent="0.2">
      <c r="A28" s="26"/>
      <c r="B28" s="139"/>
      <c r="C28" s="59" t="s">
        <v>95</v>
      </c>
      <c r="D28" s="139"/>
      <c r="E28" s="20" t="s">
        <v>191</v>
      </c>
      <c r="F28" s="20" t="s">
        <v>64</v>
      </c>
      <c r="G28" s="234">
        <f>'Spanos KU Prod No Term. NS'!U$47</f>
        <v>-0.01</v>
      </c>
      <c r="H28" s="139"/>
      <c r="I28" s="45">
        <v>824968.82</v>
      </c>
      <c r="J28" s="44"/>
      <c r="K28" s="45">
        <v>609422</v>
      </c>
      <c r="L28" s="45"/>
      <c r="M28" s="200">
        <f t="shared" si="7"/>
        <v>223796.50819999992</v>
      </c>
      <c r="N28" s="45"/>
      <c r="O28" s="45">
        <f t="shared" si="8"/>
        <v>8167.7557737226252</v>
      </c>
      <c r="P28" s="139"/>
      <c r="Q28" s="116">
        <f t="shared" si="4"/>
        <v>0.99</v>
      </c>
      <c r="S28" s="117">
        <v>27.4</v>
      </c>
      <c r="T28" s="32"/>
      <c r="U28" s="116">
        <v>0.99</v>
      </c>
      <c r="W28" s="145">
        <f t="shared" si="5"/>
        <v>8167.1913179999983</v>
      </c>
      <c r="Y28" s="144">
        <f t="shared" si="6"/>
        <v>0.56445572262691712</v>
      </c>
    </row>
    <row r="29" spans="1:25" x14ac:dyDescent="0.2">
      <c r="A29" s="26"/>
      <c r="B29" s="139"/>
      <c r="C29" s="59" t="s">
        <v>96</v>
      </c>
      <c r="D29" s="139"/>
      <c r="E29" s="20" t="s">
        <v>191</v>
      </c>
      <c r="F29" s="20" t="s">
        <v>64</v>
      </c>
      <c r="G29" s="234">
        <f>'Spanos KU Prod No Term. NS'!U$57</f>
        <v>-0.01</v>
      </c>
      <c r="H29" s="139"/>
      <c r="I29" s="45">
        <v>5608825.0700000003</v>
      </c>
      <c r="J29" s="44"/>
      <c r="K29" s="45">
        <v>6169708</v>
      </c>
      <c r="L29" s="45"/>
      <c r="M29" s="200">
        <f t="shared" si="7"/>
        <v>-504794.67929999996</v>
      </c>
      <c r="N29" s="45"/>
      <c r="O29" s="45">
        <v>0</v>
      </c>
      <c r="P29" s="139"/>
      <c r="Q29" s="116" t="str">
        <f t="shared" si="4"/>
        <v xml:space="preserve">-     </v>
      </c>
      <c r="S29" s="117" t="s">
        <v>297</v>
      </c>
      <c r="T29" s="32"/>
      <c r="U29" s="116" t="s">
        <v>297</v>
      </c>
      <c r="W29" s="145">
        <v>0</v>
      </c>
      <c r="Y29" s="144">
        <f t="shared" si="6"/>
        <v>0</v>
      </c>
    </row>
    <row r="30" spans="1:25" x14ac:dyDescent="0.2">
      <c r="A30" s="26"/>
      <c r="B30" s="139"/>
      <c r="C30" s="59" t="s">
        <v>97</v>
      </c>
      <c r="D30" s="139"/>
      <c r="E30" s="20" t="s">
        <v>159</v>
      </c>
      <c r="F30" s="20" t="s">
        <v>64</v>
      </c>
      <c r="G30" s="234">
        <f>'Spanos KU Prod No Term. NS'!U$57</f>
        <v>-0.01</v>
      </c>
      <c r="H30" s="139"/>
      <c r="I30" s="45">
        <v>583381.43999999994</v>
      </c>
      <c r="J30" s="44"/>
      <c r="K30" s="45">
        <v>641720</v>
      </c>
      <c r="L30" s="45"/>
      <c r="M30" s="200">
        <f t="shared" si="7"/>
        <v>-52504.745600000024</v>
      </c>
      <c r="N30" s="45"/>
      <c r="O30" s="45">
        <v>0</v>
      </c>
      <c r="P30" s="139"/>
      <c r="Q30" s="116" t="str">
        <f t="shared" si="4"/>
        <v xml:space="preserve">-     </v>
      </c>
      <c r="S30" s="117" t="s">
        <v>297</v>
      </c>
      <c r="T30" s="32"/>
      <c r="U30" s="116" t="s">
        <v>297</v>
      </c>
      <c r="W30" s="145">
        <v>0</v>
      </c>
      <c r="Y30" s="144">
        <f t="shared" si="6"/>
        <v>0</v>
      </c>
    </row>
    <row r="31" spans="1:25" x14ac:dyDescent="0.2">
      <c r="A31" s="26"/>
      <c r="B31" s="139"/>
      <c r="C31" s="63" t="s">
        <v>98</v>
      </c>
      <c r="D31" s="139"/>
      <c r="E31" s="20" t="s">
        <v>191</v>
      </c>
      <c r="F31" s="20" t="s">
        <v>64</v>
      </c>
      <c r="G31" s="234">
        <f>'Spanos KU Prod No Term. NS'!U$31</f>
        <v>-0.01</v>
      </c>
      <c r="H31" s="139"/>
      <c r="I31" s="45">
        <v>2821436.66</v>
      </c>
      <c r="J31" s="44"/>
      <c r="K31" s="45">
        <v>3103580</v>
      </c>
      <c r="L31" s="45"/>
      <c r="M31" s="200">
        <f t="shared" si="7"/>
        <v>-253928.97340000002</v>
      </c>
      <c r="N31" s="45"/>
      <c r="O31" s="45">
        <v>0</v>
      </c>
      <c r="P31" s="139"/>
      <c r="Q31" s="116" t="str">
        <f t="shared" si="4"/>
        <v xml:space="preserve">-     </v>
      </c>
      <c r="S31" s="117" t="s">
        <v>297</v>
      </c>
      <c r="T31" s="32"/>
      <c r="U31" s="116" t="s">
        <v>297</v>
      </c>
      <c r="W31" s="145">
        <v>0</v>
      </c>
      <c r="Y31" s="144">
        <f t="shared" si="6"/>
        <v>0</v>
      </c>
    </row>
    <row r="32" spans="1:25" x14ac:dyDescent="0.2">
      <c r="A32" s="26"/>
      <c r="B32" s="139"/>
      <c r="C32" s="63" t="s">
        <v>99</v>
      </c>
      <c r="D32" s="139"/>
      <c r="E32" s="20" t="s">
        <v>191</v>
      </c>
      <c r="F32" s="20" t="s">
        <v>64</v>
      </c>
      <c r="G32" s="234">
        <f>'Spanos KU Prod No Term. NS'!U$31</f>
        <v>-0.01</v>
      </c>
      <c r="H32" s="139"/>
      <c r="I32" s="45">
        <v>5476054.2999999998</v>
      </c>
      <c r="J32" s="44"/>
      <c r="K32" s="45">
        <v>4320817</v>
      </c>
      <c r="L32" s="45"/>
      <c r="M32" s="200">
        <f t="shared" si="7"/>
        <v>1209997.8429999994</v>
      </c>
      <c r="N32" s="45"/>
      <c r="O32" s="45">
        <f t="shared" si="8"/>
        <v>302499.46074999985</v>
      </c>
      <c r="P32" s="139"/>
      <c r="Q32" s="116">
        <f t="shared" si="4"/>
        <v>5.52</v>
      </c>
      <c r="S32" s="117">
        <v>4</v>
      </c>
      <c r="T32" s="32"/>
      <c r="U32" s="116">
        <v>7.8</v>
      </c>
      <c r="W32" s="145">
        <f t="shared" si="5"/>
        <v>427132.23539999995</v>
      </c>
      <c r="Y32" s="144">
        <f t="shared" si="6"/>
        <v>-124632.77465000009</v>
      </c>
    </row>
    <row r="33" spans="1:25" x14ac:dyDescent="0.2">
      <c r="A33" s="26"/>
      <c r="B33" s="139"/>
      <c r="C33" s="63" t="s">
        <v>100</v>
      </c>
      <c r="D33" s="139"/>
      <c r="E33" s="20" t="s">
        <v>159</v>
      </c>
      <c r="F33" s="20" t="s">
        <v>64</v>
      </c>
      <c r="G33" s="234">
        <f>'Spanos KU Prod No Term. NS'!U$31</f>
        <v>-0.01</v>
      </c>
      <c r="H33" s="139"/>
      <c r="I33" s="45">
        <v>2560764.1800000002</v>
      </c>
      <c r="J33" s="44"/>
      <c r="K33" s="45">
        <v>2816841</v>
      </c>
      <c r="L33" s="45"/>
      <c r="M33" s="200">
        <f t="shared" si="7"/>
        <v>-230469.17819999997</v>
      </c>
      <c r="N33" s="45"/>
      <c r="O33" s="45">
        <v>0</v>
      </c>
      <c r="P33" s="139"/>
      <c r="Q33" s="116" t="str">
        <f t="shared" si="4"/>
        <v xml:space="preserve">-     </v>
      </c>
      <c r="S33" s="117" t="s">
        <v>297</v>
      </c>
      <c r="T33" s="32"/>
      <c r="U33" s="116" t="s">
        <v>297</v>
      </c>
      <c r="W33" s="145">
        <v>0</v>
      </c>
      <c r="Y33" s="144">
        <f t="shared" si="6"/>
        <v>0</v>
      </c>
    </row>
    <row r="34" spans="1:25" x14ac:dyDescent="0.2">
      <c r="A34" s="26"/>
      <c r="B34" s="139"/>
      <c r="C34" s="63" t="s">
        <v>101</v>
      </c>
      <c r="D34" s="139"/>
      <c r="E34" s="20" t="s">
        <v>191</v>
      </c>
      <c r="F34" s="20" t="s">
        <v>64</v>
      </c>
      <c r="G34" s="234">
        <f>'Spanos KU Prod No Term. NS'!U$15</f>
        <v>-0.02</v>
      </c>
      <c r="H34" s="139"/>
      <c r="I34" s="45">
        <v>4703189.76</v>
      </c>
      <c r="J34" s="44"/>
      <c r="K34" s="45">
        <v>4861747</v>
      </c>
      <c r="L34" s="45"/>
      <c r="M34" s="200">
        <f t="shared" si="7"/>
        <v>-64493.444799999706</v>
      </c>
      <c r="N34" s="45"/>
      <c r="O34" s="45">
        <f t="shared" si="8"/>
        <v>-3932.5271219512019</v>
      </c>
      <c r="P34" s="139"/>
      <c r="Q34" s="116">
        <f t="shared" si="4"/>
        <v>-0.08</v>
      </c>
      <c r="S34" s="117">
        <v>16.399999999999999</v>
      </c>
      <c r="T34" s="32"/>
      <c r="U34" s="116">
        <v>0.46</v>
      </c>
      <c r="W34" s="145">
        <f t="shared" si="5"/>
        <v>21634.672896</v>
      </c>
      <c r="Y34" s="144">
        <f t="shared" si="6"/>
        <v>-25567.200017951203</v>
      </c>
    </row>
    <row r="35" spans="1:25" x14ac:dyDescent="0.2">
      <c r="A35" s="26"/>
      <c r="B35" s="139"/>
      <c r="C35" s="63" t="s">
        <v>102</v>
      </c>
      <c r="D35" s="139"/>
      <c r="E35" s="20" t="s">
        <v>191</v>
      </c>
      <c r="F35" s="20" t="s">
        <v>64</v>
      </c>
      <c r="G35" s="234">
        <f>'Spanos KU Prod No Term. NS'!U$15</f>
        <v>-0.02</v>
      </c>
      <c r="H35" s="139"/>
      <c r="I35" s="45">
        <v>2232100.04</v>
      </c>
      <c r="J35" s="44"/>
      <c r="K35" s="45">
        <v>2028873</v>
      </c>
      <c r="L35" s="45"/>
      <c r="M35" s="200">
        <f t="shared" si="7"/>
        <v>247869.04080000008</v>
      </c>
      <c r="N35" s="45"/>
      <c r="O35" s="45">
        <f t="shared" si="8"/>
        <v>11065.582178571432</v>
      </c>
      <c r="P35" s="139"/>
      <c r="Q35" s="116">
        <f t="shared" si="4"/>
        <v>0.5</v>
      </c>
      <c r="S35" s="117">
        <v>22.4</v>
      </c>
      <c r="T35" s="32"/>
      <c r="U35" s="116">
        <v>0.9</v>
      </c>
      <c r="W35" s="145">
        <f t="shared" si="5"/>
        <v>20088.90036</v>
      </c>
      <c r="Y35" s="144">
        <f t="shared" si="6"/>
        <v>-9023.3181814285672</v>
      </c>
    </row>
    <row r="36" spans="1:25" x14ac:dyDescent="0.2">
      <c r="A36" s="26"/>
      <c r="B36" s="139"/>
      <c r="C36" s="63" t="s">
        <v>103</v>
      </c>
      <c r="D36" s="139"/>
      <c r="E36" s="20" t="s">
        <v>191</v>
      </c>
      <c r="F36" s="20" t="s">
        <v>64</v>
      </c>
      <c r="G36" s="234">
        <f>'Spanos KU Prod No Term. NS'!U$15</f>
        <v>-0.02</v>
      </c>
      <c r="H36" s="139"/>
      <c r="I36" s="45">
        <v>21039674.359999999</v>
      </c>
      <c r="J36" s="44"/>
      <c r="K36" s="45">
        <v>14064263</v>
      </c>
      <c r="L36" s="45"/>
      <c r="M36" s="200">
        <f t="shared" si="7"/>
        <v>7396204.8471999988</v>
      </c>
      <c r="N36" s="45"/>
      <c r="O36" s="45">
        <f t="shared" si="8"/>
        <v>318801.9330689655</v>
      </c>
      <c r="P36" s="139"/>
      <c r="Q36" s="116">
        <f t="shared" si="4"/>
        <v>1.52</v>
      </c>
      <c r="S36" s="117">
        <v>23.2</v>
      </c>
      <c r="T36" s="32"/>
      <c r="U36" s="116">
        <v>1.9</v>
      </c>
      <c r="W36" s="145">
        <f t="shared" si="5"/>
        <v>399753.81283999997</v>
      </c>
      <c r="Y36" s="144">
        <f t="shared" si="6"/>
        <v>-80951.879771034466</v>
      </c>
    </row>
    <row r="37" spans="1:25" x14ac:dyDescent="0.2">
      <c r="A37" s="26"/>
      <c r="B37" s="139"/>
      <c r="C37" s="63" t="s">
        <v>186</v>
      </c>
      <c r="D37" s="139"/>
      <c r="E37" s="20" t="s">
        <v>191</v>
      </c>
      <c r="F37" s="20" t="s">
        <v>64</v>
      </c>
      <c r="G37" s="234">
        <f>'Spanos KU Prod No Term. NS'!U$15</f>
        <v>-0.02</v>
      </c>
      <c r="H37" s="139"/>
      <c r="I37" s="45">
        <v>43917221.149999999</v>
      </c>
      <c r="J37" s="44"/>
      <c r="K37" s="45">
        <v>1760616</v>
      </c>
      <c r="L37" s="45"/>
      <c r="M37" s="200">
        <f t="shared" si="7"/>
        <v>43034949.572999999</v>
      </c>
      <c r="N37" s="45"/>
      <c r="O37" s="45">
        <f t="shared" si="8"/>
        <v>1839100.4091025642</v>
      </c>
      <c r="P37" s="139"/>
      <c r="Q37" s="116">
        <f t="shared" si="4"/>
        <v>4.1900000000000004</v>
      </c>
      <c r="S37" s="117">
        <v>23.4</v>
      </c>
      <c r="T37" s="32"/>
      <c r="U37" s="116">
        <v>4.58</v>
      </c>
      <c r="W37" s="145">
        <f t="shared" si="5"/>
        <v>2011408.7286699999</v>
      </c>
      <c r="Y37" s="144">
        <f t="shared" si="6"/>
        <v>-172308.31956743565</v>
      </c>
    </row>
    <row r="38" spans="1:25" x14ac:dyDescent="0.2">
      <c r="A38" s="26"/>
      <c r="B38" s="139"/>
      <c r="C38" s="63" t="s">
        <v>104</v>
      </c>
      <c r="D38" s="139"/>
      <c r="E38" s="20" t="s">
        <v>159</v>
      </c>
      <c r="F38" s="20" t="s">
        <v>64</v>
      </c>
      <c r="G38" s="234">
        <f>'Spanos KU Prod No Term. NS'!U$39</f>
        <v>0</v>
      </c>
      <c r="H38" s="139"/>
      <c r="I38" s="45">
        <v>16204.29</v>
      </c>
      <c r="J38" s="44"/>
      <c r="K38" s="45">
        <v>17825</v>
      </c>
      <c r="L38" s="45"/>
      <c r="M38" s="200">
        <f t="shared" si="7"/>
        <v>-1620.7099999999991</v>
      </c>
      <c r="N38" s="45"/>
      <c r="O38" s="45">
        <v>0</v>
      </c>
      <c r="P38" s="139"/>
      <c r="Q38" s="116" t="str">
        <f t="shared" si="4"/>
        <v xml:space="preserve">-     </v>
      </c>
      <c r="S38" s="117" t="s">
        <v>297</v>
      </c>
      <c r="T38" s="32"/>
      <c r="U38" s="116" t="s">
        <v>297</v>
      </c>
      <c r="W38" s="145">
        <v>0</v>
      </c>
      <c r="Y38" s="144">
        <f t="shared" si="6"/>
        <v>0</v>
      </c>
    </row>
    <row r="39" spans="1:25" x14ac:dyDescent="0.2">
      <c r="A39" s="26"/>
      <c r="B39" s="139"/>
      <c r="C39" s="63" t="s">
        <v>105</v>
      </c>
      <c r="D39" s="139"/>
      <c r="E39" s="20" t="s">
        <v>191</v>
      </c>
      <c r="F39" s="20" t="s">
        <v>64</v>
      </c>
      <c r="G39" s="234">
        <f>'Spanos KU Prod No Term. NS'!U$23</f>
        <v>-0.03</v>
      </c>
      <c r="H39" s="139"/>
      <c r="I39" s="45">
        <v>8483789.2300000004</v>
      </c>
      <c r="J39" s="44"/>
      <c r="K39" s="45">
        <v>6985454</v>
      </c>
      <c r="L39" s="45"/>
      <c r="M39" s="200">
        <f t="shared" si="7"/>
        <v>1752848.9068999998</v>
      </c>
      <c r="N39" s="45"/>
      <c r="O39" s="45">
        <f t="shared" si="8"/>
        <v>79314.430176470574</v>
      </c>
      <c r="P39" s="139"/>
      <c r="Q39" s="116">
        <f t="shared" si="4"/>
        <v>0.93</v>
      </c>
      <c r="S39" s="117">
        <v>22.1</v>
      </c>
      <c r="T39" s="32"/>
      <c r="U39" s="116">
        <v>1.34</v>
      </c>
      <c r="W39" s="145">
        <f t="shared" si="5"/>
        <v>113682.77568200002</v>
      </c>
      <c r="Y39" s="144">
        <f t="shared" si="6"/>
        <v>-34368.345505529447</v>
      </c>
    </row>
    <row r="40" spans="1:25" x14ac:dyDescent="0.2">
      <c r="A40" s="26"/>
      <c r="B40" s="139"/>
      <c r="C40" s="63" t="s">
        <v>106</v>
      </c>
      <c r="D40" s="139"/>
      <c r="E40" s="20" t="s">
        <v>191</v>
      </c>
      <c r="F40" s="20" t="s">
        <v>64</v>
      </c>
      <c r="G40" s="234">
        <f>'Spanos KU Prod No Term. NS'!U$23</f>
        <v>-0.03</v>
      </c>
      <c r="H40" s="139"/>
      <c r="I40" s="45">
        <v>18842151.210000001</v>
      </c>
      <c r="J40" s="44"/>
      <c r="K40" s="45">
        <v>18621064</v>
      </c>
      <c r="L40" s="45"/>
      <c r="M40" s="200">
        <f t="shared" si="7"/>
        <v>786351.7463000007</v>
      </c>
      <c r="N40" s="45"/>
      <c r="O40" s="45">
        <f t="shared" si="8"/>
        <v>35262.410147982097</v>
      </c>
      <c r="P40" s="139"/>
      <c r="Q40" s="116">
        <f t="shared" si="4"/>
        <v>0.19</v>
      </c>
      <c r="S40" s="117">
        <v>22.3</v>
      </c>
      <c r="T40" s="32"/>
      <c r="U40" s="116">
        <v>0.59</v>
      </c>
      <c r="W40" s="145">
        <f t="shared" si="5"/>
        <v>111168.69213900001</v>
      </c>
      <c r="Y40" s="144">
        <f t="shared" si="6"/>
        <v>-75906.28199101791</v>
      </c>
    </row>
    <row r="41" spans="1:25" x14ac:dyDescent="0.2">
      <c r="A41" s="26"/>
      <c r="B41" s="139"/>
      <c r="C41" s="63" t="s">
        <v>107</v>
      </c>
      <c r="D41" s="139"/>
      <c r="E41" s="20" t="s">
        <v>191</v>
      </c>
      <c r="F41" s="20" t="s">
        <v>64</v>
      </c>
      <c r="G41" s="234">
        <f>'Spanos KU Prod No Term. NS'!U$23</f>
        <v>-0.03</v>
      </c>
      <c r="H41" s="139"/>
      <c r="I41" s="45">
        <v>16011012.98</v>
      </c>
      <c r="J41" s="44"/>
      <c r="K41" s="45">
        <v>14142566</v>
      </c>
      <c r="L41" s="45"/>
      <c r="M41" s="200">
        <f t="shared" si="7"/>
        <v>2348777.3694000002</v>
      </c>
      <c r="N41" s="45"/>
      <c r="O41" s="45">
        <f t="shared" si="8"/>
        <v>109755.95184112151</v>
      </c>
      <c r="P41" s="139"/>
      <c r="Q41" s="116">
        <f t="shared" si="4"/>
        <v>0.69</v>
      </c>
      <c r="S41" s="117">
        <v>21.4</v>
      </c>
      <c r="T41" s="32"/>
      <c r="U41" s="116">
        <v>1.1000000000000001</v>
      </c>
      <c r="W41" s="145">
        <f t="shared" si="5"/>
        <v>176121.14277999999</v>
      </c>
      <c r="Y41" s="144">
        <f t="shared" si="6"/>
        <v>-66365.190938878484</v>
      </c>
    </row>
    <row r="42" spans="1:25" x14ac:dyDescent="0.2">
      <c r="A42" s="26"/>
      <c r="B42" s="139"/>
      <c r="C42" s="63" t="s">
        <v>108</v>
      </c>
      <c r="D42" s="139"/>
      <c r="E42" s="20" t="s">
        <v>191</v>
      </c>
      <c r="F42" s="20" t="s">
        <v>64</v>
      </c>
      <c r="G42" s="234">
        <f>'Spanos KU Prod No Term. NS'!U$23</f>
        <v>-0.03</v>
      </c>
      <c r="H42" s="139"/>
      <c r="I42" s="45">
        <v>42177125.670000002</v>
      </c>
      <c r="J42" s="44"/>
      <c r="K42" s="45">
        <v>30851643</v>
      </c>
      <c r="L42" s="45"/>
      <c r="M42" s="200">
        <f t="shared" si="7"/>
        <v>12590796.440099999</v>
      </c>
      <c r="N42" s="45"/>
      <c r="O42" s="45">
        <f t="shared" si="8"/>
        <v>516016.24754508195</v>
      </c>
      <c r="P42" s="139"/>
      <c r="Q42" s="116">
        <f t="shared" si="4"/>
        <v>1.22</v>
      </c>
      <c r="S42" s="117">
        <v>24.4</v>
      </c>
      <c r="T42" s="32"/>
      <c r="U42" s="116">
        <v>1.59</v>
      </c>
      <c r="W42" s="145">
        <f t="shared" si="5"/>
        <v>670616.29815300007</v>
      </c>
      <c r="Y42" s="144">
        <f t="shared" si="6"/>
        <v>-154600.05060791812</v>
      </c>
    </row>
    <row r="43" spans="1:25" x14ac:dyDescent="0.2">
      <c r="A43" s="26"/>
      <c r="B43" s="139"/>
      <c r="C43" s="63" t="s">
        <v>109</v>
      </c>
      <c r="D43" s="139"/>
      <c r="E43" s="20" t="s">
        <v>191</v>
      </c>
      <c r="F43" s="20" t="s">
        <v>64</v>
      </c>
      <c r="G43" s="234">
        <f>'Spanos KU Prod No Term. NS'!U$23</f>
        <v>-0.03</v>
      </c>
      <c r="H43" s="139"/>
      <c r="I43" s="45">
        <v>31022090.5</v>
      </c>
      <c r="J43" s="44"/>
      <c r="K43" s="45">
        <v>14920226</v>
      </c>
      <c r="L43" s="45"/>
      <c r="M43" s="200">
        <f t="shared" si="7"/>
        <v>17032527.215</v>
      </c>
      <c r="N43" s="45"/>
      <c r="O43" s="45">
        <f t="shared" si="8"/>
        <v>662744.24961089494</v>
      </c>
      <c r="P43" s="139"/>
      <c r="Q43" s="116">
        <f t="shared" si="4"/>
        <v>2.14</v>
      </c>
      <c r="S43" s="117">
        <v>25.7</v>
      </c>
      <c r="T43" s="32"/>
      <c r="U43" s="116">
        <v>2.48</v>
      </c>
      <c r="W43" s="145">
        <f t="shared" si="5"/>
        <v>769347.84440000006</v>
      </c>
      <c r="Y43" s="144">
        <f t="shared" si="6"/>
        <v>-106603.59478910512</v>
      </c>
    </row>
    <row r="44" spans="1:25" x14ac:dyDescent="0.2">
      <c r="A44" s="26"/>
      <c r="B44" s="139"/>
      <c r="C44" s="63" t="s">
        <v>110</v>
      </c>
      <c r="D44" s="139"/>
      <c r="E44" s="20" t="s">
        <v>191</v>
      </c>
      <c r="F44" s="20" t="s">
        <v>64</v>
      </c>
      <c r="G44" s="234">
        <f>'Spanos KU Prod No Term. NS'!U$23</f>
        <v>-0.03</v>
      </c>
      <c r="H44" s="139"/>
      <c r="I44" s="90">
        <v>15817337.720000001</v>
      </c>
      <c r="J44" s="44"/>
      <c r="K44" s="45">
        <v>12919945</v>
      </c>
      <c r="L44" s="45"/>
      <c r="M44" s="200">
        <f t="shared" si="7"/>
        <v>3371912.8516000006</v>
      </c>
      <c r="N44" s="45"/>
      <c r="O44" s="45">
        <f t="shared" si="8"/>
        <v>153268.7659818182</v>
      </c>
      <c r="P44" s="139"/>
      <c r="Q44" s="116">
        <f t="shared" si="4"/>
        <v>0.97</v>
      </c>
      <c r="S44" s="117">
        <v>22</v>
      </c>
      <c r="T44" s="32"/>
      <c r="U44" s="116">
        <v>1.38</v>
      </c>
      <c r="W44" s="145">
        <f t="shared" si="5"/>
        <v>218279.26053600002</v>
      </c>
      <c r="Y44" s="144">
        <f t="shared" si="6"/>
        <v>-65010.494554181816</v>
      </c>
    </row>
    <row r="45" spans="1:25" x14ac:dyDescent="0.2">
      <c r="A45" s="26"/>
      <c r="B45" s="139"/>
      <c r="C45" s="139"/>
      <c r="D45" s="139"/>
      <c r="E45" s="20"/>
      <c r="F45" s="20"/>
      <c r="G45" s="19"/>
      <c r="H45" s="139"/>
      <c r="I45" s="45"/>
      <c r="J45" s="139"/>
      <c r="K45" s="49"/>
      <c r="L45" s="34"/>
      <c r="M45" s="49"/>
      <c r="N45" s="34"/>
      <c r="O45" s="49"/>
      <c r="P45" s="139"/>
      <c r="Q45" s="26"/>
      <c r="R45" s="139"/>
      <c r="S45" s="62"/>
      <c r="T45" s="32"/>
      <c r="U45" s="26"/>
    </row>
    <row r="46" spans="1:25" ht="15.75" x14ac:dyDescent="0.25">
      <c r="A46" s="26"/>
      <c r="B46" s="139"/>
      <c r="C46" s="65" t="s">
        <v>26</v>
      </c>
      <c r="D46" s="139"/>
      <c r="E46" s="20"/>
      <c r="F46" s="20"/>
      <c r="G46" s="19"/>
      <c r="H46" s="139"/>
      <c r="I46" s="45">
        <f>SUM(I26:I45)</f>
        <v>333950215.30000001</v>
      </c>
      <c r="J46" s="139"/>
      <c r="K46" s="45">
        <f>SUM(K26:K45)</f>
        <v>160225192</v>
      </c>
      <c r="L46" s="34"/>
      <c r="M46" s="45">
        <f>SUM(M26:M45)</f>
        <v>190493515.32219997</v>
      </c>
      <c r="N46" s="34"/>
      <c r="O46" s="45">
        <f>SUM(O26:O45)</f>
        <v>6020079.7882384658</v>
      </c>
      <c r="P46" s="139"/>
      <c r="Q46" s="116">
        <f>IF(O46/I46*100=0,"-     ",ROUND(O46/I46*100,2))</f>
        <v>1.8</v>
      </c>
      <c r="S46" s="117">
        <v>30.7</v>
      </c>
      <c r="T46" s="32"/>
      <c r="U46" s="242">
        <f>W46/I46</f>
        <v>2.1087053235273059E-2</v>
      </c>
      <c r="W46" s="45">
        <f>SUM(W26:W45)</f>
        <v>7042025.9679619996</v>
      </c>
      <c r="Y46" s="45">
        <f>SUM(Y26:Y45)</f>
        <v>-1021946.1797235339</v>
      </c>
    </row>
    <row r="47" spans="1:25" x14ac:dyDescent="0.2">
      <c r="A47" s="26"/>
      <c r="B47" s="139"/>
      <c r="C47" s="139"/>
      <c r="D47" s="139"/>
      <c r="E47" s="20"/>
      <c r="F47" s="20"/>
      <c r="G47" s="19"/>
      <c r="H47" s="139"/>
      <c r="I47" s="45"/>
      <c r="J47" s="139"/>
      <c r="K47" s="34"/>
      <c r="L47" s="34"/>
      <c r="M47" s="34"/>
      <c r="N47" s="34"/>
      <c r="O47" s="34"/>
      <c r="P47" s="139"/>
      <c r="Q47" s="26"/>
      <c r="R47" s="139"/>
      <c r="S47" s="62"/>
      <c r="T47" s="32"/>
      <c r="U47" s="26"/>
    </row>
    <row r="48" spans="1:25" x14ac:dyDescent="0.2">
      <c r="A48" s="26">
        <v>312</v>
      </c>
      <c r="B48" s="139"/>
      <c r="C48" s="139" t="s">
        <v>27</v>
      </c>
      <c r="D48" s="139"/>
      <c r="E48" s="56"/>
      <c r="F48" s="56"/>
      <c r="G48" s="66"/>
      <c r="H48" s="139"/>
      <c r="I48" s="45"/>
      <c r="J48" s="139"/>
      <c r="K48" s="34"/>
      <c r="L48" s="34"/>
      <c r="M48" s="34"/>
      <c r="N48" s="34"/>
      <c r="O48" s="34"/>
      <c r="P48" s="139"/>
      <c r="Q48" s="26"/>
      <c r="R48" s="139"/>
      <c r="S48" s="62"/>
      <c r="T48" s="32"/>
      <c r="U48" s="26"/>
    </row>
    <row r="49" spans="1:25" x14ac:dyDescent="0.2">
      <c r="A49" s="26"/>
      <c r="B49" s="139"/>
      <c r="C49" s="59" t="s">
        <v>93</v>
      </c>
      <c r="D49" s="139"/>
      <c r="E49" s="56" t="s">
        <v>134</v>
      </c>
      <c r="F49" s="56" t="s">
        <v>64</v>
      </c>
      <c r="G49" s="235">
        <f>'Spanos KU Prod No Term. NS'!U$66</f>
        <v>-0.1</v>
      </c>
      <c r="H49" s="139"/>
      <c r="I49" s="45">
        <v>505158968.56999999</v>
      </c>
      <c r="J49" s="139"/>
      <c r="K49" s="34">
        <v>44042332</v>
      </c>
      <c r="L49" s="34"/>
      <c r="M49" s="200">
        <f t="shared" ref="M49:M68" si="9">+((1-G49)*I49)-K49</f>
        <v>511632533.42700005</v>
      </c>
      <c r="N49" s="34"/>
      <c r="O49" s="45">
        <f t="shared" ref="O49:O68" si="10">M49/S49</f>
        <v>10527418.383271605</v>
      </c>
      <c r="P49" s="139"/>
      <c r="Q49" s="116">
        <f t="shared" ref="Q49:Q68" si="11">IF(O49/I49*100=0,"-     ",ROUND(O49/I49*100,2))</f>
        <v>2.08</v>
      </c>
      <c r="S49" s="117">
        <v>48.6</v>
      </c>
      <c r="T49" s="32"/>
      <c r="U49" s="116">
        <v>2.19</v>
      </c>
      <c r="W49" s="145">
        <f t="shared" ref="W49:W68" si="12">(I49/100)*U49</f>
        <v>11062981.411683001</v>
      </c>
      <c r="Y49" s="144">
        <f t="shared" ref="Y49:Y68" si="13">O49-W49</f>
        <v>-535563.02841139585</v>
      </c>
    </row>
    <row r="50" spans="1:25" x14ac:dyDescent="0.2">
      <c r="A50" s="26"/>
      <c r="B50" s="139"/>
      <c r="C50" s="59" t="s">
        <v>94</v>
      </c>
      <c r="D50" s="139"/>
      <c r="E50" s="56" t="s">
        <v>134</v>
      </c>
      <c r="F50" s="56" t="s">
        <v>64</v>
      </c>
      <c r="G50" s="235">
        <f>'Spanos KU Prod No Term. NS'!U$66</f>
        <v>-0.1</v>
      </c>
      <c r="H50" s="139"/>
      <c r="I50" s="45">
        <v>70735319.609999999</v>
      </c>
      <c r="J50" s="139"/>
      <c r="K50" s="34">
        <v>11271211</v>
      </c>
      <c r="L50" s="34"/>
      <c r="M50" s="200">
        <f t="shared" si="9"/>
        <v>66537640.57100001</v>
      </c>
      <c r="N50" s="34"/>
      <c r="O50" s="45">
        <f t="shared" si="10"/>
        <v>1380448.9745020748</v>
      </c>
      <c r="P50" s="139"/>
      <c r="Q50" s="116">
        <f t="shared" si="11"/>
        <v>1.95</v>
      </c>
      <c r="S50" s="117">
        <v>48.2</v>
      </c>
      <c r="T50" s="32"/>
      <c r="U50" s="116">
        <v>2.06</v>
      </c>
      <c r="W50" s="145">
        <f t="shared" si="12"/>
        <v>1457147.583966</v>
      </c>
      <c r="Y50" s="144">
        <f t="shared" si="13"/>
        <v>-76698.609463925241</v>
      </c>
    </row>
    <row r="51" spans="1:25" x14ac:dyDescent="0.2">
      <c r="A51" s="26"/>
      <c r="B51" s="139"/>
      <c r="C51" s="59" t="s">
        <v>96</v>
      </c>
      <c r="D51" s="139"/>
      <c r="E51" s="56" t="s">
        <v>134</v>
      </c>
      <c r="F51" s="56" t="s">
        <v>64</v>
      </c>
      <c r="G51" s="235">
        <f>'Spanos KU Prod No Term. NS'!U$58</f>
        <v>-0.01</v>
      </c>
      <c r="H51" s="139"/>
      <c r="I51" s="45">
        <v>13993285.779999999</v>
      </c>
      <c r="J51" s="139"/>
      <c r="K51" s="34">
        <v>11103677</v>
      </c>
      <c r="L51" s="34"/>
      <c r="M51" s="200">
        <f t="shared" si="9"/>
        <v>3029541.6377999987</v>
      </c>
      <c r="N51" s="34"/>
      <c r="O51" s="45">
        <f t="shared" si="10"/>
        <v>757385.40944999969</v>
      </c>
      <c r="P51" s="139"/>
      <c r="Q51" s="116">
        <f t="shared" si="11"/>
        <v>5.41</v>
      </c>
      <c r="S51" s="117">
        <v>4</v>
      </c>
      <c r="T51" s="32"/>
      <c r="U51" s="116">
        <v>7.74</v>
      </c>
      <c r="W51" s="145">
        <f t="shared" si="12"/>
        <v>1083080.3193719999</v>
      </c>
      <c r="Y51" s="144">
        <f t="shared" si="13"/>
        <v>-325694.90992200025</v>
      </c>
    </row>
    <row r="52" spans="1:25" x14ac:dyDescent="0.2">
      <c r="A52" s="26"/>
      <c r="B52" s="139"/>
      <c r="C52" s="59" t="s">
        <v>97</v>
      </c>
      <c r="D52" s="139"/>
      <c r="E52" s="20" t="s">
        <v>159</v>
      </c>
      <c r="F52" s="56" t="s">
        <v>64</v>
      </c>
      <c r="G52" s="235">
        <f>'Spanos KU Prod No Term. NS'!U$58</f>
        <v>-0.01</v>
      </c>
      <c r="H52" s="139"/>
      <c r="I52" s="45">
        <v>421899.96</v>
      </c>
      <c r="J52" s="139"/>
      <c r="K52" s="34">
        <v>464090</v>
      </c>
      <c r="L52" s="34"/>
      <c r="M52" s="200">
        <f t="shared" si="9"/>
        <v>-37971.040399999998</v>
      </c>
      <c r="N52" s="34"/>
      <c r="O52" s="45">
        <v>0</v>
      </c>
      <c r="P52" s="139"/>
      <c r="Q52" s="116" t="str">
        <f t="shared" si="11"/>
        <v xml:space="preserve">-     </v>
      </c>
      <c r="S52" s="117" t="s">
        <v>297</v>
      </c>
      <c r="T52" s="32"/>
      <c r="U52" s="116" t="s">
        <v>297</v>
      </c>
      <c r="W52" s="145">
        <v>0</v>
      </c>
      <c r="Y52" s="144">
        <f t="shared" si="13"/>
        <v>0</v>
      </c>
    </row>
    <row r="53" spans="1:25" x14ac:dyDescent="0.2">
      <c r="B53" s="139"/>
      <c r="C53" s="63" t="s">
        <v>98</v>
      </c>
      <c r="D53" s="139"/>
      <c r="E53" s="56" t="s">
        <v>134</v>
      </c>
      <c r="F53" s="56" t="s">
        <v>64</v>
      </c>
      <c r="G53" s="235">
        <f>'Spanos KU Prod No Term. NS'!U$32</f>
        <v>-0.01</v>
      </c>
      <c r="H53" s="139"/>
      <c r="I53" s="45">
        <v>12145770.439999999</v>
      </c>
      <c r="J53" s="139"/>
      <c r="K53" s="34">
        <v>9725542</v>
      </c>
      <c r="L53" s="34"/>
      <c r="M53" s="200">
        <f t="shared" si="9"/>
        <v>2541686.1443999987</v>
      </c>
      <c r="N53" s="34"/>
      <c r="O53" s="45">
        <f t="shared" si="10"/>
        <v>651714.39599999972</v>
      </c>
      <c r="P53" s="139"/>
      <c r="Q53" s="116">
        <f t="shared" si="11"/>
        <v>5.37</v>
      </c>
      <c r="S53" s="117">
        <v>3.9</v>
      </c>
      <c r="T53" s="32"/>
      <c r="U53" s="116">
        <v>7.59</v>
      </c>
      <c r="W53" s="145">
        <f t="shared" si="12"/>
        <v>921863.9763959999</v>
      </c>
      <c r="Y53" s="144">
        <f t="shared" si="13"/>
        <v>-270149.58039600018</v>
      </c>
    </row>
    <row r="54" spans="1:25" x14ac:dyDescent="0.2">
      <c r="A54" s="26"/>
      <c r="B54" s="139"/>
      <c r="C54" s="63" t="s">
        <v>99</v>
      </c>
      <c r="D54" s="139"/>
      <c r="E54" s="20" t="s">
        <v>134</v>
      </c>
      <c r="F54" s="20" t="s">
        <v>64</v>
      </c>
      <c r="G54" s="235">
        <f>'Spanos KU Prod No Term. NS'!U$32</f>
        <v>-0.01</v>
      </c>
      <c r="H54" s="139"/>
      <c r="I54" s="45">
        <v>25165914.239999998</v>
      </c>
      <c r="J54" s="44"/>
      <c r="K54" s="45">
        <v>20127163</v>
      </c>
      <c r="L54" s="45"/>
      <c r="M54" s="200">
        <f t="shared" si="9"/>
        <v>5290410.3823999986</v>
      </c>
      <c r="N54" s="45"/>
      <c r="O54" s="45">
        <f t="shared" si="10"/>
        <v>1322602.5955999997</v>
      </c>
      <c r="P54" s="139"/>
      <c r="Q54" s="116">
        <f t="shared" si="11"/>
        <v>5.26</v>
      </c>
      <c r="S54" s="117">
        <v>4</v>
      </c>
      <c r="T54" s="32"/>
      <c r="U54" s="116">
        <v>7.57</v>
      </c>
      <c r="W54" s="145">
        <f t="shared" si="12"/>
        <v>1905059.7079679999</v>
      </c>
      <c r="Y54" s="144">
        <f t="shared" si="13"/>
        <v>-582457.11236800021</v>
      </c>
    </row>
    <row r="55" spans="1:25" x14ac:dyDescent="0.2">
      <c r="A55" s="26"/>
      <c r="B55" s="139"/>
      <c r="C55" s="63" t="s">
        <v>100</v>
      </c>
      <c r="D55" s="139"/>
      <c r="E55" s="20" t="s">
        <v>159</v>
      </c>
      <c r="F55" s="20" t="s">
        <v>64</v>
      </c>
      <c r="G55" s="235">
        <f>'Spanos KU Prod No Term. NS'!U$32</f>
        <v>-0.01</v>
      </c>
      <c r="H55" s="139"/>
      <c r="I55" s="45">
        <v>349297.88</v>
      </c>
      <c r="J55" s="44"/>
      <c r="K55" s="45">
        <v>384228</v>
      </c>
      <c r="L55" s="45"/>
      <c r="M55" s="200">
        <f t="shared" si="9"/>
        <v>-31437.141200000013</v>
      </c>
      <c r="N55" s="45"/>
      <c r="O55" s="45">
        <v>0</v>
      </c>
      <c r="P55" s="139"/>
      <c r="Q55" s="116" t="str">
        <f t="shared" si="11"/>
        <v xml:space="preserve">-     </v>
      </c>
      <c r="S55" s="117" t="s">
        <v>297</v>
      </c>
      <c r="T55" s="32"/>
      <c r="U55" s="116" t="s">
        <v>297</v>
      </c>
      <c r="W55" s="145">
        <v>0</v>
      </c>
      <c r="Y55" s="144">
        <f t="shared" si="13"/>
        <v>0</v>
      </c>
    </row>
    <row r="56" spans="1:25" x14ac:dyDescent="0.2">
      <c r="A56" s="26"/>
      <c r="B56" s="139"/>
      <c r="C56" s="63" t="s">
        <v>101</v>
      </c>
      <c r="D56" s="139"/>
      <c r="E56" s="20" t="s">
        <v>134</v>
      </c>
      <c r="F56" s="20" t="s">
        <v>64</v>
      </c>
      <c r="G56" s="234">
        <f>'Spanos KU Prod No Term. NS'!U$16</f>
        <v>-0.02</v>
      </c>
      <c r="H56" s="139"/>
      <c r="I56" s="45">
        <v>45302489.090000004</v>
      </c>
      <c r="J56" s="44"/>
      <c r="K56" s="45">
        <v>26739197</v>
      </c>
      <c r="L56" s="45"/>
      <c r="M56" s="200">
        <f t="shared" si="9"/>
        <v>19469341.871800005</v>
      </c>
      <c r="N56" s="45"/>
      <c r="O56" s="45">
        <f t="shared" si="10"/>
        <v>1216833.8669875003</v>
      </c>
      <c r="P56" s="139"/>
      <c r="Q56" s="116">
        <f t="shared" si="11"/>
        <v>2.69</v>
      </c>
      <c r="S56" s="117">
        <v>16</v>
      </c>
      <c r="T56" s="32"/>
      <c r="U56" s="116">
        <v>3.25</v>
      </c>
      <c r="W56" s="145">
        <f t="shared" si="12"/>
        <v>1472330.8954250002</v>
      </c>
      <c r="Y56" s="144">
        <f t="shared" si="13"/>
        <v>-255497.02843749989</v>
      </c>
    </row>
    <row r="57" spans="1:25" x14ac:dyDescent="0.2">
      <c r="A57" s="26"/>
      <c r="B57" s="139"/>
      <c r="C57" s="63" t="s">
        <v>102</v>
      </c>
      <c r="D57" s="139"/>
      <c r="E57" s="20" t="s">
        <v>134</v>
      </c>
      <c r="F57" s="20" t="s">
        <v>64</v>
      </c>
      <c r="G57" s="234">
        <f>'Spanos KU Prod No Term. NS'!U$16</f>
        <v>-0.02</v>
      </c>
      <c r="H57" s="139"/>
      <c r="I57" s="45">
        <v>41956868.140000001</v>
      </c>
      <c r="J57" s="44"/>
      <c r="K57" s="45">
        <v>19641359</v>
      </c>
      <c r="L57" s="45"/>
      <c r="M57" s="200">
        <f t="shared" si="9"/>
        <v>23154646.502800003</v>
      </c>
      <c r="N57" s="45"/>
      <c r="O57" s="45">
        <f t="shared" si="10"/>
        <v>1076960.3024558141</v>
      </c>
      <c r="P57" s="139"/>
      <c r="Q57" s="116">
        <f t="shared" si="11"/>
        <v>2.57</v>
      </c>
      <c r="S57" s="117">
        <v>21.5</v>
      </c>
      <c r="T57" s="32"/>
      <c r="U57" s="116">
        <v>2.98</v>
      </c>
      <c r="W57" s="145">
        <f t="shared" si="12"/>
        <v>1250314.6705720001</v>
      </c>
      <c r="Y57" s="144">
        <f t="shared" si="13"/>
        <v>-173354.368116186</v>
      </c>
    </row>
    <row r="58" spans="1:25" x14ac:dyDescent="0.2">
      <c r="A58" s="26"/>
      <c r="B58" s="139"/>
      <c r="C58" s="63" t="s">
        <v>103</v>
      </c>
      <c r="D58" s="139"/>
      <c r="E58" s="20" t="s">
        <v>134</v>
      </c>
      <c r="F58" s="20" t="s">
        <v>64</v>
      </c>
      <c r="G58" s="234">
        <f>'Spanos KU Prod No Term. NS'!U$16</f>
        <v>-0.02</v>
      </c>
      <c r="H58" s="139"/>
      <c r="I58" s="45">
        <v>142628390.37</v>
      </c>
      <c r="J58" s="44"/>
      <c r="K58" s="45">
        <v>71929055</v>
      </c>
      <c r="L58" s="45"/>
      <c r="M58" s="200">
        <f t="shared" si="9"/>
        <v>73551903.177399993</v>
      </c>
      <c r="N58" s="45"/>
      <c r="O58" s="45">
        <f t="shared" si="10"/>
        <v>3240171.9461409692</v>
      </c>
      <c r="P58" s="139"/>
      <c r="Q58" s="116">
        <f t="shared" si="11"/>
        <v>2.27</v>
      </c>
      <c r="S58" s="117">
        <v>22.7</v>
      </c>
      <c r="T58" s="32"/>
      <c r="U58" s="116">
        <v>2.67</v>
      </c>
      <c r="W58" s="145">
        <f t="shared" si="12"/>
        <v>3808178.0228790003</v>
      </c>
      <c r="Y58" s="144">
        <f t="shared" si="13"/>
        <v>-568006.07673803112</v>
      </c>
    </row>
    <row r="59" spans="1:25" x14ac:dyDescent="0.2">
      <c r="A59" s="26"/>
      <c r="B59" s="139"/>
      <c r="C59" s="63" t="s">
        <v>186</v>
      </c>
      <c r="D59" s="139"/>
      <c r="E59" s="20" t="s">
        <v>134</v>
      </c>
      <c r="F59" s="20" t="s">
        <v>64</v>
      </c>
      <c r="G59" s="234">
        <f>'Spanos KU Prod No Term. NS'!U$16</f>
        <v>-0.02</v>
      </c>
      <c r="H59" s="139"/>
      <c r="I59" s="45">
        <v>323725098.68000001</v>
      </c>
      <c r="J59" s="44"/>
      <c r="K59" s="45">
        <v>18469817</v>
      </c>
      <c r="L59" s="45"/>
      <c r="M59" s="200">
        <f t="shared" si="9"/>
        <v>311729783.65360004</v>
      </c>
      <c r="N59" s="45"/>
      <c r="O59" s="45">
        <f t="shared" si="10"/>
        <v>13553468.854504349</v>
      </c>
      <c r="P59" s="139"/>
      <c r="Q59" s="116">
        <f t="shared" si="11"/>
        <v>4.1900000000000004</v>
      </c>
      <c r="S59" s="117">
        <v>23</v>
      </c>
      <c r="T59" s="32"/>
      <c r="U59" s="116">
        <v>4.58</v>
      </c>
      <c r="W59" s="145">
        <f t="shared" si="12"/>
        <v>14826609.519544</v>
      </c>
      <c r="Y59" s="144">
        <f t="shared" si="13"/>
        <v>-1273140.6650396511</v>
      </c>
    </row>
    <row r="60" spans="1:25" x14ac:dyDescent="0.2">
      <c r="A60" s="26"/>
      <c r="B60" s="139"/>
      <c r="C60" s="63" t="s">
        <v>104</v>
      </c>
      <c r="D60" s="139"/>
      <c r="E60" s="20" t="s">
        <v>159</v>
      </c>
      <c r="F60" s="20" t="s">
        <v>64</v>
      </c>
      <c r="G60" s="234">
        <f>'Spanos KU Prod No Term. NS'!U40</f>
        <v>0</v>
      </c>
      <c r="H60" s="139"/>
      <c r="I60" s="45">
        <v>236470.42</v>
      </c>
      <c r="J60" s="44"/>
      <c r="K60" s="45">
        <v>260117</v>
      </c>
      <c r="L60" s="45"/>
      <c r="M60" s="200">
        <f t="shared" si="9"/>
        <v>-23646.579999999987</v>
      </c>
      <c r="N60" s="45"/>
      <c r="O60" s="45">
        <v>0</v>
      </c>
      <c r="P60" s="139"/>
      <c r="Q60" s="116" t="str">
        <f t="shared" si="11"/>
        <v xml:space="preserve">-     </v>
      </c>
      <c r="S60" s="117" t="s">
        <v>297</v>
      </c>
      <c r="T60" s="32"/>
      <c r="U60" s="116" t="s">
        <v>297</v>
      </c>
      <c r="W60" s="145">
        <v>0</v>
      </c>
      <c r="Y60" s="144">
        <f t="shared" si="13"/>
        <v>0</v>
      </c>
    </row>
    <row r="61" spans="1:25" x14ac:dyDescent="0.2">
      <c r="A61" s="26"/>
      <c r="B61" s="139"/>
      <c r="C61" s="63" t="s">
        <v>105</v>
      </c>
      <c r="D61" s="139"/>
      <c r="E61" s="20" t="s">
        <v>134</v>
      </c>
      <c r="F61" s="20" t="s">
        <v>64</v>
      </c>
      <c r="G61" s="234">
        <f>'Spanos KU Prod No Term. NS'!U$24</f>
        <v>-0.03</v>
      </c>
      <c r="H61" s="139"/>
      <c r="I61" s="45">
        <v>144202759.28</v>
      </c>
      <c r="J61" s="44"/>
      <c r="K61" s="45">
        <v>34075530</v>
      </c>
      <c r="L61" s="45"/>
      <c r="M61" s="200">
        <f t="shared" si="9"/>
        <v>114453312.05840001</v>
      </c>
      <c r="N61" s="45"/>
      <c r="O61" s="45">
        <f t="shared" si="10"/>
        <v>5202423.2753818184</v>
      </c>
      <c r="P61" s="139"/>
      <c r="Q61" s="116">
        <f t="shared" si="11"/>
        <v>3.61</v>
      </c>
      <c r="S61" s="117">
        <v>22</v>
      </c>
      <c r="T61" s="32"/>
      <c r="U61" s="116">
        <v>4.0199999999999996</v>
      </c>
      <c r="W61" s="145">
        <f t="shared" si="12"/>
        <v>5796950.923055999</v>
      </c>
      <c r="Y61" s="144">
        <f t="shared" si="13"/>
        <v>-594527.64767418057</v>
      </c>
    </row>
    <row r="62" spans="1:25" x14ac:dyDescent="0.2">
      <c r="A62" s="26"/>
      <c r="B62" s="139"/>
      <c r="C62" s="63" t="s">
        <v>106</v>
      </c>
      <c r="D62" s="139"/>
      <c r="E62" s="20" t="s">
        <v>134</v>
      </c>
      <c r="F62" s="20" t="s">
        <v>64</v>
      </c>
      <c r="G62" s="234">
        <f>'Spanos KU Prod No Term. NS'!U$24</f>
        <v>-0.03</v>
      </c>
      <c r="H62" s="139"/>
      <c r="I62" s="45">
        <v>198785055.46000001</v>
      </c>
      <c r="J62" s="44"/>
      <c r="K62" s="45">
        <v>96800340</v>
      </c>
      <c r="L62" s="45"/>
      <c r="M62" s="200">
        <f t="shared" si="9"/>
        <v>107948267.12380001</v>
      </c>
      <c r="N62" s="45"/>
      <c r="O62" s="45">
        <f t="shared" si="10"/>
        <v>4997604.9594351854</v>
      </c>
      <c r="P62" s="139"/>
      <c r="Q62" s="116">
        <f t="shared" si="11"/>
        <v>2.5099999999999998</v>
      </c>
      <c r="S62" s="117">
        <v>21.6</v>
      </c>
      <c r="T62" s="32"/>
      <c r="U62" s="116">
        <v>2.93</v>
      </c>
      <c r="W62" s="145">
        <f t="shared" si="12"/>
        <v>5824402.1249780003</v>
      </c>
      <c r="Y62" s="144">
        <f t="shared" si="13"/>
        <v>-826797.16554281488</v>
      </c>
    </row>
    <row r="63" spans="1:25" x14ac:dyDescent="0.2">
      <c r="A63" s="26"/>
      <c r="B63" s="139"/>
      <c r="C63" s="63" t="s">
        <v>107</v>
      </c>
      <c r="D63" s="139"/>
      <c r="E63" s="20" t="s">
        <v>134</v>
      </c>
      <c r="F63" s="20" t="s">
        <v>64</v>
      </c>
      <c r="G63" s="234">
        <f>'Spanos KU Prod No Term. NS'!U$24</f>
        <v>-0.03</v>
      </c>
      <c r="H63" s="139"/>
      <c r="I63" s="45">
        <v>98446686.349999994</v>
      </c>
      <c r="J63" s="44"/>
      <c r="K63" s="45">
        <v>73285978</v>
      </c>
      <c r="L63" s="45"/>
      <c r="M63" s="200">
        <f t="shared" si="9"/>
        <v>28114108.940499991</v>
      </c>
      <c r="N63" s="45"/>
      <c r="O63" s="45">
        <f t="shared" si="10"/>
        <v>1351639.8529086534</v>
      </c>
      <c r="P63" s="139"/>
      <c r="Q63" s="116">
        <f t="shared" si="11"/>
        <v>1.37</v>
      </c>
      <c r="S63" s="117">
        <v>20.8</v>
      </c>
      <c r="T63" s="32"/>
      <c r="U63" s="116">
        <v>1.81</v>
      </c>
      <c r="W63" s="145">
        <f t="shared" si="12"/>
        <v>1781885.022935</v>
      </c>
      <c r="Y63" s="144">
        <f t="shared" si="13"/>
        <v>-430245.17002634658</v>
      </c>
    </row>
    <row r="64" spans="1:25" x14ac:dyDescent="0.2">
      <c r="A64" s="26"/>
      <c r="B64" s="139"/>
      <c r="C64" s="63" t="s">
        <v>108</v>
      </c>
      <c r="D64" s="139"/>
      <c r="E64" s="20" t="s">
        <v>134</v>
      </c>
      <c r="F64" s="20" t="s">
        <v>64</v>
      </c>
      <c r="G64" s="234">
        <f>'Spanos KU Prod No Term. NS'!U$24</f>
        <v>-0.03</v>
      </c>
      <c r="H64" s="139"/>
      <c r="I64" s="45">
        <v>254967909.72</v>
      </c>
      <c r="J64" s="44"/>
      <c r="K64" s="45">
        <v>146662379</v>
      </c>
      <c r="L64" s="45"/>
      <c r="M64" s="200">
        <f t="shared" si="9"/>
        <v>115954568.01160002</v>
      </c>
      <c r="N64" s="45"/>
      <c r="O64" s="45">
        <f t="shared" si="10"/>
        <v>4913329.1530338991</v>
      </c>
      <c r="P64" s="139"/>
      <c r="Q64" s="116">
        <f t="shared" si="11"/>
        <v>1.93</v>
      </c>
      <c r="S64" s="117">
        <v>23.6</v>
      </c>
      <c r="T64" s="32"/>
      <c r="U64" s="116">
        <v>2.31</v>
      </c>
      <c r="W64" s="145">
        <f t="shared" si="12"/>
        <v>5889758.7145320009</v>
      </c>
      <c r="Y64" s="144">
        <f t="shared" si="13"/>
        <v>-976429.5614981018</v>
      </c>
    </row>
    <row r="65" spans="1:25" x14ac:dyDescent="0.2">
      <c r="A65" s="26"/>
      <c r="B65" s="139"/>
      <c r="C65" s="63" t="s">
        <v>109</v>
      </c>
      <c r="D65" s="139"/>
      <c r="E65" s="20" t="s">
        <v>134</v>
      </c>
      <c r="F65" s="20" t="s">
        <v>64</v>
      </c>
      <c r="G65" s="234">
        <f>'Spanos KU Prod No Term. NS'!U$24</f>
        <v>-0.03</v>
      </c>
      <c r="H65" s="139"/>
      <c r="I65" s="45">
        <v>267856280.18000001</v>
      </c>
      <c r="J65" s="44"/>
      <c r="K65" s="45">
        <v>128461343</v>
      </c>
      <c r="L65" s="45"/>
      <c r="M65" s="200">
        <f t="shared" si="9"/>
        <v>147430625.58539999</v>
      </c>
      <c r="N65" s="45"/>
      <c r="O65" s="45">
        <f t="shared" si="10"/>
        <v>5968851.2382753035</v>
      </c>
      <c r="P65" s="139"/>
      <c r="Q65" s="116">
        <f t="shared" si="11"/>
        <v>2.23</v>
      </c>
      <c r="S65" s="117">
        <v>24.7</v>
      </c>
      <c r="T65" s="32"/>
      <c r="U65" s="116">
        <v>2.6</v>
      </c>
      <c r="W65" s="145">
        <f t="shared" si="12"/>
        <v>6964263.2846800005</v>
      </c>
      <c r="Y65" s="144">
        <f t="shared" si="13"/>
        <v>-995412.046404697</v>
      </c>
    </row>
    <row r="66" spans="1:25" x14ac:dyDescent="0.2">
      <c r="A66" s="114" t="s">
        <v>160</v>
      </c>
      <c r="B66" s="139"/>
      <c r="C66" s="63" t="s">
        <v>110</v>
      </c>
      <c r="D66" s="139"/>
      <c r="E66" s="20" t="s">
        <v>134</v>
      </c>
      <c r="F66" s="20" t="s">
        <v>64</v>
      </c>
      <c r="G66" s="234">
        <f>'Spanos KU Prod No Term. NS'!U$24</f>
        <v>-0.03</v>
      </c>
      <c r="H66" s="139"/>
      <c r="I66" s="45">
        <v>93278511.280000001</v>
      </c>
      <c r="J66" s="44"/>
      <c r="K66" s="45">
        <v>55024079</v>
      </c>
      <c r="L66" s="45"/>
      <c r="M66" s="200">
        <f t="shared" si="9"/>
        <v>41052787.618400007</v>
      </c>
      <c r="N66" s="45"/>
      <c r="O66" s="45">
        <f t="shared" si="10"/>
        <v>1883155.3953394499</v>
      </c>
      <c r="P66" s="139"/>
      <c r="Q66" s="116">
        <f t="shared" si="11"/>
        <v>2.02</v>
      </c>
      <c r="S66" s="117">
        <v>21.8</v>
      </c>
      <c r="T66" s="32"/>
      <c r="U66" s="116">
        <v>2.4300000000000002</v>
      </c>
      <c r="W66" s="145">
        <f t="shared" si="12"/>
        <v>2266667.8241040003</v>
      </c>
      <c r="Y66" s="144">
        <f t="shared" si="13"/>
        <v>-383512.42876455048</v>
      </c>
    </row>
    <row r="67" spans="1:25" x14ac:dyDescent="0.2">
      <c r="A67" s="26"/>
      <c r="B67" s="139"/>
      <c r="C67" s="63" t="s">
        <v>111</v>
      </c>
      <c r="D67" s="139"/>
      <c r="E67" s="20" t="s">
        <v>134</v>
      </c>
      <c r="F67" s="20" t="s">
        <v>64</v>
      </c>
      <c r="G67" s="234">
        <f>'Spanos KU Prod No Term. NS'!U$24</f>
        <v>-0.03</v>
      </c>
      <c r="H67" s="139"/>
      <c r="I67" s="176">
        <v>127988949.01000001</v>
      </c>
      <c r="J67" s="44"/>
      <c r="K67" s="45">
        <v>24898056</v>
      </c>
      <c r="L67" s="45"/>
      <c r="M67" s="200">
        <f t="shared" si="9"/>
        <v>106930561.48030001</v>
      </c>
      <c r="N67" s="45"/>
      <c r="O67" s="45">
        <f t="shared" si="10"/>
        <v>4311716.1887217741</v>
      </c>
      <c r="P67" s="139"/>
      <c r="Q67" s="116">
        <f t="shared" si="11"/>
        <v>3.37</v>
      </c>
      <c r="S67" s="117">
        <v>24.8</v>
      </c>
      <c r="T67" s="32"/>
      <c r="U67" s="116">
        <v>3.74</v>
      </c>
      <c r="W67" s="145">
        <f t="shared" si="12"/>
        <v>4786786.6929740002</v>
      </c>
      <c r="Y67" s="144">
        <f t="shared" si="13"/>
        <v>-475070.50425222609</v>
      </c>
    </row>
    <row r="68" spans="1:25" x14ac:dyDescent="0.2">
      <c r="A68" s="26"/>
      <c r="B68" s="139"/>
      <c r="C68" s="63" t="s">
        <v>112</v>
      </c>
      <c r="D68" s="139"/>
      <c r="E68" s="20" t="s">
        <v>134</v>
      </c>
      <c r="F68" s="20" t="s">
        <v>64</v>
      </c>
      <c r="G68" s="234">
        <f>'Spanos KU Prod No Term. NS'!U$24</f>
        <v>-0.03</v>
      </c>
      <c r="H68" s="139"/>
      <c r="I68" s="90">
        <v>307100358.5</v>
      </c>
      <c r="J68" s="44"/>
      <c r="K68" s="45">
        <v>41271827</v>
      </c>
      <c r="L68" s="45"/>
      <c r="M68" s="200">
        <f t="shared" si="9"/>
        <v>275041542.255</v>
      </c>
      <c r="N68" s="45"/>
      <c r="O68" s="45">
        <f t="shared" si="10"/>
        <v>10702005.535214009</v>
      </c>
      <c r="P68" s="139"/>
      <c r="Q68" s="116">
        <f t="shared" si="11"/>
        <v>3.48</v>
      </c>
      <c r="S68" s="117">
        <v>25.7</v>
      </c>
      <c r="T68" s="32"/>
      <c r="U68" s="116">
        <v>3.83</v>
      </c>
      <c r="W68" s="145">
        <f t="shared" si="12"/>
        <v>11761943.73055</v>
      </c>
      <c r="Y68" s="144">
        <f t="shared" si="13"/>
        <v>-1059938.1953359917</v>
      </c>
    </row>
    <row r="69" spans="1:25" x14ac:dyDescent="0.2">
      <c r="A69" s="26"/>
      <c r="B69" s="139"/>
      <c r="C69" s="139"/>
      <c r="D69" s="139"/>
      <c r="E69" s="20"/>
      <c r="F69" s="20"/>
      <c r="G69" s="19"/>
      <c r="H69" s="139"/>
      <c r="I69" s="45"/>
      <c r="J69" s="139"/>
      <c r="K69" s="49"/>
      <c r="L69" s="34"/>
      <c r="M69" s="49"/>
      <c r="N69" s="34"/>
      <c r="O69" s="49"/>
      <c r="P69" s="139"/>
      <c r="Q69" s="26"/>
      <c r="R69" s="139"/>
      <c r="S69" s="62"/>
      <c r="T69" s="32"/>
      <c r="U69" s="26"/>
    </row>
    <row r="70" spans="1:25" ht="15.75" x14ac:dyDescent="0.25">
      <c r="A70" s="26"/>
      <c r="B70" s="139"/>
      <c r="C70" s="65" t="s">
        <v>28</v>
      </c>
      <c r="D70" s="139"/>
      <c r="E70" s="20"/>
      <c r="F70" s="20"/>
      <c r="G70" s="19"/>
      <c r="H70" s="139"/>
      <c r="I70" s="45">
        <f>SUM(I49:I69)</f>
        <v>2674446282.9600005</v>
      </c>
      <c r="J70" s="139"/>
      <c r="K70" s="45">
        <f>SUM(K49:K69)</f>
        <v>834637320</v>
      </c>
      <c r="L70" s="34"/>
      <c r="M70" s="45">
        <f>SUM(M49:M69)</f>
        <v>1953770205.6800003</v>
      </c>
      <c r="N70" s="34"/>
      <c r="O70" s="45">
        <f>SUM(O49:O69)</f>
        <v>73057730.327222407</v>
      </c>
      <c r="P70" s="139"/>
      <c r="Q70" s="116">
        <f>IF(O70/I70*100=0,"-     ",ROUND(O70/I70*100,2))</f>
        <v>2.73</v>
      </c>
      <c r="S70" s="117">
        <v>26.2</v>
      </c>
      <c r="T70" s="32"/>
      <c r="U70" s="242">
        <f>W70/I70</f>
        <v>3.0982198054808823E-2</v>
      </c>
      <c r="W70" s="45">
        <f>SUM(W49:W69)</f>
        <v>82860224.425614014</v>
      </c>
      <c r="Y70" s="45">
        <f>SUM(Y49:Y69)</f>
        <v>-9802494.0983916</v>
      </c>
    </row>
    <row r="71" spans="1:25" x14ac:dyDescent="0.2">
      <c r="A71" s="26"/>
      <c r="B71" s="139"/>
      <c r="C71" s="65"/>
      <c r="D71" s="139"/>
      <c r="E71" s="20"/>
      <c r="F71" s="20"/>
      <c r="G71" s="19"/>
      <c r="H71" s="139"/>
      <c r="I71" s="45"/>
      <c r="J71" s="139"/>
      <c r="K71" s="34"/>
      <c r="L71" s="34"/>
      <c r="M71" s="34"/>
      <c r="N71" s="34"/>
      <c r="O71" s="34"/>
      <c r="P71" s="139"/>
      <c r="Q71" s="26"/>
      <c r="R71" s="139"/>
      <c r="S71" s="62"/>
      <c r="T71" s="32"/>
      <c r="U71" s="26"/>
    </row>
    <row r="72" spans="1:25" x14ac:dyDescent="0.2">
      <c r="A72" s="26">
        <v>314</v>
      </c>
      <c r="B72" s="139"/>
      <c r="C72" s="139" t="s">
        <v>29</v>
      </c>
      <c r="D72" s="139"/>
      <c r="E72" s="56"/>
      <c r="F72" s="56"/>
      <c r="G72" s="66"/>
      <c r="H72" s="139"/>
      <c r="I72" s="45"/>
      <c r="J72" s="139"/>
      <c r="K72" s="34"/>
      <c r="L72" s="34"/>
      <c r="M72" s="34"/>
      <c r="N72" s="34"/>
      <c r="O72" s="34"/>
      <c r="P72" s="139"/>
      <c r="Q72" s="26"/>
      <c r="R72" s="139"/>
      <c r="S72" s="62"/>
      <c r="T72" s="32"/>
      <c r="U72" s="26"/>
    </row>
    <row r="73" spans="1:25" x14ac:dyDescent="0.2">
      <c r="A73" s="26"/>
      <c r="B73" s="139"/>
      <c r="C73" s="63" t="s">
        <v>93</v>
      </c>
      <c r="D73" s="139"/>
      <c r="E73" s="20" t="s">
        <v>192</v>
      </c>
      <c r="F73" s="20" t="s">
        <v>64</v>
      </c>
      <c r="G73" s="234">
        <f>'Spanos KU Prod No Term. NS'!U$67</f>
        <v>-0.1</v>
      </c>
      <c r="H73" s="139"/>
      <c r="I73" s="45">
        <v>83994732.760000005</v>
      </c>
      <c r="J73" s="44"/>
      <c r="K73" s="45">
        <v>12471959</v>
      </c>
      <c r="L73" s="45"/>
      <c r="M73" s="200">
        <f t="shared" ref="M73:M84" si="14">+((1-G73)*I73)-K73</f>
        <v>79922247.036000013</v>
      </c>
      <c r="N73" s="45"/>
      <c r="O73" s="45">
        <f t="shared" ref="O73:O84" si="15">M73/S73</f>
        <v>1745027.2278602624</v>
      </c>
      <c r="P73" s="139"/>
      <c r="Q73" s="116">
        <f t="shared" ref="Q73:Q84" si="16">IF(O73/I73*100=0,"-     ",ROUND(O73/I73*100,2))</f>
        <v>2.08</v>
      </c>
      <c r="S73" s="117">
        <v>45.8</v>
      </c>
      <c r="T73" s="32"/>
      <c r="U73" s="116">
        <v>2.19</v>
      </c>
      <c r="W73" s="145">
        <f t="shared" ref="W73:W84" si="17">(I73/100)*U73</f>
        <v>1839484.6474440002</v>
      </c>
      <c r="Y73" s="144">
        <f t="shared" ref="Y73:Y84" si="18">O73-W73</f>
        <v>-94457.41958373785</v>
      </c>
    </row>
    <row r="74" spans="1:25" x14ac:dyDescent="0.2">
      <c r="A74" s="26"/>
      <c r="B74" s="139"/>
      <c r="C74" s="59" t="s">
        <v>96</v>
      </c>
      <c r="D74" s="139"/>
      <c r="E74" s="20" t="s">
        <v>192</v>
      </c>
      <c r="F74" s="20" t="s">
        <v>64</v>
      </c>
      <c r="G74" s="234">
        <f>'Spanos KU Prod No Term. NS'!U$59</f>
        <v>-0.01</v>
      </c>
      <c r="H74" s="139"/>
      <c r="I74" s="45">
        <v>4805513.66</v>
      </c>
      <c r="J74" s="44"/>
      <c r="K74" s="45">
        <v>3825756</v>
      </c>
      <c r="L74" s="45"/>
      <c r="M74" s="200">
        <f t="shared" si="14"/>
        <v>1027812.7966</v>
      </c>
      <c r="N74" s="45"/>
      <c r="O74" s="45">
        <f t="shared" si="15"/>
        <v>263541.74271794874</v>
      </c>
      <c r="P74" s="139"/>
      <c r="Q74" s="116">
        <f t="shared" si="16"/>
        <v>5.48</v>
      </c>
      <c r="S74" s="117">
        <v>3.9</v>
      </c>
      <c r="T74" s="32"/>
      <c r="U74" s="116">
        <v>7.71</v>
      </c>
      <c r="W74" s="145">
        <f t="shared" si="17"/>
        <v>370505.10318599996</v>
      </c>
      <c r="Y74" s="144">
        <f t="shared" si="18"/>
        <v>-106963.36046805122</v>
      </c>
    </row>
    <row r="75" spans="1:25" x14ac:dyDescent="0.2">
      <c r="A75" s="26"/>
      <c r="B75" s="139"/>
      <c r="C75" s="59" t="s">
        <v>97</v>
      </c>
      <c r="D75" s="139"/>
      <c r="E75" s="20" t="s">
        <v>159</v>
      </c>
      <c r="F75" s="20" t="s">
        <v>64</v>
      </c>
      <c r="G75" s="234">
        <f>'Spanos KU Prod No Term. NS'!U$59</f>
        <v>-0.01</v>
      </c>
      <c r="H75" s="139"/>
      <c r="I75" s="45">
        <v>68205.72</v>
      </c>
      <c r="J75" s="44"/>
      <c r="K75" s="45">
        <v>75026</v>
      </c>
      <c r="L75" s="45"/>
      <c r="M75" s="200">
        <f t="shared" si="14"/>
        <v>-6138.2228000000032</v>
      </c>
      <c r="N75" s="45"/>
      <c r="O75" s="45">
        <v>0</v>
      </c>
      <c r="P75" s="139"/>
      <c r="Q75" s="116" t="str">
        <f t="shared" si="16"/>
        <v xml:space="preserve">-     </v>
      </c>
      <c r="S75" s="117" t="s">
        <v>297</v>
      </c>
      <c r="T75" s="32"/>
      <c r="U75" s="116" t="s">
        <v>297</v>
      </c>
      <c r="W75" s="145">
        <v>0</v>
      </c>
      <c r="Y75" s="144">
        <f t="shared" si="18"/>
        <v>0</v>
      </c>
    </row>
    <row r="76" spans="1:25" x14ac:dyDescent="0.2">
      <c r="A76" s="26"/>
      <c r="B76" s="139"/>
      <c r="C76" s="63" t="s">
        <v>98</v>
      </c>
      <c r="D76" s="139"/>
      <c r="E76" s="20" t="s">
        <v>192</v>
      </c>
      <c r="F76" s="20" t="s">
        <v>64</v>
      </c>
      <c r="G76" s="234">
        <f>'Spanos KU Prod No Term. NS'!U$33</f>
        <v>-0.01</v>
      </c>
      <c r="H76" s="139"/>
      <c r="I76" s="45">
        <v>4562193.51</v>
      </c>
      <c r="J76" s="44"/>
      <c r="K76" s="45">
        <v>4064201</v>
      </c>
      <c r="L76" s="45"/>
      <c r="M76" s="200">
        <f t="shared" si="14"/>
        <v>543614.44510000013</v>
      </c>
      <c r="N76" s="45"/>
      <c r="O76" s="45">
        <f t="shared" si="15"/>
        <v>135903.61127500003</v>
      </c>
      <c r="P76" s="139"/>
      <c r="Q76" s="116">
        <f t="shared" si="16"/>
        <v>2.98</v>
      </c>
      <c r="S76" s="117">
        <v>4</v>
      </c>
      <c r="T76" s="32"/>
      <c r="U76" s="116">
        <v>5.29</v>
      </c>
      <c r="W76" s="145">
        <f t="shared" si="17"/>
        <v>241340.03667899998</v>
      </c>
      <c r="Y76" s="144">
        <f t="shared" si="18"/>
        <v>-105436.42540399995</v>
      </c>
    </row>
    <row r="77" spans="1:25" x14ac:dyDescent="0.2">
      <c r="A77" s="26"/>
      <c r="B77" s="139"/>
      <c r="C77" s="63" t="s">
        <v>99</v>
      </c>
      <c r="D77" s="139"/>
      <c r="E77" s="20" t="s">
        <v>192</v>
      </c>
      <c r="F77" s="20" t="s">
        <v>64</v>
      </c>
      <c r="G77" s="234">
        <f>'Spanos KU Prod No Term. NS'!U$33</f>
        <v>-0.01</v>
      </c>
      <c r="H77" s="139"/>
      <c r="I77" s="45">
        <v>10390485.9</v>
      </c>
      <c r="J77" s="44"/>
      <c r="K77" s="45">
        <v>9545563</v>
      </c>
      <c r="L77" s="45"/>
      <c r="M77" s="200">
        <f t="shared" si="14"/>
        <v>948827.75899999961</v>
      </c>
      <c r="N77" s="45"/>
      <c r="O77" s="45">
        <f t="shared" si="15"/>
        <v>237206.9397499999</v>
      </c>
      <c r="P77" s="139"/>
      <c r="Q77" s="116">
        <f t="shared" si="16"/>
        <v>2.2799999999999998</v>
      </c>
      <c r="S77" s="117">
        <v>4</v>
      </c>
      <c r="T77" s="32"/>
      <c r="U77" s="116">
        <v>4.55</v>
      </c>
      <c r="W77" s="145">
        <f t="shared" si="17"/>
        <v>472767.10844999994</v>
      </c>
      <c r="Y77" s="144">
        <f t="shared" si="18"/>
        <v>-235560.16870000004</v>
      </c>
    </row>
    <row r="78" spans="1:25" x14ac:dyDescent="0.2">
      <c r="A78" s="26"/>
      <c r="B78" s="139"/>
      <c r="C78" s="63" t="s">
        <v>101</v>
      </c>
      <c r="D78" s="139"/>
      <c r="E78" s="20" t="s">
        <v>192</v>
      </c>
      <c r="F78" s="20" t="s">
        <v>64</v>
      </c>
      <c r="G78" s="234">
        <f>'Spanos KU Prod No Term. NS'!U$17</f>
        <v>-0.02</v>
      </c>
      <c r="H78" s="139"/>
      <c r="I78" s="45">
        <v>7512824.9500000002</v>
      </c>
      <c r="J78" s="44"/>
      <c r="K78" s="45">
        <v>4893897</v>
      </c>
      <c r="L78" s="45"/>
      <c r="M78" s="200">
        <f t="shared" si="14"/>
        <v>2769184.449</v>
      </c>
      <c r="N78" s="45"/>
      <c r="O78" s="45">
        <f t="shared" si="15"/>
        <v>173074.0280625</v>
      </c>
      <c r="P78" s="139"/>
      <c r="Q78" s="116">
        <f t="shared" si="16"/>
        <v>2.2999999999999998</v>
      </c>
      <c r="S78" s="117">
        <v>16</v>
      </c>
      <c r="T78" s="32"/>
      <c r="U78" s="116">
        <v>2.87</v>
      </c>
      <c r="W78" s="145">
        <f t="shared" si="17"/>
        <v>215618.07606500003</v>
      </c>
      <c r="Y78" s="144">
        <f t="shared" si="18"/>
        <v>-42544.048002500029</v>
      </c>
    </row>
    <row r="79" spans="1:25" x14ac:dyDescent="0.2">
      <c r="A79" s="26"/>
      <c r="B79" s="139"/>
      <c r="C79" s="63" t="s">
        <v>102</v>
      </c>
      <c r="D79" s="139"/>
      <c r="E79" s="20" t="s">
        <v>192</v>
      </c>
      <c r="F79" s="20" t="s">
        <v>64</v>
      </c>
      <c r="G79" s="234">
        <f>'Spanos KU Prod No Term. NS'!U$17</f>
        <v>-0.02</v>
      </c>
      <c r="H79" s="139"/>
      <c r="I79" s="45">
        <v>12299721.869999999</v>
      </c>
      <c r="J79" s="44"/>
      <c r="K79" s="45">
        <v>8687176</v>
      </c>
      <c r="L79" s="45"/>
      <c r="M79" s="200">
        <f t="shared" si="14"/>
        <v>3858540.3073999994</v>
      </c>
      <c r="N79" s="45"/>
      <c r="O79" s="45">
        <f t="shared" si="15"/>
        <v>177812.91739170504</v>
      </c>
      <c r="P79" s="139"/>
      <c r="Q79" s="116">
        <f t="shared" si="16"/>
        <v>1.45</v>
      </c>
      <c r="S79" s="117">
        <v>21.7</v>
      </c>
      <c r="T79" s="32"/>
      <c r="U79" s="116">
        <v>1.86</v>
      </c>
      <c r="W79" s="145">
        <f t="shared" si="17"/>
        <v>228774.82678200002</v>
      </c>
      <c r="Y79" s="144">
        <f t="shared" si="18"/>
        <v>-50961.909390294983</v>
      </c>
    </row>
    <row r="80" spans="1:25" x14ac:dyDescent="0.2">
      <c r="A80" s="26"/>
      <c r="B80" s="139"/>
      <c r="C80" s="63" t="s">
        <v>103</v>
      </c>
      <c r="D80" s="139"/>
      <c r="E80" s="20" t="s">
        <v>192</v>
      </c>
      <c r="F80" s="20" t="s">
        <v>64</v>
      </c>
      <c r="G80" s="234">
        <f>'Spanos KU Prod No Term. NS'!U$17</f>
        <v>-0.02</v>
      </c>
      <c r="H80" s="139"/>
      <c r="I80" s="45">
        <v>29293398.16</v>
      </c>
      <c r="J80" s="44"/>
      <c r="K80" s="45">
        <v>20414202</v>
      </c>
      <c r="L80" s="45"/>
      <c r="M80" s="200">
        <f t="shared" si="14"/>
        <v>9465064.1231999993</v>
      </c>
      <c r="N80" s="45"/>
      <c r="O80" s="45">
        <f t="shared" si="15"/>
        <v>424442.33736322867</v>
      </c>
      <c r="P80" s="139"/>
      <c r="Q80" s="116">
        <f t="shared" si="16"/>
        <v>1.45</v>
      </c>
      <c r="S80" s="117">
        <v>22.3</v>
      </c>
      <c r="T80" s="32"/>
      <c r="U80" s="116">
        <v>1.86</v>
      </c>
      <c r="W80" s="145">
        <f t="shared" si="17"/>
        <v>544857.20577600005</v>
      </c>
      <c r="Y80" s="144">
        <f t="shared" si="18"/>
        <v>-120414.86841277138</v>
      </c>
    </row>
    <row r="81" spans="1:25" x14ac:dyDescent="0.2">
      <c r="A81" s="26"/>
      <c r="B81" s="139"/>
      <c r="C81" s="63" t="s">
        <v>106</v>
      </c>
      <c r="D81" s="139"/>
      <c r="E81" s="20" t="s">
        <v>192</v>
      </c>
      <c r="F81" s="20" t="s">
        <v>64</v>
      </c>
      <c r="G81" s="234">
        <f>'Spanos KU Prod No Term. NS'!U$25</f>
        <v>-0.03</v>
      </c>
      <c r="H81" s="139"/>
      <c r="I81" s="45">
        <v>36687321.399999999</v>
      </c>
      <c r="J81" s="44"/>
      <c r="K81" s="45">
        <v>20194109</v>
      </c>
      <c r="L81" s="45"/>
      <c r="M81" s="200">
        <f t="shared" si="14"/>
        <v>17593832.042000003</v>
      </c>
      <c r="N81" s="45"/>
      <c r="O81" s="45">
        <f t="shared" si="15"/>
        <v>826001.50431924895</v>
      </c>
      <c r="P81" s="139"/>
      <c r="Q81" s="116">
        <f t="shared" si="16"/>
        <v>2.25</v>
      </c>
      <c r="S81" s="117">
        <v>21.3</v>
      </c>
      <c r="T81" s="32"/>
      <c r="U81" s="116">
        <v>2.67</v>
      </c>
      <c r="W81" s="145">
        <f t="shared" si="17"/>
        <v>979551.4813799999</v>
      </c>
      <c r="Y81" s="144">
        <f t="shared" si="18"/>
        <v>-153549.97706075094</v>
      </c>
    </row>
    <row r="82" spans="1:25" x14ac:dyDescent="0.2">
      <c r="A82" s="26"/>
      <c r="B82" s="67"/>
      <c r="C82" s="63" t="s">
        <v>107</v>
      </c>
      <c r="D82" s="32"/>
      <c r="E82" s="20" t="s">
        <v>192</v>
      </c>
      <c r="F82" s="20" t="s">
        <v>64</v>
      </c>
      <c r="G82" s="234">
        <f>'Spanos KU Prod No Term. NS'!U$25</f>
        <v>-0.03</v>
      </c>
      <c r="H82" s="32"/>
      <c r="I82" s="45">
        <v>30417591.789999999</v>
      </c>
      <c r="J82" s="44"/>
      <c r="K82" s="45">
        <v>20815737</v>
      </c>
      <c r="L82" s="45"/>
      <c r="M82" s="200">
        <f t="shared" si="14"/>
        <v>10514382.543699998</v>
      </c>
      <c r="N82" s="45"/>
      <c r="O82" s="45">
        <f t="shared" si="15"/>
        <v>541978.48163402057</v>
      </c>
      <c r="P82" s="32"/>
      <c r="Q82" s="116">
        <f t="shared" si="16"/>
        <v>1.78</v>
      </c>
      <c r="S82" s="117">
        <v>19.399999999999999</v>
      </c>
      <c r="T82" s="32"/>
      <c r="U82" s="116">
        <v>2.2400000000000002</v>
      </c>
      <c r="W82" s="145">
        <f t="shared" si="17"/>
        <v>681354.05609600001</v>
      </c>
      <c r="Y82" s="144">
        <f t="shared" si="18"/>
        <v>-139375.57446197944</v>
      </c>
    </row>
    <row r="83" spans="1:25" x14ac:dyDescent="0.2">
      <c r="A83" s="26"/>
      <c r="B83" s="139"/>
      <c r="C83" s="63" t="s">
        <v>108</v>
      </c>
      <c r="D83" s="139"/>
      <c r="E83" s="20" t="s">
        <v>192</v>
      </c>
      <c r="F83" s="20" t="s">
        <v>64</v>
      </c>
      <c r="G83" s="234">
        <f>'Spanos KU Prod No Term. NS'!U$25</f>
        <v>-0.03</v>
      </c>
      <c r="H83" s="139"/>
      <c r="I83" s="45">
        <v>42595556.799999997</v>
      </c>
      <c r="J83" s="44"/>
      <c r="K83" s="45">
        <v>28152257</v>
      </c>
      <c r="L83" s="45"/>
      <c r="M83" s="200">
        <f t="shared" si="14"/>
        <v>15721166.504000001</v>
      </c>
      <c r="N83" s="45"/>
      <c r="O83" s="45">
        <f t="shared" si="15"/>
        <v>714598.47745454544</v>
      </c>
      <c r="P83" s="139"/>
      <c r="Q83" s="116">
        <f t="shared" si="16"/>
        <v>1.68</v>
      </c>
      <c r="S83" s="117">
        <v>22</v>
      </c>
      <c r="T83" s="32"/>
      <c r="U83" s="116">
        <v>2.08</v>
      </c>
      <c r="W83" s="145">
        <f t="shared" si="17"/>
        <v>885987.58143999998</v>
      </c>
      <c r="Y83" s="144">
        <f t="shared" si="18"/>
        <v>-171389.10398545454</v>
      </c>
    </row>
    <row r="84" spans="1:25" x14ac:dyDescent="0.2">
      <c r="A84" s="26"/>
      <c r="B84" s="139"/>
      <c r="C84" s="63" t="s">
        <v>109</v>
      </c>
      <c r="D84" s="139"/>
      <c r="E84" s="20" t="s">
        <v>192</v>
      </c>
      <c r="F84" s="20" t="s">
        <v>64</v>
      </c>
      <c r="G84" s="234">
        <f>'Spanos KU Prod No Term. NS'!U$25</f>
        <v>-0.03</v>
      </c>
      <c r="H84" s="139"/>
      <c r="I84" s="90">
        <v>57036973.140000001</v>
      </c>
      <c r="J84" s="44"/>
      <c r="K84" s="45">
        <v>32047642</v>
      </c>
      <c r="L84" s="45"/>
      <c r="M84" s="200">
        <f t="shared" si="14"/>
        <v>26700440.334200002</v>
      </c>
      <c r="N84" s="45"/>
      <c r="O84" s="45">
        <f t="shared" si="15"/>
        <v>1165958.0931965066</v>
      </c>
      <c r="P84" s="139"/>
      <c r="Q84" s="116">
        <f t="shared" si="16"/>
        <v>2.04</v>
      </c>
      <c r="S84" s="117">
        <v>22.9</v>
      </c>
      <c r="T84" s="32"/>
      <c r="U84" s="116">
        <v>2.4300000000000002</v>
      </c>
      <c r="W84" s="145">
        <f t="shared" si="17"/>
        <v>1385998.4473020001</v>
      </c>
      <c r="Y84" s="144">
        <f t="shared" si="18"/>
        <v>-220040.35410549352</v>
      </c>
    </row>
    <row r="85" spans="1:25" x14ac:dyDescent="0.2">
      <c r="A85" s="26"/>
      <c r="B85" s="139"/>
      <c r="C85" s="139"/>
      <c r="D85" s="139"/>
      <c r="E85" s="20"/>
      <c r="F85" s="20"/>
      <c r="G85" s="19"/>
      <c r="H85" s="139"/>
      <c r="I85" s="45"/>
      <c r="J85" s="139"/>
      <c r="K85" s="49"/>
      <c r="L85" s="34"/>
      <c r="M85" s="49"/>
      <c r="N85" s="34"/>
      <c r="O85" s="49"/>
      <c r="P85" s="139"/>
      <c r="Q85" s="26"/>
      <c r="R85" s="139"/>
      <c r="S85" s="62"/>
      <c r="T85" s="32"/>
      <c r="U85" s="26"/>
    </row>
    <row r="86" spans="1:25" ht="15.75" x14ac:dyDescent="0.25">
      <c r="A86" s="26"/>
      <c r="B86" s="139"/>
      <c r="C86" s="65" t="s">
        <v>30</v>
      </c>
      <c r="D86" s="139"/>
      <c r="E86" s="20"/>
      <c r="F86" s="20"/>
      <c r="G86" s="19"/>
      <c r="H86" s="139"/>
      <c r="I86" s="45">
        <f>SUM(I73:I85)</f>
        <v>319664519.66000003</v>
      </c>
      <c r="J86" s="139"/>
      <c r="K86" s="45">
        <f>SUM(K73:K85)</f>
        <v>165187525</v>
      </c>
      <c r="L86" s="34"/>
      <c r="M86" s="45">
        <f>SUM(M73:M85)</f>
        <v>169058974.11739999</v>
      </c>
      <c r="N86" s="34"/>
      <c r="O86" s="45">
        <f>SUM(O73:O85)</f>
        <v>6405545.3610249655</v>
      </c>
      <c r="P86" s="139"/>
      <c r="Q86" s="116">
        <f>IF(O86/I86*100=0,"-     ",ROUND(O86/I86*100,2))</f>
        <v>2</v>
      </c>
      <c r="S86" s="117">
        <v>24.8</v>
      </c>
      <c r="T86" s="32"/>
      <c r="U86" s="242">
        <f>W86/I86</f>
        <v>2.4545228162779459E-2</v>
      </c>
      <c r="W86" s="45">
        <f>SUM(W73:W85)</f>
        <v>7846238.5706000011</v>
      </c>
      <c r="Y86" s="45">
        <f>SUM(Y73:Y85)</f>
        <v>-1440693.2095750337</v>
      </c>
    </row>
    <row r="87" spans="1:25" x14ac:dyDescent="0.2">
      <c r="A87" s="26"/>
      <c r="B87" s="139"/>
      <c r="C87" s="139"/>
      <c r="D87" s="139"/>
      <c r="E87" s="20"/>
      <c r="F87" s="20"/>
      <c r="G87" s="19"/>
      <c r="H87" s="139"/>
      <c r="I87" s="45"/>
      <c r="J87" s="139"/>
      <c r="K87" s="34"/>
      <c r="L87" s="34"/>
      <c r="M87" s="34"/>
      <c r="N87" s="34"/>
      <c r="O87" s="34"/>
      <c r="P87" s="139"/>
      <c r="Q87" s="26"/>
      <c r="R87" s="139"/>
      <c r="S87" s="62"/>
      <c r="T87" s="32"/>
      <c r="U87" s="26"/>
    </row>
    <row r="88" spans="1:25" x14ac:dyDescent="0.2">
      <c r="A88" s="26">
        <v>315</v>
      </c>
      <c r="B88" s="139"/>
      <c r="C88" s="139" t="s">
        <v>31</v>
      </c>
      <c r="D88" s="139"/>
      <c r="E88" s="56"/>
      <c r="F88" s="56"/>
      <c r="G88" s="66"/>
      <c r="H88" s="139"/>
      <c r="I88" s="45"/>
      <c r="J88" s="139"/>
      <c r="K88" s="34"/>
      <c r="L88" s="34"/>
      <c r="M88" s="34"/>
      <c r="N88" s="34"/>
      <c r="O88" s="34"/>
      <c r="P88" s="139"/>
      <c r="Q88" s="26"/>
      <c r="R88" s="139"/>
      <c r="S88" s="62"/>
      <c r="T88" s="32"/>
      <c r="U88" s="26"/>
    </row>
    <row r="89" spans="1:25" x14ac:dyDescent="0.2">
      <c r="A89" s="26"/>
      <c r="B89" s="139"/>
      <c r="C89" s="59" t="s">
        <v>93</v>
      </c>
      <c r="D89" s="139"/>
      <c r="E89" s="56" t="s">
        <v>135</v>
      </c>
      <c r="F89" s="56" t="s">
        <v>64</v>
      </c>
      <c r="G89" s="235">
        <f>'Spanos KU Prod No Term. NS'!U$68</f>
        <v>-0.1</v>
      </c>
      <c r="H89" s="139"/>
      <c r="I89" s="45">
        <v>41600356.799999997</v>
      </c>
      <c r="J89" s="139"/>
      <c r="K89" s="34">
        <v>4958709</v>
      </c>
      <c r="L89" s="34"/>
      <c r="M89" s="200">
        <f t="shared" ref="M89:M106" si="19">+((1-G89)*I89)-K89</f>
        <v>40801683.479999997</v>
      </c>
      <c r="N89" s="34"/>
      <c r="O89" s="45">
        <f t="shared" ref="O89:O106" si="20">M89/S89</f>
        <v>795354.45380116953</v>
      </c>
      <c r="P89" s="139"/>
      <c r="Q89" s="116">
        <f t="shared" ref="Q89:Q106" si="21">IF(O89/I89*100=0,"-     ",ROUND(O89/I89*100,2))</f>
        <v>1.91</v>
      </c>
      <c r="S89" s="117">
        <v>51.3</v>
      </c>
      <c r="T89" s="32"/>
      <c r="U89" s="116">
        <v>2.0099999999999998</v>
      </c>
      <c r="W89" s="145">
        <f t="shared" ref="W89:W106" si="22">(I89/100)*U89</f>
        <v>836167.1716799998</v>
      </c>
      <c r="Y89" s="144">
        <f t="shared" ref="Y89:Y106" si="23">O89-W89</f>
        <v>-40812.71787883027</v>
      </c>
    </row>
    <row r="90" spans="1:25" x14ac:dyDescent="0.2">
      <c r="A90" s="26"/>
      <c r="B90" s="139"/>
      <c r="C90" s="59" t="s">
        <v>94</v>
      </c>
      <c r="D90" s="139"/>
      <c r="E90" s="56" t="s">
        <v>135</v>
      </c>
      <c r="F90" s="56" t="s">
        <v>64</v>
      </c>
      <c r="G90" s="235">
        <f>'Spanos KU Prod No Term. NS'!U$68</f>
        <v>-0.1</v>
      </c>
      <c r="H90" s="139"/>
      <c r="I90" s="45">
        <v>1415469.1</v>
      </c>
      <c r="J90" s="139"/>
      <c r="K90" s="34">
        <v>653351</v>
      </c>
      <c r="L90" s="34"/>
      <c r="M90" s="200">
        <f t="shared" si="19"/>
        <v>903665.01000000024</v>
      </c>
      <c r="N90" s="34"/>
      <c r="O90" s="45">
        <f t="shared" si="20"/>
        <v>20444.909728506791</v>
      </c>
      <c r="P90" s="139"/>
      <c r="Q90" s="116">
        <f t="shared" si="21"/>
        <v>1.44</v>
      </c>
      <c r="S90" s="117">
        <v>44.2</v>
      </c>
      <c r="T90" s="32"/>
      <c r="U90" s="116">
        <v>1.56</v>
      </c>
      <c r="W90" s="145">
        <f t="shared" si="22"/>
        <v>22081.31796</v>
      </c>
      <c r="Y90" s="144">
        <f t="shared" si="23"/>
        <v>-1636.4082314932093</v>
      </c>
    </row>
    <row r="91" spans="1:25" x14ac:dyDescent="0.2">
      <c r="A91" s="26"/>
      <c r="B91" s="139"/>
      <c r="C91" s="59" t="s">
        <v>96</v>
      </c>
      <c r="D91" s="139"/>
      <c r="E91" s="56" t="s">
        <v>135</v>
      </c>
      <c r="F91" s="56" t="s">
        <v>64</v>
      </c>
      <c r="G91" s="235">
        <f>'Spanos KU Prod No Term. NS'!U$60</f>
        <v>-0.01</v>
      </c>
      <c r="H91" s="139"/>
      <c r="I91" s="45">
        <v>2081692.71</v>
      </c>
      <c r="J91" s="139"/>
      <c r="K91" s="34">
        <v>1087407</v>
      </c>
      <c r="L91" s="34"/>
      <c r="M91" s="200">
        <f t="shared" si="19"/>
        <v>1015102.6370999999</v>
      </c>
      <c r="N91" s="34"/>
      <c r="O91" s="45">
        <f t="shared" si="20"/>
        <v>260282.72746153845</v>
      </c>
      <c r="P91" s="139"/>
      <c r="Q91" s="116">
        <f t="shared" si="21"/>
        <v>12.5</v>
      </c>
      <c r="S91" s="117">
        <v>3.9</v>
      </c>
      <c r="T91" s="32"/>
      <c r="U91" s="116">
        <v>14.65</v>
      </c>
      <c r="W91" s="145">
        <f t="shared" si="22"/>
        <v>304967.98201500002</v>
      </c>
      <c r="Y91" s="144">
        <f t="shared" si="23"/>
        <v>-44685.254553461564</v>
      </c>
    </row>
    <row r="92" spans="1:25" x14ac:dyDescent="0.2">
      <c r="A92" s="26"/>
      <c r="B92" s="139"/>
      <c r="C92" s="59" t="s">
        <v>97</v>
      </c>
      <c r="D92" s="139"/>
      <c r="E92" s="20" t="s">
        <v>159</v>
      </c>
      <c r="F92" s="56" t="s">
        <v>64</v>
      </c>
      <c r="G92" s="235">
        <f>'Spanos KU Prod No Term. NS'!U$60</f>
        <v>-0.01</v>
      </c>
      <c r="H92" s="139"/>
      <c r="I92" s="45">
        <v>99210.72</v>
      </c>
      <c r="J92" s="139"/>
      <c r="K92" s="34">
        <v>109132</v>
      </c>
      <c r="L92" s="34"/>
      <c r="M92" s="200">
        <f t="shared" si="19"/>
        <v>-8929.1728000000003</v>
      </c>
      <c r="N92" s="34"/>
      <c r="O92" s="45">
        <v>0</v>
      </c>
      <c r="P92" s="139"/>
      <c r="Q92" s="116" t="str">
        <f t="shared" si="21"/>
        <v xml:space="preserve">-     </v>
      </c>
      <c r="S92" s="117" t="s">
        <v>297</v>
      </c>
      <c r="T92" s="32"/>
      <c r="U92" s="116" t="s">
        <v>297</v>
      </c>
      <c r="W92" s="145">
        <v>0</v>
      </c>
      <c r="Y92" s="144">
        <f t="shared" si="23"/>
        <v>0</v>
      </c>
    </row>
    <row r="93" spans="1:25" x14ac:dyDescent="0.2">
      <c r="A93" s="26"/>
      <c r="B93" s="139"/>
      <c r="C93" s="63" t="s">
        <v>98</v>
      </c>
      <c r="D93" s="139"/>
      <c r="E93" s="56" t="s">
        <v>135</v>
      </c>
      <c r="F93" s="56" t="s">
        <v>64</v>
      </c>
      <c r="G93" s="235">
        <f>'Spanos KU Prod No Term. NS'!U$34</f>
        <v>-0.01</v>
      </c>
      <c r="H93" s="139"/>
      <c r="I93" s="45">
        <v>1205362.18</v>
      </c>
      <c r="J93" s="139"/>
      <c r="K93" s="34">
        <v>554397</v>
      </c>
      <c r="L93" s="34"/>
      <c r="M93" s="200">
        <f t="shared" si="19"/>
        <v>663018.80180000002</v>
      </c>
      <c r="N93" s="34"/>
      <c r="O93" s="45">
        <f t="shared" si="20"/>
        <v>165754.70045</v>
      </c>
      <c r="P93" s="139"/>
      <c r="Q93" s="116">
        <f t="shared" si="21"/>
        <v>13.75</v>
      </c>
      <c r="S93" s="117">
        <v>4</v>
      </c>
      <c r="T93" s="32"/>
      <c r="U93" s="116">
        <v>16.16</v>
      </c>
      <c r="W93" s="145">
        <f t="shared" si="22"/>
        <v>194786.52828799997</v>
      </c>
      <c r="Y93" s="144">
        <f t="shared" si="23"/>
        <v>-29031.827837999968</v>
      </c>
    </row>
    <row r="94" spans="1:25" x14ac:dyDescent="0.2">
      <c r="A94" s="26"/>
      <c r="B94" s="139"/>
      <c r="C94" s="63" t="s">
        <v>99</v>
      </c>
      <c r="D94" s="139"/>
      <c r="E94" s="20" t="s">
        <v>135</v>
      </c>
      <c r="F94" s="20" t="s">
        <v>64</v>
      </c>
      <c r="G94" s="235">
        <f>'Spanos KU Prod No Term. NS'!U$34</f>
        <v>-0.01</v>
      </c>
      <c r="H94" s="139"/>
      <c r="I94" s="45">
        <v>2695328.66</v>
      </c>
      <c r="J94" s="44"/>
      <c r="K94" s="45">
        <v>1846556</v>
      </c>
      <c r="L94" s="45"/>
      <c r="M94" s="200">
        <f t="shared" si="19"/>
        <v>875725.94660000037</v>
      </c>
      <c r="N94" s="45"/>
      <c r="O94" s="45">
        <f t="shared" si="20"/>
        <v>224545.11451282061</v>
      </c>
      <c r="P94" s="139"/>
      <c r="Q94" s="116">
        <f t="shared" si="21"/>
        <v>8.33</v>
      </c>
      <c r="S94" s="117">
        <v>3.9</v>
      </c>
      <c r="T94" s="32"/>
      <c r="U94" s="116">
        <v>10.53</v>
      </c>
      <c r="W94" s="145">
        <f t="shared" si="22"/>
        <v>283818.10789799999</v>
      </c>
      <c r="Y94" s="144">
        <f t="shared" si="23"/>
        <v>-59272.993385179376</v>
      </c>
    </row>
    <row r="95" spans="1:25" x14ac:dyDescent="0.2">
      <c r="A95" s="26"/>
      <c r="B95" s="139"/>
      <c r="C95" s="63" t="s">
        <v>101</v>
      </c>
      <c r="D95" s="139"/>
      <c r="E95" s="20" t="s">
        <v>135</v>
      </c>
      <c r="F95" s="20" t="s">
        <v>64</v>
      </c>
      <c r="G95" s="234">
        <f>'Spanos KU Prod No Term. NS'!U$18</f>
        <v>-0.02</v>
      </c>
      <c r="H95" s="139"/>
      <c r="I95" s="45">
        <v>3859109.33</v>
      </c>
      <c r="J95" s="44"/>
      <c r="K95" s="45">
        <v>3259464</v>
      </c>
      <c r="L95" s="45"/>
      <c r="M95" s="200">
        <f t="shared" si="19"/>
        <v>676827.51660000021</v>
      </c>
      <c r="N95" s="45"/>
      <c r="O95" s="45">
        <f t="shared" si="20"/>
        <v>41019.849490909102</v>
      </c>
      <c r="P95" s="139"/>
      <c r="Q95" s="116">
        <f t="shared" si="21"/>
        <v>1.06</v>
      </c>
      <c r="S95" s="117">
        <v>16.5</v>
      </c>
      <c r="T95" s="32"/>
      <c r="U95" s="116">
        <v>1.61</v>
      </c>
      <c r="W95" s="145">
        <f t="shared" si="22"/>
        <v>62131.660213000003</v>
      </c>
      <c r="Y95" s="144">
        <f t="shared" si="23"/>
        <v>-21111.810722090901</v>
      </c>
    </row>
    <row r="96" spans="1:25" x14ac:dyDescent="0.2">
      <c r="A96" s="26"/>
      <c r="B96" s="139"/>
      <c r="C96" s="63" t="s">
        <v>102</v>
      </c>
      <c r="D96" s="139"/>
      <c r="E96" s="20" t="s">
        <v>135</v>
      </c>
      <c r="F96" s="20" t="s">
        <v>64</v>
      </c>
      <c r="G96" s="234">
        <f>'Spanos KU Prod No Term. NS'!U$18</f>
        <v>-0.02</v>
      </c>
      <c r="H96" s="139"/>
      <c r="I96" s="45">
        <v>2165576.9900000002</v>
      </c>
      <c r="J96" s="44"/>
      <c r="K96" s="45">
        <v>1331430</v>
      </c>
      <c r="L96" s="45"/>
      <c r="M96" s="200">
        <f t="shared" si="19"/>
        <v>877458.52980000013</v>
      </c>
      <c r="N96" s="45"/>
      <c r="O96" s="45">
        <f t="shared" si="20"/>
        <v>38998.15688000001</v>
      </c>
      <c r="P96" s="139"/>
      <c r="Q96" s="116">
        <f t="shared" si="21"/>
        <v>1.8</v>
      </c>
      <c r="S96" s="117">
        <v>22.5</v>
      </c>
      <c r="T96" s="32"/>
      <c r="U96" s="116">
        <v>2.2000000000000002</v>
      </c>
      <c r="W96" s="145">
        <f t="shared" si="22"/>
        <v>47642.693780000009</v>
      </c>
      <c r="Y96" s="144">
        <f t="shared" si="23"/>
        <v>-8644.5368999999992</v>
      </c>
    </row>
    <row r="97" spans="1:25" x14ac:dyDescent="0.2">
      <c r="A97" s="26"/>
      <c r="B97" s="139"/>
      <c r="C97" s="63" t="s">
        <v>103</v>
      </c>
      <c r="D97" s="139"/>
      <c r="E97" s="20" t="s">
        <v>135</v>
      </c>
      <c r="F97" s="20" t="s">
        <v>64</v>
      </c>
      <c r="G97" s="234">
        <f>'Spanos KU Prod No Term. NS'!U$18</f>
        <v>-0.02</v>
      </c>
      <c r="H97" s="139"/>
      <c r="I97" s="45">
        <v>8597465.8800000008</v>
      </c>
      <c r="J97" s="44"/>
      <c r="K97" s="45">
        <v>6533915</v>
      </c>
      <c r="L97" s="45"/>
      <c r="M97" s="200">
        <f t="shared" si="19"/>
        <v>2235500.1976000015</v>
      </c>
      <c r="N97" s="45"/>
      <c r="O97" s="45">
        <f t="shared" si="20"/>
        <v>95127.66798297879</v>
      </c>
      <c r="P97" s="139"/>
      <c r="Q97" s="116">
        <f t="shared" si="21"/>
        <v>1.1100000000000001</v>
      </c>
      <c r="S97" s="117">
        <v>23.5</v>
      </c>
      <c r="T97" s="32"/>
      <c r="U97" s="116">
        <v>1.49</v>
      </c>
      <c r="W97" s="145">
        <f t="shared" si="22"/>
        <v>128102.24161200001</v>
      </c>
      <c r="Y97" s="144">
        <f t="shared" si="23"/>
        <v>-32974.573629021223</v>
      </c>
    </row>
    <row r="98" spans="1:25" x14ac:dyDescent="0.2">
      <c r="A98" s="26"/>
      <c r="B98" s="139"/>
      <c r="C98" s="63" t="s">
        <v>186</v>
      </c>
      <c r="D98" s="139"/>
      <c r="E98" s="20" t="s">
        <v>135</v>
      </c>
      <c r="F98" s="20" t="s">
        <v>64</v>
      </c>
      <c r="G98" s="234">
        <f>'Spanos KU Prod No Term. NS'!U$18</f>
        <v>-0.02</v>
      </c>
      <c r="H98" s="139"/>
      <c r="I98" s="45">
        <v>29503821.449999999</v>
      </c>
      <c r="J98" s="44"/>
      <c r="K98" s="45">
        <v>1205108</v>
      </c>
      <c r="L98" s="45"/>
      <c r="M98" s="200">
        <f t="shared" si="19"/>
        <v>28888789.879000001</v>
      </c>
      <c r="N98" s="45"/>
      <c r="O98" s="45">
        <f t="shared" si="20"/>
        <v>1229310.2076170214</v>
      </c>
      <c r="P98" s="139"/>
      <c r="Q98" s="116">
        <f t="shared" si="21"/>
        <v>4.17</v>
      </c>
      <c r="S98" s="117">
        <v>23.5</v>
      </c>
      <c r="T98" s="32"/>
      <c r="U98" s="116">
        <v>4.55</v>
      </c>
      <c r="W98" s="145">
        <f t="shared" si="22"/>
        <v>1342423.875975</v>
      </c>
      <c r="Y98" s="144">
        <f t="shared" si="23"/>
        <v>-113113.66835797857</v>
      </c>
    </row>
    <row r="99" spans="1:25" x14ac:dyDescent="0.2">
      <c r="A99" s="26"/>
      <c r="B99" s="139"/>
      <c r="C99" s="63" t="s">
        <v>105</v>
      </c>
      <c r="D99" s="139"/>
      <c r="E99" s="20" t="s">
        <v>135</v>
      </c>
      <c r="F99" s="20" t="s">
        <v>64</v>
      </c>
      <c r="G99" s="234">
        <f>'Spanos KU Prod No Term. NS'!U$26</f>
        <v>-0.03</v>
      </c>
      <c r="H99" s="139"/>
      <c r="I99" s="45">
        <v>13292784.699999999</v>
      </c>
      <c r="J99" s="44"/>
      <c r="K99" s="45">
        <v>3266572</v>
      </c>
      <c r="L99" s="45"/>
      <c r="M99" s="200">
        <f t="shared" si="19"/>
        <v>10424996.241</v>
      </c>
      <c r="N99" s="45"/>
      <c r="O99" s="45">
        <f t="shared" si="20"/>
        <v>463333.16626666667</v>
      </c>
      <c r="P99" s="139"/>
      <c r="Q99" s="116">
        <f t="shared" si="21"/>
        <v>3.49</v>
      </c>
      <c r="S99" s="117">
        <v>22.5</v>
      </c>
      <c r="T99" s="32"/>
      <c r="U99" s="116">
        <v>3.89</v>
      </c>
      <c r="W99" s="145">
        <f t="shared" si="22"/>
        <v>517089.32482999994</v>
      </c>
      <c r="Y99" s="144">
        <f t="shared" si="23"/>
        <v>-53756.158563333272</v>
      </c>
    </row>
    <row r="100" spans="1:25" x14ac:dyDescent="0.2">
      <c r="A100" s="26"/>
      <c r="B100" s="139"/>
      <c r="C100" s="63" t="s">
        <v>106</v>
      </c>
      <c r="D100" s="139"/>
      <c r="E100" s="20" t="s">
        <v>135</v>
      </c>
      <c r="F100" s="20" t="s">
        <v>64</v>
      </c>
      <c r="G100" s="234">
        <f>'Spanos KU Prod No Term. NS'!U$26</f>
        <v>-0.03</v>
      </c>
      <c r="H100" s="139"/>
      <c r="I100" s="45">
        <v>8872543.2599999998</v>
      </c>
      <c r="J100" s="44"/>
      <c r="K100" s="45">
        <v>8274863</v>
      </c>
      <c r="L100" s="45"/>
      <c r="M100" s="200">
        <f t="shared" si="19"/>
        <v>863856.55780000053</v>
      </c>
      <c r="N100" s="45"/>
      <c r="O100" s="45">
        <f t="shared" si="20"/>
        <v>40179.374781395374</v>
      </c>
      <c r="P100" s="139"/>
      <c r="Q100" s="116">
        <f t="shared" si="21"/>
        <v>0.45</v>
      </c>
      <c r="S100" s="117">
        <v>21.5</v>
      </c>
      <c r="T100" s="32"/>
      <c r="U100" s="116">
        <v>0.87</v>
      </c>
      <c r="W100" s="145">
        <f t="shared" si="22"/>
        <v>77191.126361999995</v>
      </c>
      <c r="Y100" s="144">
        <f t="shared" si="23"/>
        <v>-37011.751580604621</v>
      </c>
    </row>
    <row r="101" spans="1:25" x14ac:dyDescent="0.2">
      <c r="A101" s="26"/>
      <c r="B101" s="139"/>
      <c r="C101" s="63" t="s">
        <v>107</v>
      </c>
      <c r="D101" s="139"/>
      <c r="E101" s="20" t="s">
        <v>135</v>
      </c>
      <c r="F101" s="20" t="s">
        <v>64</v>
      </c>
      <c r="G101" s="234">
        <f>'Spanos KU Prod No Term. NS'!U$26</f>
        <v>-0.03</v>
      </c>
      <c r="H101" s="139"/>
      <c r="I101" s="45">
        <v>13858388.529999999</v>
      </c>
      <c r="J101" s="44"/>
      <c r="K101" s="45">
        <v>10602781</v>
      </c>
      <c r="L101" s="45"/>
      <c r="M101" s="200">
        <f t="shared" si="19"/>
        <v>3671359.185899999</v>
      </c>
      <c r="N101" s="45"/>
      <c r="O101" s="45">
        <f t="shared" si="20"/>
        <v>171558.84046261679</v>
      </c>
      <c r="P101" s="139"/>
      <c r="Q101" s="116">
        <f t="shared" si="21"/>
        <v>1.24</v>
      </c>
      <c r="S101" s="117">
        <v>21.4</v>
      </c>
      <c r="T101" s="32"/>
      <c r="U101" s="116">
        <v>1.65</v>
      </c>
      <c r="W101" s="145">
        <f t="shared" si="22"/>
        <v>228663.41074499997</v>
      </c>
      <c r="Y101" s="144">
        <f t="shared" si="23"/>
        <v>-57104.570282383182</v>
      </c>
    </row>
    <row r="102" spans="1:25" x14ac:dyDescent="0.2">
      <c r="A102" s="26"/>
      <c r="B102" s="139"/>
      <c r="C102" s="63" t="s">
        <v>108</v>
      </c>
      <c r="D102" s="139"/>
      <c r="E102" s="20" t="s">
        <v>135</v>
      </c>
      <c r="F102" s="20" t="s">
        <v>64</v>
      </c>
      <c r="G102" s="234">
        <f>'Spanos KU Prod No Term. NS'!U$26</f>
        <v>-0.03</v>
      </c>
      <c r="H102" s="139"/>
      <c r="I102" s="45">
        <v>30932405.420000002</v>
      </c>
      <c r="J102" s="44"/>
      <c r="K102" s="45">
        <v>22826297</v>
      </c>
      <c r="L102" s="45"/>
      <c r="M102" s="200">
        <f t="shared" si="19"/>
        <v>9034080.5826000012</v>
      </c>
      <c r="N102" s="45"/>
      <c r="O102" s="45">
        <f t="shared" si="20"/>
        <v>374858.11546058091</v>
      </c>
      <c r="P102" s="139"/>
      <c r="Q102" s="116">
        <f t="shared" si="21"/>
        <v>1.21</v>
      </c>
      <c r="S102" s="117">
        <v>24.1</v>
      </c>
      <c r="T102" s="32"/>
      <c r="U102" s="116">
        <v>1.59</v>
      </c>
      <c r="W102" s="145">
        <f t="shared" si="22"/>
        <v>491825.24617800006</v>
      </c>
      <c r="Y102" s="144">
        <f t="shared" si="23"/>
        <v>-116967.13071741915</v>
      </c>
    </row>
    <row r="103" spans="1:25" x14ac:dyDescent="0.2">
      <c r="A103" s="26"/>
      <c r="B103" s="139"/>
      <c r="C103" s="63" t="s">
        <v>109</v>
      </c>
      <c r="D103" s="139"/>
      <c r="E103" s="20" t="s">
        <v>135</v>
      </c>
      <c r="F103" s="20" t="s">
        <v>64</v>
      </c>
      <c r="G103" s="234">
        <f>'Spanos KU Prod No Term. NS'!U$26</f>
        <v>-0.03</v>
      </c>
      <c r="H103" s="139"/>
      <c r="I103" s="45">
        <v>24412796.920000002</v>
      </c>
      <c r="J103" s="44"/>
      <c r="K103" s="45">
        <v>16503145</v>
      </c>
      <c r="L103" s="45"/>
      <c r="M103" s="200">
        <f t="shared" si="19"/>
        <v>8642035.8276000023</v>
      </c>
      <c r="N103" s="45"/>
      <c r="O103" s="45">
        <f t="shared" si="20"/>
        <v>342937.92966666678</v>
      </c>
      <c r="P103" s="139"/>
      <c r="Q103" s="116">
        <f t="shared" si="21"/>
        <v>1.4</v>
      </c>
      <c r="S103" s="117">
        <v>25.2</v>
      </c>
      <c r="T103" s="32"/>
      <c r="U103" s="116">
        <v>1.76</v>
      </c>
      <c r="W103" s="145">
        <f t="shared" si="22"/>
        <v>429665.22579200001</v>
      </c>
      <c r="Y103" s="144">
        <f t="shared" si="23"/>
        <v>-86727.296125333232</v>
      </c>
    </row>
    <row r="104" spans="1:25" x14ac:dyDescent="0.2">
      <c r="A104" s="26"/>
      <c r="B104" s="139"/>
      <c r="C104" s="63" t="s">
        <v>110</v>
      </c>
      <c r="D104" s="139"/>
      <c r="E104" s="20" t="s">
        <v>135</v>
      </c>
      <c r="F104" s="20" t="s">
        <v>64</v>
      </c>
      <c r="G104" s="234">
        <f>'Spanos KU Prod No Term. NS'!U$26</f>
        <v>-0.03</v>
      </c>
      <c r="H104" s="139"/>
      <c r="I104" s="45">
        <v>1155753.06</v>
      </c>
      <c r="J104" s="44"/>
      <c r="K104" s="45">
        <v>73909</v>
      </c>
      <c r="L104" s="45"/>
      <c r="M104" s="200">
        <f t="shared" si="19"/>
        <v>1116516.6518000001</v>
      </c>
      <c r="N104" s="45"/>
      <c r="O104" s="45">
        <f t="shared" si="20"/>
        <v>49622.962302222229</v>
      </c>
      <c r="P104" s="139"/>
      <c r="Q104" s="116">
        <f t="shared" si="21"/>
        <v>4.29</v>
      </c>
      <c r="S104" s="117">
        <v>22.5</v>
      </c>
      <c r="T104" s="32"/>
      <c r="U104" s="116">
        <v>4.7</v>
      </c>
      <c r="W104" s="145">
        <f t="shared" si="22"/>
        <v>54320.393820000005</v>
      </c>
      <c r="Y104" s="144">
        <f t="shared" si="23"/>
        <v>-4697.4315177777753</v>
      </c>
    </row>
    <row r="105" spans="1:25" x14ac:dyDescent="0.2">
      <c r="A105" s="26"/>
      <c r="B105" s="139"/>
      <c r="C105" s="63" t="s">
        <v>111</v>
      </c>
      <c r="D105" s="139"/>
      <c r="E105" s="20" t="s">
        <v>135</v>
      </c>
      <c r="F105" s="20" t="s">
        <v>64</v>
      </c>
      <c r="G105" s="234">
        <f>'Spanos KU Prod No Term. NS'!U$26</f>
        <v>-0.03</v>
      </c>
      <c r="H105" s="139"/>
      <c r="I105" s="45">
        <v>12041998.279999999</v>
      </c>
      <c r="J105" s="44"/>
      <c r="K105" s="45">
        <v>1992181</v>
      </c>
      <c r="L105" s="45"/>
      <c r="M105" s="200">
        <f t="shared" si="19"/>
        <v>10411077.228399999</v>
      </c>
      <c r="N105" s="45"/>
      <c r="O105" s="45">
        <f t="shared" si="20"/>
        <v>408277.53836862743</v>
      </c>
      <c r="P105" s="139"/>
      <c r="Q105" s="116">
        <f t="shared" si="21"/>
        <v>3.39</v>
      </c>
      <c r="S105" s="117">
        <v>25.5</v>
      </c>
      <c r="T105" s="32"/>
      <c r="U105" s="116">
        <v>3.75</v>
      </c>
      <c r="W105" s="145">
        <f t="shared" si="22"/>
        <v>451574.93550000002</v>
      </c>
      <c r="Y105" s="144">
        <f t="shared" si="23"/>
        <v>-43297.397131372592</v>
      </c>
    </row>
    <row r="106" spans="1:25" x14ac:dyDescent="0.2">
      <c r="A106" s="26"/>
      <c r="B106" s="139"/>
      <c r="C106" s="63" t="s">
        <v>112</v>
      </c>
      <c r="D106" s="139"/>
      <c r="E106" s="20" t="s">
        <v>135</v>
      </c>
      <c r="F106" s="20" t="s">
        <v>64</v>
      </c>
      <c r="G106" s="234">
        <f>'Spanos KU Prod No Term. NS'!U$26</f>
        <v>-0.03</v>
      </c>
      <c r="H106" s="139"/>
      <c r="I106" s="90">
        <v>3844595.46</v>
      </c>
      <c r="J106" s="44"/>
      <c r="K106" s="45">
        <v>381019</v>
      </c>
      <c r="L106" s="45"/>
      <c r="M106" s="200">
        <f t="shared" si="19"/>
        <v>3578914.3237999999</v>
      </c>
      <c r="N106" s="45"/>
      <c r="O106" s="45">
        <f t="shared" si="20"/>
        <v>135053.37070943395</v>
      </c>
      <c r="P106" s="139"/>
      <c r="Q106" s="116">
        <f t="shared" si="21"/>
        <v>3.51</v>
      </c>
      <c r="S106" s="117">
        <v>26.5</v>
      </c>
      <c r="T106" s="32"/>
      <c r="U106" s="116">
        <v>3.86</v>
      </c>
      <c r="W106" s="145">
        <f t="shared" si="22"/>
        <v>148401.38475599998</v>
      </c>
      <c r="Y106" s="144">
        <f t="shared" si="23"/>
        <v>-13348.014046566037</v>
      </c>
    </row>
    <row r="107" spans="1:25" x14ac:dyDescent="0.2">
      <c r="A107" s="26"/>
      <c r="B107" s="139"/>
      <c r="C107" s="139"/>
      <c r="D107" s="139"/>
      <c r="E107" s="20"/>
      <c r="F107" s="20"/>
      <c r="G107" s="19"/>
      <c r="H107" s="139"/>
      <c r="I107" s="45"/>
      <c r="J107" s="139"/>
      <c r="K107" s="49"/>
      <c r="L107" s="34"/>
      <c r="M107" s="49"/>
      <c r="N107" s="34"/>
      <c r="O107" s="49"/>
      <c r="P107" s="139"/>
      <c r="Q107" s="26"/>
      <c r="R107" s="139"/>
      <c r="S107" s="62"/>
      <c r="T107" s="32"/>
      <c r="U107" s="26"/>
    </row>
    <row r="108" spans="1:25" ht="15.75" x14ac:dyDescent="0.25">
      <c r="A108" s="26"/>
      <c r="B108" s="139"/>
      <c r="C108" s="65" t="s">
        <v>32</v>
      </c>
      <c r="D108" s="139"/>
      <c r="E108" s="20"/>
      <c r="F108" s="20"/>
      <c r="G108" s="19"/>
      <c r="H108" s="139"/>
      <c r="I108" s="45">
        <f>SUM(I89:I107)</f>
        <v>201634659.45000005</v>
      </c>
      <c r="J108" s="139"/>
      <c r="K108" s="45">
        <f>SUM(K89:K107)</f>
        <v>85460236</v>
      </c>
      <c r="L108" s="34"/>
      <c r="M108" s="45">
        <f>SUM(M89:M107)</f>
        <v>124671679.42459998</v>
      </c>
      <c r="N108" s="34"/>
      <c r="O108" s="45">
        <f>SUM(O89:O107)</f>
        <v>4856659.0859431541</v>
      </c>
      <c r="P108" s="139"/>
      <c r="Q108" s="116">
        <f>IF(O108/I108*100=0,"-     ",ROUND(O108/I108*100,2))</f>
        <v>2.41</v>
      </c>
      <c r="S108" s="117">
        <v>25.1</v>
      </c>
      <c r="T108" s="32"/>
      <c r="U108" s="242">
        <f>W108/I108</f>
        <v>2.7876420863040256E-2</v>
      </c>
      <c r="W108" s="45">
        <f>SUM(W89:W107)</f>
        <v>5620852.6274039987</v>
      </c>
      <c r="Y108" s="45">
        <f>SUM(Y89:Y107)</f>
        <v>-764193.54146084492</v>
      </c>
    </row>
    <row r="109" spans="1:25" x14ac:dyDescent="0.2">
      <c r="A109" s="26"/>
      <c r="B109" s="139"/>
      <c r="C109" s="139"/>
      <c r="D109" s="139"/>
      <c r="E109" s="20"/>
      <c r="F109" s="20"/>
      <c r="G109" s="19"/>
      <c r="H109" s="139"/>
      <c r="I109" s="45"/>
      <c r="J109" s="139"/>
      <c r="K109" s="34"/>
      <c r="L109" s="34"/>
      <c r="M109" s="34"/>
      <c r="N109" s="34"/>
      <c r="O109" s="34"/>
      <c r="P109" s="139"/>
      <c r="Q109" s="26"/>
      <c r="R109" s="139"/>
      <c r="S109" s="62"/>
      <c r="T109" s="32"/>
      <c r="U109" s="26"/>
    </row>
    <row r="110" spans="1:25" x14ac:dyDescent="0.2">
      <c r="A110" s="26">
        <v>316</v>
      </c>
      <c r="B110" s="139" t="s">
        <v>1</v>
      </c>
      <c r="C110" s="59" t="s">
        <v>170</v>
      </c>
      <c r="D110" s="139"/>
      <c r="E110" s="56"/>
      <c r="F110" s="56"/>
      <c r="G110" s="66"/>
      <c r="H110" s="139"/>
      <c r="I110" s="45"/>
      <c r="J110" s="139"/>
      <c r="K110" s="34"/>
      <c r="L110" s="34"/>
      <c r="M110" s="34"/>
      <c r="N110" s="34"/>
      <c r="O110" s="34"/>
      <c r="P110" s="139"/>
      <c r="Q110" s="26"/>
      <c r="R110" s="139"/>
      <c r="S110" s="62"/>
      <c r="T110" s="32"/>
      <c r="U110" s="26"/>
    </row>
    <row r="111" spans="1:25" x14ac:dyDescent="0.2">
      <c r="A111" s="26"/>
      <c r="B111" s="139"/>
      <c r="C111" s="63" t="s">
        <v>93</v>
      </c>
      <c r="D111" s="139"/>
      <c r="E111" s="20" t="s">
        <v>136</v>
      </c>
      <c r="F111" s="20" t="s">
        <v>64</v>
      </c>
      <c r="G111" s="234">
        <f>'Spanos KU Prod No Term. NS'!U69</f>
        <v>-0.1</v>
      </c>
      <c r="H111" s="139"/>
      <c r="I111" s="45">
        <v>3502446.96</v>
      </c>
      <c r="J111" s="44"/>
      <c r="K111" s="45">
        <v>126166</v>
      </c>
      <c r="L111" s="45"/>
      <c r="M111" s="200">
        <f t="shared" ref="M111:M125" si="24">+((1-G111)*I111)-K111</f>
        <v>3726525.6560000004</v>
      </c>
      <c r="N111" s="45"/>
      <c r="O111" s="45">
        <f t="shared" ref="O111:O125" si="25">M111/S111</f>
        <v>77313.810290456429</v>
      </c>
      <c r="P111" s="139"/>
      <c r="Q111" s="116">
        <f t="shared" ref="Q111:Q125" si="26">IF(O111/I111*100=0,"-     ",ROUND(O111/I111*100,2))</f>
        <v>2.21</v>
      </c>
      <c r="S111" s="117">
        <v>48.2</v>
      </c>
      <c r="T111" s="32"/>
      <c r="U111" s="116">
        <v>2.31</v>
      </c>
      <c r="W111" s="145">
        <f t="shared" ref="W111:W125" si="27">(I111/100)*U111</f>
        <v>80906.524775999991</v>
      </c>
      <c r="Y111" s="144">
        <f t="shared" ref="Y111:Y125" si="28">O111-W111</f>
        <v>-3592.7144855435618</v>
      </c>
    </row>
    <row r="112" spans="1:25" x14ac:dyDescent="0.2">
      <c r="A112" s="26"/>
      <c r="B112" s="139"/>
      <c r="C112" s="59" t="s">
        <v>95</v>
      </c>
      <c r="D112" s="139"/>
      <c r="E112" s="20" t="s">
        <v>136</v>
      </c>
      <c r="F112" s="20" t="s">
        <v>64</v>
      </c>
      <c r="G112" s="234">
        <f>'Spanos KU Prod No Term. NS'!U51</f>
        <v>-0.01</v>
      </c>
      <c r="H112" s="139"/>
      <c r="I112" s="45">
        <v>2763048.67</v>
      </c>
      <c r="J112" s="44"/>
      <c r="K112" s="45">
        <v>790095</v>
      </c>
      <c r="L112" s="45"/>
      <c r="M112" s="200">
        <f t="shared" si="24"/>
        <v>2000584.1567000002</v>
      </c>
      <c r="N112" s="45"/>
      <c r="O112" s="45">
        <f t="shared" si="25"/>
        <v>74648.662563432837</v>
      </c>
      <c r="P112" s="139"/>
      <c r="Q112" s="116">
        <f t="shared" si="26"/>
        <v>2.7</v>
      </c>
      <c r="S112" s="117">
        <v>26.8</v>
      </c>
      <c r="T112" s="32"/>
      <c r="U112" s="116">
        <v>2.7</v>
      </c>
      <c r="W112" s="145">
        <f t="shared" si="27"/>
        <v>74602.31409</v>
      </c>
      <c r="Y112" s="144">
        <f t="shared" si="28"/>
        <v>46.348473432837636</v>
      </c>
    </row>
    <row r="113" spans="1:25" x14ac:dyDescent="0.2">
      <c r="A113" s="26"/>
      <c r="B113" s="139"/>
      <c r="C113" s="59" t="s">
        <v>96</v>
      </c>
      <c r="D113" s="139"/>
      <c r="E113" s="20" t="s">
        <v>136</v>
      </c>
      <c r="F113" s="20" t="s">
        <v>64</v>
      </c>
      <c r="G113" s="234">
        <f>'Spanos KU Prod No Term. NS'!U$61</f>
        <v>-0.01</v>
      </c>
      <c r="H113" s="139"/>
      <c r="I113" s="45">
        <v>553355.01</v>
      </c>
      <c r="J113" s="44"/>
      <c r="K113" s="45">
        <v>251724</v>
      </c>
      <c r="L113" s="45"/>
      <c r="M113" s="200">
        <f t="shared" si="24"/>
        <v>307164.5601</v>
      </c>
      <c r="N113" s="45"/>
      <c r="O113" s="45">
        <f t="shared" si="25"/>
        <v>76791.140025000001</v>
      </c>
      <c r="P113" s="139"/>
      <c r="Q113" s="116">
        <f t="shared" si="26"/>
        <v>13.88</v>
      </c>
      <c r="S113" s="117">
        <v>4</v>
      </c>
      <c r="T113" s="32"/>
      <c r="U113" s="116">
        <v>16.28</v>
      </c>
      <c r="W113" s="145">
        <f t="shared" si="27"/>
        <v>90086.195628000016</v>
      </c>
      <c r="Y113" s="144">
        <f t="shared" si="28"/>
        <v>-13295.055603000015</v>
      </c>
    </row>
    <row r="114" spans="1:25" x14ac:dyDescent="0.2">
      <c r="A114" s="26"/>
      <c r="B114" s="139"/>
      <c r="C114" s="59" t="s">
        <v>97</v>
      </c>
      <c r="D114" s="139"/>
      <c r="E114" s="20" t="s">
        <v>159</v>
      </c>
      <c r="F114" s="20" t="s">
        <v>64</v>
      </c>
      <c r="G114" s="234">
        <f>'Spanos KU Prod No Term. NS'!U$61</f>
        <v>-0.01</v>
      </c>
      <c r="H114" s="139"/>
      <c r="I114" s="45">
        <v>50126.84</v>
      </c>
      <c r="J114" s="44"/>
      <c r="K114" s="45">
        <v>55140</v>
      </c>
      <c r="L114" s="45"/>
      <c r="M114" s="200">
        <f t="shared" si="24"/>
        <v>-4511.8916000000027</v>
      </c>
      <c r="N114" s="45"/>
      <c r="O114" s="45">
        <v>0</v>
      </c>
      <c r="P114" s="139"/>
      <c r="Q114" s="116" t="str">
        <f t="shared" si="26"/>
        <v xml:space="preserve">-     </v>
      </c>
      <c r="S114" s="117" t="s">
        <v>297</v>
      </c>
      <c r="T114" s="32"/>
      <c r="U114" s="116" t="s">
        <v>297</v>
      </c>
      <c r="W114" s="145">
        <v>0</v>
      </c>
      <c r="Y114" s="144">
        <f t="shared" si="28"/>
        <v>0</v>
      </c>
    </row>
    <row r="115" spans="1:25" x14ac:dyDescent="0.2">
      <c r="A115" s="26"/>
      <c r="B115" s="139"/>
      <c r="C115" s="63" t="s">
        <v>98</v>
      </c>
      <c r="D115" s="139"/>
      <c r="E115" s="20" t="s">
        <v>136</v>
      </c>
      <c r="F115" s="20" t="s">
        <v>64</v>
      </c>
      <c r="G115" s="234">
        <f>'Spanos KU Prod No Term. NS'!U$35</f>
        <v>-0.01</v>
      </c>
      <c r="H115" s="139"/>
      <c r="I115" s="45">
        <v>152146.47</v>
      </c>
      <c r="J115" s="44"/>
      <c r="K115" s="45">
        <v>101809</v>
      </c>
      <c r="L115" s="45"/>
      <c r="M115" s="200">
        <f t="shared" si="24"/>
        <v>51858.934700000013</v>
      </c>
      <c r="N115" s="45"/>
      <c r="O115" s="45">
        <f t="shared" si="25"/>
        <v>12964.733675000003</v>
      </c>
      <c r="P115" s="139"/>
      <c r="Q115" s="116">
        <f t="shared" si="26"/>
        <v>8.52</v>
      </c>
      <c r="S115" s="117">
        <v>4</v>
      </c>
      <c r="T115" s="32"/>
      <c r="U115" s="116">
        <v>10.87</v>
      </c>
      <c r="W115" s="145">
        <f t="shared" si="27"/>
        <v>16538.321289</v>
      </c>
      <c r="Y115" s="144">
        <f t="shared" si="28"/>
        <v>-3573.5876139999964</v>
      </c>
    </row>
    <row r="116" spans="1:25" x14ac:dyDescent="0.2">
      <c r="A116" s="26"/>
      <c r="B116" s="139"/>
      <c r="C116" s="63" t="s">
        <v>99</v>
      </c>
      <c r="D116" s="139"/>
      <c r="E116" s="20" t="s">
        <v>136</v>
      </c>
      <c r="F116" s="20" t="s">
        <v>64</v>
      </c>
      <c r="G116" s="234">
        <f>'Spanos KU Prod No Term. NS'!U$35</f>
        <v>-0.01</v>
      </c>
      <c r="H116" s="139"/>
      <c r="I116" s="45">
        <v>2408142.84</v>
      </c>
      <c r="J116" s="44"/>
      <c r="K116" s="45">
        <v>1418850</v>
      </c>
      <c r="L116" s="45"/>
      <c r="M116" s="200">
        <f t="shared" si="24"/>
        <v>1013374.2683999999</v>
      </c>
      <c r="N116" s="45"/>
      <c r="O116" s="45">
        <f t="shared" si="25"/>
        <v>253343.56709999999</v>
      </c>
      <c r="P116" s="139"/>
      <c r="Q116" s="116">
        <f t="shared" si="26"/>
        <v>10.52</v>
      </c>
      <c r="S116" s="117">
        <v>4</v>
      </c>
      <c r="T116" s="32"/>
      <c r="U116" s="116">
        <v>12.87</v>
      </c>
      <c r="W116" s="145">
        <f t="shared" si="27"/>
        <v>309927.98350799992</v>
      </c>
      <c r="Y116" s="144">
        <f t="shared" si="28"/>
        <v>-56584.416407999932</v>
      </c>
    </row>
    <row r="117" spans="1:25" x14ac:dyDescent="0.2">
      <c r="A117" s="26"/>
      <c r="B117" s="139"/>
      <c r="C117" s="63" t="s">
        <v>100</v>
      </c>
      <c r="D117" s="139"/>
      <c r="E117" s="20" t="s">
        <v>159</v>
      </c>
      <c r="F117" s="20" t="s">
        <v>64</v>
      </c>
      <c r="G117" s="234">
        <f>'Spanos KU Prod No Term. NS'!U$35</f>
        <v>-0.01</v>
      </c>
      <c r="H117" s="139"/>
      <c r="I117" s="45">
        <v>84749.53</v>
      </c>
      <c r="J117" s="44"/>
      <c r="K117" s="45">
        <v>93224</v>
      </c>
      <c r="L117" s="45"/>
      <c r="M117" s="200">
        <f t="shared" si="24"/>
        <v>-7626.9747000000061</v>
      </c>
      <c r="N117" s="45"/>
      <c r="O117" s="45">
        <v>0</v>
      </c>
      <c r="P117" s="139"/>
      <c r="Q117" s="116" t="str">
        <f t="shared" si="26"/>
        <v xml:space="preserve">-     </v>
      </c>
      <c r="S117" s="117" t="s">
        <v>297</v>
      </c>
      <c r="T117" s="32"/>
      <c r="U117" s="116" t="s">
        <v>297</v>
      </c>
      <c r="W117" s="145">
        <v>0</v>
      </c>
      <c r="Y117" s="144">
        <f t="shared" si="28"/>
        <v>0</v>
      </c>
    </row>
    <row r="118" spans="1:25" x14ac:dyDescent="0.2">
      <c r="A118" s="26"/>
      <c r="B118" s="139"/>
      <c r="C118" s="63" t="s">
        <v>101</v>
      </c>
      <c r="D118" s="139"/>
      <c r="E118" s="20" t="s">
        <v>136</v>
      </c>
      <c r="F118" s="20" t="s">
        <v>64</v>
      </c>
      <c r="G118" s="234">
        <f>'Spanos KU Prod No Term. NS'!U$19</f>
        <v>-0.02</v>
      </c>
      <c r="H118" s="139"/>
      <c r="I118" s="45">
        <v>432577.58</v>
      </c>
      <c r="J118" s="44"/>
      <c r="K118" s="45">
        <v>351287</v>
      </c>
      <c r="L118" s="45"/>
      <c r="M118" s="200">
        <f t="shared" si="24"/>
        <v>89942.131600000022</v>
      </c>
      <c r="N118" s="45"/>
      <c r="O118" s="45">
        <f t="shared" si="25"/>
        <v>5621.3832250000014</v>
      </c>
      <c r="P118" s="139"/>
      <c r="Q118" s="116">
        <f t="shared" si="26"/>
        <v>1.3</v>
      </c>
      <c r="S118" s="117">
        <v>16</v>
      </c>
      <c r="T118" s="32"/>
      <c r="U118" s="116">
        <v>1.86</v>
      </c>
      <c r="W118" s="145">
        <f t="shared" si="27"/>
        <v>8045.9429880000007</v>
      </c>
      <c r="Y118" s="144">
        <f t="shared" si="28"/>
        <v>-2424.5597629999993</v>
      </c>
    </row>
    <row r="119" spans="1:25" x14ac:dyDescent="0.2">
      <c r="A119" s="26"/>
      <c r="B119" s="139"/>
      <c r="C119" s="63" t="s">
        <v>102</v>
      </c>
      <c r="D119" s="139"/>
      <c r="E119" s="20" t="s">
        <v>136</v>
      </c>
      <c r="F119" s="20" t="s">
        <v>64</v>
      </c>
      <c r="G119" s="234">
        <f>'Spanos KU Prod No Term. NS'!U$19</f>
        <v>-0.02</v>
      </c>
      <c r="H119" s="139"/>
      <c r="I119" s="45">
        <v>106658.32</v>
      </c>
      <c r="J119" s="44"/>
      <c r="K119" s="45">
        <v>109842</v>
      </c>
      <c r="L119" s="45"/>
      <c r="M119" s="200">
        <f t="shared" si="24"/>
        <v>-1050.5135999999911</v>
      </c>
      <c r="N119" s="45"/>
      <c r="O119" s="45">
        <f t="shared" si="25"/>
        <v>-48.634888888888476</v>
      </c>
      <c r="P119" s="139"/>
      <c r="Q119" s="116">
        <f t="shared" si="26"/>
        <v>-0.05</v>
      </c>
      <c r="S119" s="117">
        <v>21.6</v>
      </c>
      <c r="T119" s="32"/>
      <c r="U119" s="116">
        <v>0.37</v>
      </c>
      <c r="W119" s="145">
        <f t="shared" si="27"/>
        <v>394.635784</v>
      </c>
      <c r="Y119" s="144">
        <f t="shared" si="28"/>
        <v>-443.2706728888885</v>
      </c>
    </row>
    <row r="120" spans="1:25" x14ac:dyDescent="0.2">
      <c r="A120" s="26"/>
      <c r="B120" s="139"/>
      <c r="C120" s="63" t="s">
        <v>103</v>
      </c>
      <c r="D120" s="139"/>
      <c r="E120" s="20" t="s">
        <v>136</v>
      </c>
      <c r="F120" s="20" t="s">
        <v>64</v>
      </c>
      <c r="G120" s="234">
        <f>'Spanos KU Prod No Term. NS'!U$19</f>
        <v>-0.02</v>
      </c>
      <c r="H120" s="139"/>
      <c r="I120" s="45">
        <v>5070448.32</v>
      </c>
      <c r="J120" s="44"/>
      <c r="K120" s="45">
        <v>2925174</v>
      </c>
      <c r="L120" s="45"/>
      <c r="M120" s="200">
        <f t="shared" si="24"/>
        <v>2246683.2864000006</v>
      </c>
      <c r="N120" s="45"/>
      <c r="O120" s="45">
        <f t="shared" si="25"/>
        <v>101201.94983783786</v>
      </c>
      <c r="P120" s="139"/>
      <c r="Q120" s="116">
        <f t="shared" si="26"/>
        <v>2</v>
      </c>
      <c r="S120" s="117">
        <v>22.2</v>
      </c>
      <c r="T120" s="32"/>
      <c r="U120" s="116">
        <v>2.4</v>
      </c>
      <c r="W120" s="145">
        <f t="shared" si="27"/>
        <v>121690.75968</v>
      </c>
      <c r="Y120" s="144">
        <f t="shared" si="28"/>
        <v>-20488.80984216214</v>
      </c>
    </row>
    <row r="121" spans="1:25" x14ac:dyDescent="0.2">
      <c r="A121" s="114" t="s">
        <v>162</v>
      </c>
      <c r="B121" s="139"/>
      <c r="C121" s="63" t="s">
        <v>105</v>
      </c>
      <c r="D121" s="139"/>
      <c r="E121" s="20" t="s">
        <v>136</v>
      </c>
      <c r="F121" s="20" t="s">
        <v>64</v>
      </c>
      <c r="G121" s="234">
        <f>'Spanos KU Prod No Term. NS'!U$27</f>
        <v>-0.03</v>
      </c>
      <c r="H121" s="139"/>
      <c r="I121" s="45">
        <v>1033027.09</v>
      </c>
      <c r="J121" s="44"/>
      <c r="K121" s="45">
        <v>834195</v>
      </c>
      <c r="L121" s="45"/>
      <c r="M121" s="200">
        <f t="shared" si="24"/>
        <v>229822.90269999998</v>
      </c>
      <c r="N121" s="45"/>
      <c r="O121" s="45">
        <f t="shared" si="25"/>
        <v>10739.387976635513</v>
      </c>
      <c r="P121" s="139"/>
      <c r="Q121" s="116">
        <f t="shared" si="26"/>
        <v>1.04</v>
      </c>
      <c r="S121" s="117">
        <v>21.4</v>
      </c>
      <c r="T121" s="32"/>
      <c r="U121" s="116">
        <v>1.46</v>
      </c>
      <c r="W121" s="145">
        <f t="shared" si="27"/>
        <v>15082.195513999999</v>
      </c>
      <c r="Y121" s="144">
        <f t="shared" si="28"/>
        <v>-4342.8075373644861</v>
      </c>
    </row>
    <row r="122" spans="1:25" x14ac:dyDescent="0.2">
      <c r="A122" s="26"/>
      <c r="B122" s="139"/>
      <c r="C122" s="63" t="s">
        <v>106</v>
      </c>
      <c r="D122" s="139"/>
      <c r="E122" s="20" t="s">
        <v>136</v>
      </c>
      <c r="F122" s="20" t="s">
        <v>64</v>
      </c>
      <c r="G122" s="234">
        <f>'Spanos KU Prod No Term. NS'!U$27</f>
        <v>-0.03</v>
      </c>
      <c r="H122" s="139"/>
      <c r="I122" s="45">
        <v>1747526.86</v>
      </c>
      <c r="J122" s="44"/>
      <c r="K122" s="45">
        <v>1578287</v>
      </c>
      <c r="L122" s="45"/>
      <c r="M122" s="200">
        <f t="shared" si="24"/>
        <v>221665.66580000008</v>
      </c>
      <c r="N122" s="45"/>
      <c r="O122" s="45">
        <f t="shared" si="25"/>
        <v>10555.507895238099</v>
      </c>
      <c r="P122" s="139"/>
      <c r="Q122" s="116">
        <f t="shared" si="26"/>
        <v>0.6</v>
      </c>
      <c r="S122" s="117">
        <v>21</v>
      </c>
      <c r="T122" s="32"/>
      <c r="U122" s="116">
        <v>1.03</v>
      </c>
      <c r="W122" s="145">
        <f t="shared" si="27"/>
        <v>17999.526657999999</v>
      </c>
      <c r="Y122" s="144">
        <f t="shared" si="28"/>
        <v>-7444.0187627618998</v>
      </c>
    </row>
    <row r="123" spans="1:25" x14ac:dyDescent="0.2">
      <c r="B123" s="139"/>
      <c r="C123" s="63" t="s">
        <v>107</v>
      </c>
      <c r="D123" s="139"/>
      <c r="E123" s="20" t="s">
        <v>136</v>
      </c>
      <c r="F123" s="20" t="s">
        <v>64</v>
      </c>
      <c r="G123" s="234">
        <f>'Spanos KU Prod No Term. NS'!U$27</f>
        <v>-0.03</v>
      </c>
      <c r="H123" s="139"/>
      <c r="I123" s="45">
        <v>1500525.31</v>
      </c>
      <c r="J123" s="44"/>
      <c r="K123" s="45">
        <v>1397086</v>
      </c>
      <c r="L123" s="45"/>
      <c r="M123" s="200">
        <f t="shared" si="24"/>
        <v>148455.06930000009</v>
      </c>
      <c r="N123" s="45"/>
      <c r="O123" s="45">
        <f t="shared" si="25"/>
        <v>7206.556762135926</v>
      </c>
      <c r="P123" s="139"/>
      <c r="Q123" s="116">
        <f t="shared" si="26"/>
        <v>0.48</v>
      </c>
      <c r="S123" s="117">
        <v>20.6</v>
      </c>
      <c r="T123" s="32"/>
      <c r="U123" s="116">
        <v>0.92</v>
      </c>
      <c r="W123" s="145">
        <f t="shared" si="27"/>
        <v>13804.832852000001</v>
      </c>
      <c r="Y123" s="144">
        <f t="shared" si="28"/>
        <v>-6598.2760898640754</v>
      </c>
    </row>
    <row r="124" spans="1:25" x14ac:dyDescent="0.2">
      <c r="A124" s="26"/>
      <c r="B124" s="139"/>
      <c r="C124" s="63" t="s">
        <v>108</v>
      </c>
      <c r="D124" s="139"/>
      <c r="E124" s="20" t="s">
        <v>136</v>
      </c>
      <c r="F124" s="20" t="s">
        <v>64</v>
      </c>
      <c r="G124" s="234">
        <f>'Spanos KU Prod No Term. NS'!U$27</f>
        <v>-0.03</v>
      </c>
      <c r="H124" s="139"/>
      <c r="I124" s="45">
        <v>3150437.55</v>
      </c>
      <c r="J124" s="44"/>
      <c r="K124" s="45">
        <v>2534754</v>
      </c>
      <c r="L124" s="45"/>
      <c r="M124" s="200">
        <f t="shared" si="24"/>
        <v>710196.67650000006</v>
      </c>
      <c r="N124" s="45"/>
      <c r="O124" s="45">
        <f t="shared" si="25"/>
        <v>30611.925711206899</v>
      </c>
      <c r="P124" s="139"/>
      <c r="Q124" s="116">
        <f t="shared" si="26"/>
        <v>0.97</v>
      </c>
      <c r="S124" s="117">
        <v>23.2</v>
      </c>
      <c r="T124" s="32"/>
      <c r="U124" s="116">
        <v>1.36</v>
      </c>
      <c r="W124" s="145">
        <f t="shared" si="27"/>
        <v>42845.950680000002</v>
      </c>
      <c r="Y124" s="144">
        <f t="shared" si="28"/>
        <v>-12234.024968793103</v>
      </c>
    </row>
    <row r="125" spans="1:25" x14ac:dyDescent="0.2">
      <c r="A125" s="26"/>
      <c r="B125" s="139"/>
      <c r="C125" s="63" t="s">
        <v>109</v>
      </c>
      <c r="D125" s="139"/>
      <c r="E125" s="20" t="s">
        <v>136</v>
      </c>
      <c r="F125" s="20" t="s">
        <v>64</v>
      </c>
      <c r="G125" s="234">
        <f>'Spanos KU Prod No Term. NS'!U$27</f>
        <v>-0.03</v>
      </c>
      <c r="H125" s="139"/>
      <c r="I125" s="90">
        <v>7455181.3300000001</v>
      </c>
      <c r="J125" s="44"/>
      <c r="K125" s="45">
        <v>2842039</v>
      </c>
      <c r="L125" s="45"/>
      <c r="M125" s="200">
        <f t="shared" si="24"/>
        <v>4836797.7699000007</v>
      </c>
      <c r="N125" s="45"/>
      <c r="O125" s="45">
        <f t="shared" si="25"/>
        <v>195032.16814112905</v>
      </c>
      <c r="P125" s="139"/>
      <c r="Q125" s="116">
        <f t="shared" si="26"/>
        <v>2.62</v>
      </c>
      <c r="S125" s="117">
        <v>24.8</v>
      </c>
      <c r="T125" s="32"/>
      <c r="U125" s="116">
        <v>2.98</v>
      </c>
      <c r="W125" s="145">
        <f t="shared" si="27"/>
        <v>222164.40363399999</v>
      </c>
      <c r="Y125" s="144">
        <f t="shared" si="28"/>
        <v>-27132.235492870939</v>
      </c>
    </row>
    <row r="126" spans="1:25" x14ac:dyDescent="0.2">
      <c r="A126" s="26"/>
      <c r="B126" s="139"/>
      <c r="C126" s="63"/>
      <c r="D126" s="139"/>
      <c r="E126" s="20"/>
      <c r="F126" s="20"/>
      <c r="G126" s="19"/>
      <c r="H126" s="139"/>
      <c r="I126" s="45"/>
      <c r="J126" s="139"/>
      <c r="K126" s="49"/>
      <c r="L126" s="34"/>
      <c r="M126" s="49"/>
      <c r="N126" s="34"/>
      <c r="O126" s="49"/>
      <c r="P126" s="139"/>
      <c r="Q126" s="26"/>
      <c r="R126" s="139"/>
      <c r="S126" s="62"/>
      <c r="T126" s="32"/>
      <c r="U126" s="26"/>
    </row>
    <row r="127" spans="1:25" ht="15.75" x14ac:dyDescent="0.25">
      <c r="A127" s="26"/>
      <c r="B127" s="139"/>
      <c r="C127" s="65" t="s">
        <v>178</v>
      </c>
      <c r="D127" s="139"/>
      <c r="E127" s="20"/>
      <c r="F127" s="20"/>
      <c r="G127" s="19"/>
      <c r="H127" s="139"/>
      <c r="I127" s="90">
        <f>SUM(I111:I126)</f>
        <v>30010398.68</v>
      </c>
      <c r="J127" s="139"/>
      <c r="K127" s="90">
        <f>SUM(K111:K126)</f>
        <v>15409672</v>
      </c>
      <c r="L127" s="34"/>
      <c r="M127" s="90">
        <f>SUM(M111:M126)</f>
        <v>15569881.698200002</v>
      </c>
      <c r="N127" s="34"/>
      <c r="O127" s="90">
        <f>SUM(O111:O126)</f>
        <v>855982.1583141837</v>
      </c>
      <c r="P127" s="139"/>
      <c r="Q127" s="116">
        <f>IF(O127/I127*100=0,"-     ",ROUND(O127/I127*100,2))</f>
        <v>2.85</v>
      </c>
      <c r="S127" s="117">
        <v>17.600000000000001</v>
      </c>
      <c r="T127" s="32"/>
      <c r="U127" s="242">
        <f>W127/I127</f>
        <v>3.3791273414732259E-2</v>
      </c>
      <c r="W127" s="90">
        <f>SUM(W111:W126)</f>
        <v>1014089.587081</v>
      </c>
      <c r="Y127" s="90">
        <f>SUM(Y111:Y126)</f>
        <v>-158107.42876681619</v>
      </c>
    </row>
    <row r="128" spans="1:25" x14ac:dyDescent="0.2">
      <c r="A128" s="26"/>
      <c r="B128" s="139"/>
      <c r="C128" s="65"/>
      <c r="D128" s="139"/>
      <c r="E128" s="20"/>
      <c r="F128" s="20"/>
      <c r="G128" s="19"/>
      <c r="H128" s="139"/>
      <c r="I128" s="45"/>
      <c r="J128" s="139"/>
      <c r="K128" s="34"/>
      <c r="L128" s="34"/>
      <c r="M128" s="34"/>
      <c r="N128" s="34"/>
      <c r="O128" s="34"/>
      <c r="P128" s="139"/>
      <c r="Q128" s="26"/>
      <c r="R128" s="139"/>
      <c r="S128" s="62"/>
      <c r="T128" s="32"/>
      <c r="U128" s="26"/>
    </row>
    <row r="129" spans="1:26" ht="15.75" x14ac:dyDescent="0.25">
      <c r="A129" s="26"/>
      <c r="B129" s="139"/>
      <c r="C129" s="50" t="s">
        <v>33</v>
      </c>
      <c r="D129" s="139"/>
      <c r="E129" s="20"/>
      <c r="F129" s="20"/>
      <c r="G129" s="19"/>
      <c r="H129" s="139"/>
      <c r="I129" s="102">
        <f>SUM(I127,I108,I86,I70,I46)</f>
        <v>3559706076.0500007</v>
      </c>
      <c r="J129" s="30"/>
      <c r="K129" s="102">
        <f>SUM(K127,K108,K86,K70,K46)</f>
        <v>1260919945</v>
      </c>
      <c r="L129" s="31"/>
      <c r="M129" s="102">
        <f>SUM(M127,M108,M86,M70,M46)</f>
        <v>2453564256.2424002</v>
      </c>
      <c r="N129" s="31"/>
      <c r="O129" s="102">
        <f>SUM(O127,O108,O86,O70,O46)</f>
        <v>91195996.720743179</v>
      </c>
      <c r="P129" s="139"/>
      <c r="Q129" s="137">
        <f>+ROUND(O129/I129*100,2)</f>
        <v>2.56</v>
      </c>
      <c r="R129" s="139"/>
      <c r="S129" s="62"/>
      <c r="T129" s="32"/>
      <c r="U129" s="242">
        <f>W129/I129</f>
        <v>2.9323609575790947E-2</v>
      </c>
      <c r="W129" s="102">
        <f>SUM(W127,W108,W86,W70,W46)</f>
        <v>104383431.17866102</v>
      </c>
      <c r="Y129" s="102">
        <f>SUM(Y127,Y108,Y86,Y70,Y46)</f>
        <v>-13187434.45791783</v>
      </c>
      <c r="Z129" s="16">
        <f>+Y129</f>
        <v>-13187434.45791783</v>
      </c>
    </row>
    <row r="130" spans="1:26" ht="15.75" x14ac:dyDescent="0.25">
      <c r="A130" s="26"/>
      <c r="B130" s="139"/>
      <c r="C130" s="50"/>
      <c r="D130" s="139"/>
      <c r="E130" s="20"/>
      <c r="F130" s="20"/>
      <c r="G130" s="19"/>
      <c r="H130" s="139"/>
      <c r="I130" s="45"/>
      <c r="J130" s="30"/>
      <c r="K130" s="31"/>
      <c r="L130" s="31"/>
      <c r="M130" s="31"/>
      <c r="N130" s="31"/>
      <c r="O130" s="31"/>
      <c r="P130" s="139"/>
      <c r="Q130" s="26"/>
      <c r="R130" s="139"/>
      <c r="S130" s="62"/>
      <c r="T130" s="32"/>
      <c r="U130" s="26"/>
    </row>
    <row r="131" spans="1:26" ht="15.75" x14ac:dyDescent="0.25">
      <c r="A131" s="26"/>
      <c r="B131" s="139"/>
      <c r="C131" s="70" t="s">
        <v>187</v>
      </c>
      <c r="D131" s="139"/>
      <c r="E131" s="20"/>
      <c r="F131" s="20"/>
      <c r="G131" s="19"/>
      <c r="H131" s="139"/>
      <c r="I131" s="45"/>
      <c r="J131" s="30"/>
      <c r="K131" s="31"/>
      <c r="L131" s="31"/>
      <c r="M131" s="31"/>
      <c r="N131" s="31"/>
      <c r="O131" s="31"/>
      <c r="P131" s="139"/>
      <c r="Q131" s="26"/>
      <c r="R131" s="139"/>
      <c r="S131" s="62"/>
      <c r="T131" s="32"/>
      <c r="U131" s="26"/>
    </row>
    <row r="132" spans="1:26" s="139" customFormat="1" ht="15.75" x14ac:dyDescent="0.25">
      <c r="A132" s="26"/>
      <c r="C132" s="28"/>
      <c r="E132" s="20"/>
      <c r="F132" s="20"/>
      <c r="G132" s="19"/>
      <c r="I132" s="45"/>
      <c r="J132" s="30"/>
      <c r="K132" s="31"/>
      <c r="L132" s="31"/>
      <c r="M132" s="31"/>
      <c r="N132" s="31"/>
      <c r="O132" s="31"/>
      <c r="Q132" s="26"/>
      <c r="S132" s="62"/>
      <c r="T132" s="32"/>
      <c r="U132" s="26"/>
      <c r="W132" s="150"/>
      <c r="Y132" s="153"/>
    </row>
    <row r="133" spans="1:26" s="139" customFormat="1" ht="15.75" x14ac:dyDescent="0.25">
      <c r="A133" s="26">
        <v>330.1</v>
      </c>
      <c r="C133" s="57" t="s">
        <v>91</v>
      </c>
      <c r="E133" s="20"/>
      <c r="F133" s="20"/>
      <c r="G133" s="19"/>
      <c r="I133" s="45"/>
      <c r="J133" s="30"/>
      <c r="K133" s="31"/>
      <c r="L133" s="31"/>
      <c r="M133" s="31"/>
      <c r="N133" s="31"/>
      <c r="O133" s="31"/>
      <c r="Q133" s="26"/>
      <c r="S133" s="62"/>
      <c r="T133" s="32"/>
      <c r="U133" s="26"/>
      <c r="W133" s="150"/>
      <c r="Y133" s="153"/>
    </row>
    <row r="134" spans="1:26" x14ac:dyDescent="0.2">
      <c r="A134" s="26"/>
      <c r="B134" s="139"/>
      <c r="C134" s="28" t="s">
        <v>57</v>
      </c>
      <c r="D134" s="139"/>
      <c r="E134" s="20" t="s">
        <v>137</v>
      </c>
      <c r="F134" s="20" t="s">
        <v>64</v>
      </c>
      <c r="G134" s="19">
        <v>0</v>
      </c>
      <c r="H134" s="139"/>
      <c r="I134" s="241">
        <v>879311.47</v>
      </c>
      <c r="J134" s="72"/>
      <c r="K134" s="73">
        <v>879311</v>
      </c>
      <c r="L134" s="75"/>
      <c r="M134" s="200">
        <f t="shared" ref="M134" si="29">+((1-G134)*I134)-K134</f>
        <v>0.46999999997206032</v>
      </c>
      <c r="N134" s="75"/>
      <c r="O134" s="45">
        <v>0</v>
      </c>
      <c r="P134" s="139"/>
      <c r="Q134" s="116" t="str">
        <f>IF(O134/I134*100=0,"-     ",ROUND(O134/I134*100,2))</f>
        <v xml:space="preserve">-     </v>
      </c>
      <c r="S134" s="117" t="s">
        <v>297</v>
      </c>
      <c r="T134" s="32"/>
      <c r="U134" s="116" t="s">
        <v>297</v>
      </c>
      <c r="W134" s="145">
        <v>0</v>
      </c>
      <c r="Y134" s="144">
        <f>O134-W134</f>
        <v>0</v>
      </c>
    </row>
    <row r="135" spans="1:26" x14ac:dyDescent="0.2">
      <c r="A135" s="26"/>
      <c r="B135" s="139"/>
      <c r="C135" s="28"/>
      <c r="D135" s="139"/>
      <c r="E135" s="20"/>
      <c r="F135" s="20"/>
      <c r="G135" s="19"/>
      <c r="H135" s="139"/>
      <c r="I135" s="104"/>
      <c r="J135" s="72"/>
      <c r="K135" s="75"/>
      <c r="L135" s="75"/>
      <c r="M135" s="75"/>
      <c r="N135" s="75"/>
      <c r="O135" s="75"/>
      <c r="P135" s="139"/>
      <c r="Q135" s="26"/>
      <c r="R135" s="139"/>
      <c r="S135" s="62"/>
      <c r="T135" s="32"/>
      <c r="U135" s="26"/>
      <c r="Y135" s="159"/>
    </row>
    <row r="136" spans="1:26" x14ac:dyDescent="0.2">
      <c r="A136" s="26"/>
      <c r="B136" s="139"/>
      <c r="C136" s="76" t="s">
        <v>65</v>
      </c>
      <c r="D136" s="139"/>
      <c r="E136" s="20"/>
      <c r="F136" s="20"/>
      <c r="G136" s="19"/>
      <c r="H136" s="139"/>
      <c r="I136" s="104">
        <f>I134</f>
        <v>879311.47</v>
      </c>
      <c r="J136" s="72"/>
      <c r="K136" s="104">
        <f>K134</f>
        <v>879311</v>
      </c>
      <c r="L136" s="75"/>
      <c r="M136" s="104">
        <f>M134</f>
        <v>0.46999999997206032</v>
      </c>
      <c r="N136" s="75"/>
      <c r="O136" s="104">
        <f>O134</f>
        <v>0</v>
      </c>
      <c r="P136" s="139"/>
      <c r="Q136" s="116" t="str">
        <f>IF(O136/I136*100=0,"-     ",ROUND(O136/I136*100,2))</f>
        <v xml:space="preserve">-     </v>
      </c>
      <c r="S136" s="117" t="s">
        <v>297</v>
      </c>
      <c r="T136" s="32"/>
      <c r="U136" s="116" t="s">
        <v>297</v>
      </c>
      <c r="W136" s="104">
        <f>W134</f>
        <v>0</v>
      </c>
      <c r="Y136" s="104">
        <f>Y134</f>
        <v>0</v>
      </c>
    </row>
    <row r="137" spans="1:26" x14ac:dyDescent="0.2">
      <c r="A137" s="26"/>
      <c r="B137" s="139"/>
      <c r="C137" s="28"/>
      <c r="D137" s="139"/>
      <c r="E137" s="20"/>
      <c r="F137" s="20"/>
      <c r="G137" s="19"/>
      <c r="H137" s="139"/>
      <c r="I137" s="104"/>
      <c r="J137" s="72"/>
      <c r="K137" s="75"/>
      <c r="L137" s="75"/>
      <c r="M137" s="75"/>
      <c r="N137" s="75"/>
      <c r="O137" s="75"/>
      <c r="P137" s="139"/>
      <c r="Q137" s="26"/>
      <c r="R137" s="139"/>
      <c r="S137" s="62"/>
      <c r="T137" s="32"/>
      <c r="U137" s="26"/>
    </row>
    <row r="138" spans="1:26" x14ac:dyDescent="0.2">
      <c r="A138" s="26">
        <v>331</v>
      </c>
      <c r="B138" s="139"/>
      <c r="C138" s="28" t="s">
        <v>35</v>
      </c>
      <c r="D138" s="139"/>
      <c r="E138" s="20"/>
      <c r="F138" s="20"/>
      <c r="G138" s="19"/>
      <c r="H138" s="139"/>
      <c r="I138" s="104"/>
      <c r="J138" s="72"/>
      <c r="K138" s="75"/>
      <c r="L138" s="75"/>
      <c r="M138" s="75"/>
      <c r="N138" s="75"/>
      <c r="O138" s="75"/>
      <c r="P138" s="139"/>
      <c r="Q138" s="26"/>
      <c r="R138" s="139"/>
      <c r="S138" s="62"/>
      <c r="T138" s="32"/>
      <c r="U138" s="26"/>
    </row>
    <row r="139" spans="1:26" x14ac:dyDescent="0.2">
      <c r="A139" s="26"/>
      <c r="B139" s="139"/>
      <c r="C139" s="28" t="s">
        <v>58</v>
      </c>
      <c r="D139" s="139"/>
      <c r="E139" s="20" t="s">
        <v>138</v>
      </c>
      <c r="F139" s="20" t="s">
        <v>64</v>
      </c>
      <c r="G139" s="234">
        <f>'Spanos KU Prod No Term. NS'!U78</f>
        <v>-0.01</v>
      </c>
      <c r="H139" s="139"/>
      <c r="I139" s="241">
        <v>616526.68999999994</v>
      </c>
      <c r="J139" s="72"/>
      <c r="K139" s="73">
        <v>353805</v>
      </c>
      <c r="L139" s="75"/>
      <c r="M139" s="200">
        <f t="shared" ref="M139" si="30">+((1-G139)*I139)-K139</f>
        <v>268886.95689999999</v>
      </c>
      <c r="N139" s="75"/>
      <c r="O139" s="45">
        <f t="shared" ref="O139" si="31">M139/S139</f>
        <v>9603.1056035714282</v>
      </c>
      <c r="P139" s="139"/>
      <c r="Q139" s="116">
        <f>IF(O139/I139*100=0,"-     ",ROUND(O139/I139*100,2))</f>
        <v>1.56</v>
      </c>
      <c r="S139" s="117">
        <v>28</v>
      </c>
      <c r="T139" s="32"/>
      <c r="U139" s="116">
        <v>1.74</v>
      </c>
      <c r="W139" s="145">
        <f t="shared" ref="W139" si="32">(I139/100)*U139</f>
        <v>10727.564406</v>
      </c>
      <c r="Y139" s="159">
        <f>O139-W139</f>
        <v>-1124.4588024285713</v>
      </c>
    </row>
    <row r="140" spans="1:26" x14ac:dyDescent="0.2">
      <c r="A140" s="26"/>
      <c r="B140" s="139"/>
      <c r="C140" s="28"/>
      <c r="D140" s="139"/>
      <c r="E140" s="20"/>
      <c r="F140" s="20"/>
      <c r="G140" s="234"/>
      <c r="H140" s="139"/>
      <c r="I140" s="104"/>
      <c r="J140" s="72"/>
      <c r="K140" s="75"/>
      <c r="L140" s="75"/>
      <c r="M140" s="75"/>
      <c r="N140" s="75"/>
      <c r="O140" s="75"/>
      <c r="P140" s="139"/>
      <c r="Q140" s="26"/>
      <c r="R140" s="139"/>
      <c r="S140" s="62"/>
      <c r="T140" s="32"/>
      <c r="U140" s="26"/>
    </row>
    <row r="141" spans="1:26" x14ac:dyDescent="0.2">
      <c r="A141" s="26"/>
      <c r="B141" s="139"/>
      <c r="C141" s="76" t="s">
        <v>66</v>
      </c>
      <c r="D141" s="139"/>
      <c r="E141" s="20"/>
      <c r="F141" s="20"/>
      <c r="G141" s="234"/>
      <c r="H141" s="139"/>
      <c r="I141" s="104">
        <f>I139</f>
        <v>616526.68999999994</v>
      </c>
      <c r="J141" s="72"/>
      <c r="K141" s="104">
        <f>K139</f>
        <v>353805</v>
      </c>
      <c r="L141" s="75"/>
      <c r="M141" s="104">
        <f>M139</f>
        <v>268886.95689999999</v>
      </c>
      <c r="N141" s="75"/>
      <c r="O141" s="104">
        <f>O139</f>
        <v>9603.1056035714282</v>
      </c>
      <c r="P141" s="139"/>
      <c r="Q141" s="116">
        <f>IF(O141/I141*100=0,"-     ",ROUND(O141/I141*100,2))</f>
        <v>1.56</v>
      </c>
      <c r="S141" s="117">
        <v>28</v>
      </c>
      <c r="T141" s="32"/>
      <c r="U141" s="116">
        <v>1.74</v>
      </c>
      <c r="W141" s="104">
        <f>W139</f>
        <v>10727.564406</v>
      </c>
      <c r="Y141" s="104">
        <f>Y139</f>
        <v>-1124.4588024285713</v>
      </c>
    </row>
    <row r="142" spans="1:26" x14ac:dyDescent="0.2">
      <c r="A142" s="26"/>
      <c r="B142" s="139"/>
      <c r="C142" s="28"/>
      <c r="D142" s="139"/>
      <c r="E142" s="20"/>
      <c r="F142" s="20"/>
      <c r="G142" s="234"/>
      <c r="H142" s="139"/>
      <c r="I142" s="104"/>
      <c r="J142" s="72"/>
      <c r="K142" s="75"/>
      <c r="L142" s="75"/>
      <c r="M142" s="75"/>
      <c r="N142" s="75"/>
      <c r="O142" s="75"/>
      <c r="P142" s="139"/>
      <c r="Q142" s="26"/>
      <c r="R142" s="139"/>
      <c r="S142" s="62"/>
      <c r="T142" s="32"/>
      <c r="U142" s="26"/>
    </row>
    <row r="143" spans="1:26" x14ac:dyDescent="0.2">
      <c r="A143" s="26">
        <v>332</v>
      </c>
      <c r="B143" s="139"/>
      <c r="C143" s="57" t="s">
        <v>171</v>
      </c>
      <c r="D143" s="139"/>
      <c r="E143" s="56"/>
      <c r="F143" s="56"/>
      <c r="G143" s="235"/>
      <c r="H143" s="139"/>
      <c r="I143" s="104"/>
      <c r="J143" s="72"/>
      <c r="K143" s="75"/>
      <c r="L143" s="75"/>
      <c r="M143" s="75"/>
      <c r="N143" s="75"/>
      <c r="O143" s="75"/>
      <c r="P143" s="139"/>
      <c r="Q143" s="26"/>
      <c r="R143" s="139"/>
      <c r="S143" s="62"/>
      <c r="T143" s="32"/>
      <c r="U143" s="26"/>
    </row>
    <row r="144" spans="1:26" x14ac:dyDescent="0.2">
      <c r="A144" s="26"/>
      <c r="B144" s="139"/>
      <c r="C144" s="28" t="s">
        <v>58</v>
      </c>
      <c r="D144" s="139"/>
      <c r="E144" s="20" t="s">
        <v>133</v>
      </c>
      <c r="F144" s="20" t="s">
        <v>64</v>
      </c>
      <c r="G144" s="234">
        <f>'Spanos KU Prod No Term. NS'!U79</f>
        <v>-0.01</v>
      </c>
      <c r="H144" s="139"/>
      <c r="I144" s="78">
        <v>21603969.66</v>
      </c>
      <c r="J144" s="54"/>
      <c r="K144" s="78">
        <v>6697620</v>
      </c>
      <c r="L144" s="111"/>
      <c r="M144" s="200">
        <f t="shared" ref="M144" si="33">+((1-G144)*I144)-K144</f>
        <v>15122389.356600001</v>
      </c>
      <c r="N144" s="111"/>
      <c r="O144" s="45">
        <f t="shared" ref="O144" si="34">M144/S144</f>
        <v>521461.70195172419</v>
      </c>
      <c r="P144" s="139"/>
      <c r="Q144" s="116">
        <f>IF(O144/I144*100=0,"-     ",ROUND(O144/I144*100,2))</f>
        <v>2.41</v>
      </c>
      <c r="S144" s="117">
        <v>29</v>
      </c>
      <c r="T144" s="32"/>
      <c r="U144" s="116">
        <v>2.59</v>
      </c>
      <c r="W144" s="145">
        <f t="shared" ref="W144" si="35">(I144/100)*U144</f>
        <v>559542.81419399998</v>
      </c>
      <c r="Y144" s="159">
        <f>O144-W144</f>
        <v>-38081.112242275791</v>
      </c>
    </row>
    <row r="145" spans="1:25" x14ac:dyDescent="0.2">
      <c r="A145" s="26"/>
      <c r="B145" s="139"/>
      <c r="C145" s="28"/>
      <c r="D145" s="139"/>
      <c r="E145" s="20"/>
      <c r="F145" s="20"/>
      <c r="G145" s="234"/>
      <c r="H145" s="139"/>
      <c r="I145" s="104"/>
      <c r="J145" s="72"/>
      <c r="K145" s="75"/>
      <c r="L145" s="75"/>
      <c r="M145" s="75"/>
      <c r="N145" s="75"/>
      <c r="O145" s="75"/>
      <c r="P145" s="139"/>
      <c r="Q145" s="26"/>
      <c r="R145" s="139"/>
      <c r="S145" s="62"/>
      <c r="T145" s="32"/>
      <c r="U145" s="26"/>
      <c r="W145" s="152"/>
    </row>
    <row r="146" spans="1:25" x14ac:dyDescent="0.2">
      <c r="A146" s="26"/>
      <c r="B146" s="139"/>
      <c r="C146" s="115" t="s">
        <v>172</v>
      </c>
      <c r="D146" s="139"/>
      <c r="E146" s="20"/>
      <c r="F146" s="20"/>
      <c r="G146" s="234"/>
      <c r="H146" s="139"/>
      <c r="I146" s="104">
        <f>I144</f>
        <v>21603969.66</v>
      </c>
      <c r="J146" s="72"/>
      <c r="K146" s="104">
        <f>K144</f>
        <v>6697620</v>
      </c>
      <c r="L146" s="75"/>
      <c r="M146" s="104">
        <f>M144</f>
        <v>15122389.356600001</v>
      </c>
      <c r="N146" s="75"/>
      <c r="O146" s="104">
        <f>O144</f>
        <v>521461.70195172419</v>
      </c>
      <c r="P146" s="139"/>
      <c r="Q146" s="116">
        <f>IF(O146/I146*100=0,"-     ",ROUND(O146/I146*100,2))</f>
        <v>2.41</v>
      </c>
      <c r="S146" s="117">
        <v>29</v>
      </c>
      <c r="T146" s="32"/>
      <c r="U146" s="116">
        <v>2.59</v>
      </c>
      <c r="W146" s="104">
        <f>W144</f>
        <v>559542.81419399998</v>
      </c>
      <c r="Y146" s="104">
        <f>Y144</f>
        <v>-38081.112242275791</v>
      </c>
    </row>
    <row r="147" spans="1:25" x14ac:dyDescent="0.2">
      <c r="A147" s="26"/>
      <c r="B147" s="139"/>
      <c r="C147" s="28"/>
      <c r="D147" s="139"/>
      <c r="E147" s="20"/>
      <c r="F147" s="20"/>
      <c r="G147" s="234"/>
      <c r="H147" s="139"/>
      <c r="I147" s="104"/>
      <c r="J147" s="72"/>
      <c r="K147" s="75"/>
      <c r="L147" s="75"/>
      <c r="M147" s="75"/>
      <c r="N147" s="75"/>
      <c r="O147" s="75"/>
      <c r="P147" s="139"/>
      <c r="Q147" s="26"/>
      <c r="R147" s="139"/>
      <c r="S147" s="62"/>
      <c r="T147" s="32"/>
      <c r="U147" s="26"/>
    </row>
    <row r="148" spans="1:25" x14ac:dyDescent="0.2">
      <c r="A148" s="26">
        <v>333</v>
      </c>
      <c r="B148" s="139"/>
      <c r="C148" s="57" t="s">
        <v>173</v>
      </c>
      <c r="D148" s="139"/>
      <c r="E148" s="20"/>
      <c r="F148" s="20"/>
      <c r="G148" s="234"/>
      <c r="H148" s="139"/>
      <c r="I148" s="104"/>
      <c r="J148" s="72"/>
      <c r="K148" s="75"/>
      <c r="L148" s="75"/>
      <c r="M148" s="75"/>
      <c r="N148" s="75"/>
      <c r="O148" s="75"/>
      <c r="P148" s="139"/>
      <c r="Q148" s="26"/>
      <c r="R148" s="139"/>
      <c r="S148" s="62"/>
      <c r="T148" s="32"/>
      <c r="U148" s="26"/>
    </row>
    <row r="149" spans="1:25" x14ac:dyDescent="0.2">
      <c r="A149" s="26"/>
      <c r="B149" s="139"/>
      <c r="C149" s="28" t="s">
        <v>59</v>
      </c>
      <c r="D149" s="139"/>
      <c r="E149" s="20" t="s">
        <v>193</v>
      </c>
      <c r="F149" s="20" t="s">
        <v>64</v>
      </c>
      <c r="G149" s="234">
        <f>'Spanos KU Prod No Term. NS'!U80</f>
        <v>-0.01</v>
      </c>
      <c r="H149" s="139"/>
      <c r="I149" s="78">
        <v>4430624.3099999996</v>
      </c>
      <c r="J149" s="54"/>
      <c r="K149" s="78">
        <v>19710</v>
      </c>
      <c r="L149" s="111"/>
      <c r="M149" s="200">
        <f t="shared" ref="M149" si="36">+((1-G149)*I149)-K149</f>
        <v>4455220.5530999992</v>
      </c>
      <c r="N149" s="111"/>
      <c r="O149" s="45">
        <f t="shared" ref="O149" si="37">M149/S149</f>
        <v>159115.0197535714</v>
      </c>
      <c r="P149" s="139"/>
      <c r="Q149" s="116">
        <f>IF(O149/I149*100=0,"-     ",ROUND(O149/I149*100,2))</f>
        <v>3.59</v>
      </c>
      <c r="S149" s="117">
        <v>28</v>
      </c>
      <c r="T149" s="32"/>
      <c r="U149" s="116">
        <v>3.77</v>
      </c>
      <c r="W149" s="145">
        <f t="shared" ref="W149" si="38">(I149/100)*U149</f>
        <v>167034.53648699998</v>
      </c>
      <c r="Y149" s="159">
        <f>O149-W149</f>
        <v>-7919.5167334285798</v>
      </c>
    </row>
    <row r="150" spans="1:25" x14ac:dyDescent="0.2">
      <c r="A150" s="26"/>
      <c r="B150" s="139"/>
      <c r="C150" s="28"/>
      <c r="D150" s="139"/>
      <c r="E150" s="20"/>
      <c r="F150" s="20"/>
      <c r="G150" s="234"/>
      <c r="H150" s="139"/>
      <c r="I150" s="104"/>
      <c r="J150" s="72"/>
      <c r="K150" s="75"/>
      <c r="L150" s="75"/>
      <c r="M150" s="75"/>
      <c r="N150" s="75"/>
      <c r="O150" s="75"/>
      <c r="P150" s="139"/>
      <c r="Q150" s="26"/>
      <c r="R150" s="139"/>
      <c r="S150" s="62"/>
      <c r="T150" s="32"/>
      <c r="U150" s="26"/>
    </row>
    <row r="151" spans="1:25" x14ac:dyDescent="0.2">
      <c r="A151" s="26"/>
      <c r="B151" s="139"/>
      <c r="C151" s="115" t="s">
        <v>174</v>
      </c>
      <c r="D151" s="139"/>
      <c r="E151" s="20"/>
      <c r="F151" s="20"/>
      <c r="G151" s="234"/>
      <c r="H151" s="139"/>
      <c r="I151" s="104">
        <f>I149</f>
        <v>4430624.3099999996</v>
      </c>
      <c r="J151" s="72"/>
      <c r="K151" s="104">
        <f>K149</f>
        <v>19710</v>
      </c>
      <c r="L151" s="75"/>
      <c r="M151" s="104">
        <f>M149</f>
        <v>4455220.5530999992</v>
      </c>
      <c r="N151" s="75"/>
      <c r="O151" s="104">
        <f>O149</f>
        <v>159115.0197535714</v>
      </c>
      <c r="P151" s="139"/>
      <c r="Q151" s="116">
        <f>IF(O151/I151*100=0,"-     ",ROUND(O151/I151*100,2))</f>
        <v>3.59</v>
      </c>
      <c r="S151" s="117">
        <v>28</v>
      </c>
      <c r="T151" s="32"/>
      <c r="U151" s="116">
        <v>3.77</v>
      </c>
      <c r="W151" s="104">
        <f>W149</f>
        <v>167034.53648699998</v>
      </c>
      <c r="Y151" s="104">
        <f>Y149</f>
        <v>-7919.5167334285798</v>
      </c>
    </row>
    <row r="152" spans="1:25" x14ac:dyDescent="0.2">
      <c r="A152" s="26"/>
      <c r="B152" s="139"/>
      <c r="C152" s="28"/>
      <c r="D152" s="139"/>
      <c r="E152" s="20"/>
      <c r="F152" s="20"/>
      <c r="G152" s="234"/>
      <c r="H152" s="139"/>
      <c r="I152" s="104"/>
      <c r="J152" s="72"/>
      <c r="K152" s="75"/>
      <c r="L152" s="75"/>
      <c r="M152" s="75"/>
      <c r="N152" s="75"/>
      <c r="O152" s="75"/>
      <c r="P152" s="139"/>
      <c r="Q152" s="26"/>
      <c r="R152" s="139"/>
      <c r="S152" s="62"/>
      <c r="T152" s="32"/>
      <c r="U152" s="26"/>
    </row>
    <row r="153" spans="1:25" x14ac:dyDescent="0.2">
      <c r="A153" s="26">
        <v>334</v>
      </c>
      <c r="B153" s="139"/>
      <c r="C153" s="28" t="s">
        <v>60</v>
      </c>
      <c r="D153" s="139"/>
      <c r="E153" s="20"/>
      <c r="F153" s="20"/>
      <c r="G153" s="234"/>
      <c r="H153" s="139"/>
      <c r="I153" s="104"/>
      <c r="J153" s="72"/>
      <c r="K153" s="75"/>
      <c r="L153" s="75"/>
      <c r="M153" s="75"/>
      <c r="N153" s="75"/>
      <c r="O153" s="75"/>
      <c r="P153" s="139"/>
      <c r="Q153" s="26"/>
      <c r="R153" s="139"/>
      <c r="S153" s="62"/>
      <c r="T153" s="32"/>
      <c r="U153" s="26"/>
    </row>
    <row r="154" spans="1:25" x14ac:dyDescent="0.2">
      <c r="A154" s="26"/>
      <c r="B154" s="139"/>
      <c r="C154" s="28" t="s">
        <v>59</v>
      </c>
      <c r="D154" s="139"/>
      <c r="E154" s="20" t="s">
        <v>139</v>
      </c>
      <c r="F154" s="20" t="s">
        <v>64</v>
      </c>
      <c r="G154" s="234">
        <f>'Spanos KU Prod No Term. NS'!U81</f>
        <v>-0.01</v>
      </c>
      <c r="H154" s="139"/>
      <c r="I154" s="241">
        <v>578333.28</v>
      </c>
      <c r="J154" s="72"/>
      <c r="K154" s="73">
        <v>90045</v>
      </c>
      <c r="L154" s="75"/>
      <c r="M154" s="200">
        <f t="shared" ref="M154" si="39">+((1-G154)*I154)-K154</f>
        <v>494071.6128</v>
      </c>
      <c r="N154" s="75"/>
      <c r="O154" s="45">
        <f t="shared" ref="O154" si="40">M154/S154</f>
        <v>20002.899303643724</v>
      </c>
      <c r="P154" s="139"/>
      <c r="Q154" s="116">
        <f>IF(O154/I154*100=0,"-     ",ROUND(O154/I154*100,2))</f>
        <v>3.46</v>
      </c>
      <c r="S154" s="117">
        <v>24.7</v>
      </c>
      <c r="T154" s="32"/>
      <c r="U154" s="116">
        <v>3.65</v>
      </c>
      <c r="W154" s="145">
        <f t="shared" ref="W154" si="41">(I154/100)*U154</f>
        <v>21109.164720000001</v>
      </c>
      <c r="Y154" s="159">
        <f>O154-W154</f>
        <v>-1106.2654163562765</v>
      </c>
    </row>
    <row r="155" spans="1:25" x14ac:dyDescent="0.2">
      <c r="A155" s="26"/>
      <c r="B155" s="139"/>
      <c r="C155" s="28"/>
      <c r="D155" s="139"/>
      <c r="E155" s="20"/>
      <c r="F155" s="20"/>
      <c r="G155" s="234"/>
      <c r="H155" s="139"/>
      <c r="I155" s="104"/>
      <c r="J155" s="72"/>
      <c r="K155" s="75"/>
      <c r="L155" s="75"/>
      <c r="M155" s="75"/>
      <c r="N155" s="75"/>
      <c r="O155" s="75"/>
      <c r="P155" s="139"/>
      <c r="Q155" s="26"/>
      <c r="R155" s="139"/>
      <c r="S155" s="62"/>
      <c r="T155" s="32"/>
      <c r="U155" s="26"/>
    </row>
    <row r="156" spans="1:25" x14ac:dyDescent="0.2">
      <c r="A156" s="26"/>
      <c r="B156" s="139"/>
      <c r="C156" s="76" t="s">
        <v>67</v>
      </c>
      <c r="D156" s="139"/>
      <c r="E156" s="20"/>
      <c r="F156" s="20"/>
      <c r="G156" s="234"/>
      <c r="H156" s="139"/>
      <c r="I156" s="104">
        <f>I154</f>
        <v>578333.28</v>
      </c>
      <c r="J156" s="72"/>
      <c r="K156" s="104">
        <f>K154</f>
        <v>90045</v>
      </c>
      <c r="L156" s="75"/>
      <c r="M156" s="104">
        <f>M154</f>
        <v>494071.6128</v>
      </c>
      <c r="N156" s="75"/>
      <c r="O156" s="104">
        <f>O154</f>
        <v>20002.899303643724</v>
      </c>
      <c r="P156" s="139"/>
      <c r="Q156" s="116">
        <f>IF(O156/I156*100=0,"-     ",ROUND(O156/I156*100,2))</f>
        <v>3.46</v>
      </c>
      <c r="S156" s="117">
        <v>24.7</v>
      </c>
      <c r="T156" s="32"/>
      <c r="U156" s="116">
        <v>3.65</v>
      </c>
      <c r="W156" s="104">
        <f>W154</f>
        <v>21109.164720000001</v>
      </c>
      <c r="Y156" s="144">
        <f>O156-W156</f>
        <v>-1106.2654163562765</v>
      </c>
    </row>
    <row r="157" spans="1:25" x14ac:dyDescent="0.2">
      <c r="A157" s="26"/>
      <c r="B157" s="139"/>
      <c r="C157" s="28"/>
      <c r="D157" s="139"/>
      <c r="E157" s="20"/>
      <c r="F157" s="20"/>
      <c r="G157" s="234"/>
      <c r="H157" s="139"/>
      <c r="I157" s="104"/>
      <c r="J157" s="72"/>
      <c r="K157" s="75"/>
      <c r="L157" s="75"/>
      <c r="M157" s="75"/>
      <c r="N157" s="75"/>
      <c r="O157" s="75"/>
      <c r="P157" s="139"/>
      <c r="Q157" s="26"/>
      <c r="R157" s="139"/>
      <c r="S157" s="62"/>
      <c r="T157" s="32"/>
      <c r="U157" s="26"/>
    </row>
    <row r="158" spans="1:25" x14ac:dyDescent="0.2">
      <c r="A158" s="26">
        <v>335</v>
      </c>
      <c r="B158" s="139"/>
      <c r="C158" s="28" t="s">
        <v>69</v>
      </c>
      <c r="D158" s="139"/>
      <c r="E158" s="20"/>
      <c r="F158" s="20"/>
      <c r="G158" s="234"/>
      <c r="H158" s="139"/>
      <c r="I158" s="104"/>
      <c r="J158" s="72"/>
      <c r="K158" s="75"/>
      <c r="L158" s="75"/>
      <c r="M158" s="75"/>
      <c r="N158" s="75"/>
      <c r="O158" s="75"/>
      <c r="P158" s="139"/>
      <c r="Q158" s="26"/>
      <c r="R158" s="139"/>
      <c r="S158" s="62"/>
      <c r="T158" s="32"/>
      <c r="U158" s="26"/>
    </row>
    <row r="159" spans="1:25" x14ac:dyDescent="0.2">
      <c r="A159" s="26"/>
      <c r="B159" s="139"/>
      <c r="C159" s="28" t="s">
        <v>59</v>
      </c>
      <c r="D159" s="139"/>
      <c r="E159" s="20" t="s">
        <v>140</v>
      </c>
      <c r="F159" s="20" t="s">
        <v>64</v>
      </c>
      <c r="G159" s="234">
        <f>'Spanos KU Prod No Term. NS'!U82</f>
        <v>-0.01</v>
      </c>
      <c r="H159" s="139"/>
      <c r="I159" s="241">
        <v>297023.86</v>
      </c>
      <c r="J159" s="72"/>
      <c r="K159" s="73">
        <v>85989</v>
      </c>
      <c r="L159" s="75"/>
      <c r="M159" s="200">
        <f t="shared" ref="M159" si="42">+((1-G159)*I159)-K159</f>
        <v>214005.09859999997</v>
      </c>
      <c r="N159" s="75"/>
      <c r="O159" s="45">
        <f t="shared" ref="O159" si="43">M159/S159</f>
        <v>12663.023585798815</v>
      </c>
      <c r="P159" s="139"/>
      <c r="Q159" s="116">
        <f>IF(O159/I159*100=0,"-     ",ROUND(O159/I159*100,2))</f>
        <v>4.26</v>
      </c>
      <c r="S159" s="117">
        <v>16.899999999999999</v>
      </c>
      <c r="T159" s="32"/>
      <c r="U159" s="116">
        <v>4.5599999999999996</v>
      </c>
      <c r="W159" s="145">
        <f t="shared" ref="W159" si="44">(I159/100)*U159</f>
        <v>13544.288015999997</v>
      </c>
      <c r="Y159" s="159">
        <f>O159-W159</f>
        <v>-881.26443020118131</v>
      </c>
    </row>
    <row r="160" spans="1:25" x14ac:dyDescent="0.2">
      <c r="A160" s="26"/>
      <c r="B160" s="139"/>
      <c r="C160" s="28"/>
      <c r="D160" s="139"/>
      <c r="E160" s="20"/>
      <c r="F160" s="20"/>
      <c r="G160" s="234"/>
      <c r="H160" s="139"/>
      <c r="I160" s="104"/>
      <c r="J160" s="72"/>
      <c r="K160" s="75"/>
      <c r="L160" s="75"/>
      <c r="M160" s="75"/>
      <c r="N160" s="75"/>
      <c r="O160" s="75"/>
      <c r="P160" s="139"/>
      <c r="Q160" s="26"/>
      <c r="R160" s="139"/>
      <c r="S160" s="62"/>
      <c r="T160" s="32"/>
      <c r="U160" s="26"/>
    </row>
    <row r="161" spans="1:26" x14ac:dyDescent="0.2">
      <c r="A161" s="26"/>
      <c r="B161" s="139"/>
      <c r="C161" s="76" t="s">
        <v>68</v>
      </c>
      <c r="D161" s="139"/>
      <c r="E161" s="20"/>
      <c r="F161" s="20"/>
      <c r="G161" s="234"/>
      <c r="H161" s="139"/>
      <c r="I161" s="104">
        <f>I159</f>
        <v>297023.86</v>
      </c>
      <c r="J161" s="72"/>
      <c r="K161" s="104">
        <f>K159</f>
        <v>85989</v>
      </c>
      <c r="L161" s="75"/>
      <c r="M161" s="104">
        <f>M159</f>
        <v>214005.09859999997</v>
      </c>
      <c r="N161" s="75"/>
      <c r="O161" s="104">
        <f>O159</f>
        <v>12663.023585798815</v>
      </c>
      <c r="P161" s="139"/>
      <c r="Q161" s="116">
        <f>IF(O161/I161*100=0,"-     ",ROUND(O161/I161*100,2))</f>
        <v>4.26</v>
      </c>
      <c r="S161" s="117">
        <v>16.899999999999999</v>
      </c>
      <c r="T161" s="32"/>
      <c r="U161" s="116">
        <v>4.5599999999999996</v>
      </c>
      <c r="W161" s="104">
        <f>W159</f>
        <v>13544.288015999997</v>
      </c>
      <c r="Y161" s="104">
        <f>Y159</f>
        <v>-881.26443020118131</v>
      </c>
    </row>
    <row r="162" spans="1:26" x14ac:dyDescent="0.2">
      <c r="A162" s="26"/>
      <c r="B162" s="139"/>
      <c r="C162" s="28"/>
      <c r="D162" s="139"/>
      <c r="E162" s="20"/>
      <c r="F162" s="20"/>
      <c r="G162" s="234"/>
      <c r="H162" s="139"/>
      <c r="I162" s="104"/>
      <c r="J162" s="72"/>
      <c r="K162" s="75"/>
      <c r="L162" s="75"/>
      <c r="M162" s="75"/>
      <c r="N162" s="75"/>
      <c r="O162" s="75"/>
      <c r="P162" s="139"/>
      <c r="Q162" s="26"/>
      <c r="R162" s="139"/>
      <c r="S162" s="62"/>
      <c r="T162" s="32"/>
      <c r="U162" s="26"/>
    </row>
    <row r="163" spans="1:26" x14ac:dyDescent="0.2">
      <c r="A163" s="26">
        <v>336</v>
      </c>
      <c r="B163" s="139"/>
      <c r="C163" s="57" t="s">
        <v>175</v>
      </c>
      <c r="D163" s="139"/>
      <c r="E163" s="20"/>
      <c r="F163" s="20"/>
      <c r="G163" s="234"/>
      <c r="H163" s="139"/>
      <c r="I163" s="104"/>
      <c r="J163" s="72"/>
      <c r="K163" s="75"/>
      <c r="L163" s="75"/>
      <c r="M163" s="75"/>
      <c r="N163" s="75"/>
      <c r="O163" s="45"/>
      <c r="P163" s="139"/>
      <c r="Q163" s="26"/>
      <c r="R163" s="139"/>
      <c r="S163" s="62"/>
      <c r="T163" s="32"/>
      <c r="U163" s="26"/>
    </row>
    <row r="164" spans="1:26" s="25" customFormat="1" x14ac:dyDescent="0.2">
      <c r="A164" s="79"/>
      <c r="B164" s="72"/>
      <c r="C164" s="28" t="s">
        <v>58</v>
      </c>
      <c r="D164" s="72"/>
      <c r="E164" s="80" t="s">
        <v>141</v>
      </c>
      <c r="F164" s="20" t="s">
        <v>64</v>
      </c>
      <c r="G164" s="236">
        <f>'Spanos KU Prod No Term. NS'!U83</f>
        <v>-0.01</v>
      </c>
      <c r="H164" s="72"/>
      <c r="I164" s="241">
        <v>176359.59</v>
      </c>
      <c r="J164" s="72"/>
      <c r="K164" s="73">
        <v>49946</v>
      </c>
      <c r="L164" s="75"/>
      <c r="M164" s="200">
        <f t="shared" ref="M164" si="45">+((1-G164)*I164)-K164</f>
        <v>128177.18590000001</v>
      </c>
      <c r="N164" s="75"/>
      <c r="O164" s="45">
        <f t="shared" ref="O164" si="46">M164/S164</f>
        <v>6928.4965351351357</v>
      </c>
      <c r="P164" s="72"/>
      <c r="Q164" s="116">
        <f>IF(O164/I164*100=0,"-     ",ROUND(O164/I164*100,2))</f>
        <v>3.93</v>
      </c>
      <c r="R164" s="135"/>
      <c r="S164" s="117">
        <v>18.5</v>
      </c>
      <c r="T164" s="54"/>
      <c r="U164" s="116">
        <v>4.1900000000000004</v>
      </c>
      <c r="W164" s="145">
        <f t="shared" ref="W164" si="47">(I164/100)*U164</f>
        <v>7389.4668210000009</v>
      </c>
      <c r="X164" s="138"/>
      <c r="Y164" s="159">
        <f>O164-W164</f>
        <v>-460.97028586486522</v>
      </c>
    </row>
    <row r="165" spans="1:26" x14ac:dyDescent="0.2">
      <c r="A165" s="26"/>
      <c r="B165" s="139"/>
      <c r="C165" s="28"/>
      <c r="D165" s="139"/>
      <c r="E165" s="20"/>
      <c r="F165" s="20"/>
      <c r="G165" s="19"/>
      <c r="H165" s="139"/>
      <c r="I165" s="104"/>
      <c r="J165" s="72"/>
      <c r="K165" s="75"/>
      <c r="L165" s="75"/>
      <c r="M165" s="75"/>
      <c r="N165" s="75"/>
      <c r="O165" s="75"/>
      <c r="P165" s="139"/>
      <c r="Q165" s="26"/>
      <c r="R165" s="139"/>
      <c r="S165" s="62"/>
      <c r="T165" s="32"/>
      <c r="U165" s="26"/>
    </row>
    <row r="166" spans="1:26" x14ac:dyDescent="0.2">
      <c r="A166" s="26"/>
      <c r="B166" s="139"/>
      <c r="C166" s="76" t="s">
        <v>61</v>
      </c>
      <c r="D166" s="139"/>
      <c r="E166" s="20"/>
      <c r="F166" s="20"/>
      <c r="G166" s="19"/>
      <c r="H166" s="139"/>
      <c r="I166" s="241">
        <f>I164</f>
        <v>176359.59</v>
      </c>
      <c r="J166" s="72"/>
      <c r="K166" s="241">
        <f>K164</f>
        <v>49946</v>
      </c>
      <c r="L166" s="75"/>
      <c r="M166" s="73">
        <f>+SUBTOTAL(9,M164:M165)</f>
        <v>128177.18590000001</v>
      </c>
      <c r="N166" s="75"/>
      <c r="O166" s="73">
        <f>+SUBTOTAL(9,O164:O165)</f>
        <v>6928.4965351351357</v>
      </c>
      <c r="P166" s="139"/>
      <c r="Q166" s="116">
        <f>IF(O166/I166*100=0,"-     ",ROUND(O166/I166*100,2))</f>
        <v>3.93</v>
      </c>
      <c r="S166" s="117">
        <v>18.5</v>
      </c>
      <c r="T166" s="32"/>
      <c r="U166" s="116">
        <v>4.1900000000000004</v>
      </c>
      <c r="W166" s="241">
        <f>W164</f>
        <v>7389.4668210000009</v>
      </c>
      <c r="Y166" s="241">
        <f>Y164</f>
        <v>-460.97028586486522</v>
      </c>
    </row>
    <row r="167" spans="1:26" x14ac:dyDescent="0.2">
      <c r="A167" s="26"/>
      <c r="B167" s="139"/>
      <c r="C167" s="28"/>
      <c r="D167" s="139"/>
      <c r="E167" s="20"/>
      <c r="F167" s="20"/>
      <c r="G167" s="19"/>
      <c r="H167" s="139"/>
      <c r="I167" s="104"/>
      <c r="J167" s="72"/>
      <c r="K167" s="75"/>
      <c r="L167" s="75"/>
      <c r="M167" s="75"/>
      <c r="N167" s="75"/>
      <c r="O167" s="75"/>
      <c r="P167" s="139"/>
      <c r="Q167" s="26"/>
      <c r="R167" s="139"/>
      <c r="S167" s="62"/>
      <c r="T167" s="32"/>
      <c r="U167" s="26"/>
    </row>
    <row r="168" spans="1:26" s="24" customFormat="1" ht="15.75" x14ac:dyDescent="0.25">
      <c r="A168" s="82"/>
      <c r="B168" s="83"/>
      <c r="C168" s="64" t="s">
        <v>188</v>
      </c>
      <c r="D168" s="83"/>
      <c r="E168" s="85"/>
      <c r="F168" s="85"/>
      <c r="G168" s="86"/>
      <c r="H168" s="83"/>
      <c r="I168" s="102">
        <f>SUM(I166,I161,I156,I151,I146,I141,I136)</f>
        <v>28582148.859999999</v>
      </c>
      <c r="J168" s="83"/>
      <c r="K168" s="102">
        <f>SUM(K166,K161,K156,K151,K146,K141,K136)</f>
        <v>8176426</v>
      </c>
      <c r="L168" s="84"/>
      <c r="M168" s="102">
        <f>SUM(M166,M161,M156,M151,M146,M141,M136)</f>
        <v>20682751.233899999</v>
      </c>
      <c r="N168" s="84"/>
      <c r="O168" s="102">
        <f>SUM(O166,O161,O156,O151,O146,O141,O136)</f>
        <v>729774.24673344463</v>
      </c>
      <c r="P168" s="83"/>
      <c r="Q168" s="137">
        <f>+ROUND(O168/I168*100,2)</f>
        <v>2.5499999999999998</v>
      </c>
      <c r="R168" s="139"/>
      <c r="S168" s="62"/>
      <c r="T168" s="112"/>
      <c r="U168" s="242">
        <f>W168/I168</f>
        <v>2.7266943379987699E-2</v>
      </c>
      <c r="W168" s="102">
        <f>SUM(W166,W161,W156,W151,W146,W141,W136)</f>
        <v>779347.83464399993</v>
      </c>
      <c r="X168" s="137"/>
      <c r="Y168" s="102">
        <f>SUM(Y166,Y161,Y156,Y151,Y146,Y141,Y136)</f>
        <v>-49573.587910555267</v>
      </c>
      <c r="Z168" s="257">
        <f>+Y168</f>
        <v>-49573.587910555267</v>
      </c>
    </row>
    <row r="169" spans="1:26" ht="15.75" x14ac:dyDescent="0.25">
      <c r="A169" s="26"/>
      <c r="B169" s="139"/>
      <c r="C169" s="28"/>
      <c r="D169" s="139"/>
      <c r="E169" s="20"/>
      <c r="F169" s="20"/>
      <c r="G169" s="19"/>
      <c r="H169" s="139"/>
      <c r="I169" s="45"/>
      <c r="J169" s="30"/>
      <c r="K169" s="31"/>
      <c r="L169" s="31"/>
      <c r="M169" s="31"/>
      <c r="N169" s="31"/>
      <c r="O169" s="31"/>
      <c r="P169" s="139"/>
      <c r="Q169" s="26"/>
      <c r="R169" s="139"/>
      <c r="S169" s="62"/>
      <c r="T169" s="32"/>
      <c r="U169" s="26"/>
    </row>
    <row r="170" spans="1:26" x14ac:dyDescent="0.2">
      <c r="A170" s="26"/>
      <c r="B170" s="139"/>
      <c r="C170" s="87"/>
      <c r="D170" s="139"/>
      <c r="E170" s="20"/>
      <c r="F170" s="20"/>
      <c r="G170" s="19"/>
      <c r="H170" s="139"/>
      <c r="I170" s="45"/>
      <c r="J170" s="139"/>
      <c r="K170" s="34"/>
      <c r="L170" s="34"/>
      <c r="M170" s="34"/>
      <c r="N170" s="34"/>
      <c r="O170" s="34"/>
      <c r="P170" s="139"/>
      <c r="Q170" s="26"/>
      <c r="R170" s="139"/>
      <c r="S170" s="62"/>
      <c r="T170" s="32"/>
      <c r="U170" s="26"/>
    </row>
    <row r="171" spans="1:26" ht="15.75" x14ac:dyDescent="0.25">
      <c r="A171" s="26"/>
      <c r="B171" s="32"/>
      <c r="C171" s="53" t="s">
        <v>34</v>
      </c>
      <c r="D171" s="32"/>
      <c r="E171" s="20"/>
      <c r="F171" s="20"/>
      <c r="G171" s="19"/>
      <c r="H171" s="32"/>
      <c r="I171" s="45"/>
      <c r="J171" s="32"/>
      <c r="K171" s="34"/>
      <c r="L171" s="34"/>
      <c r="M171" s="34"/>
      <c r="N171" s="34"/>
      <c r="O171" s="34"/>
      <c r="P171" s="32"/>
      <c r="Q171" s="26"/>
      <c r="R171" s="139"/>
      <c r="S171" s="62"/>
      <c r="T171" s="32"/>
      <c r="U171" s="26"/>
    </row>
    <row r="172" spans="1:26" s="139" customFormat="1" x14ac:dyDescent="0.2">
      <c r="A172" s="26"/>
      <c r="C172" s="33"/>
      <c r="E172" s="20"/>
      <c r="F172" s="20"/>
      <c r="G172" s="19"/>
      <c r="I172" s="45"/>
      <c r="K172" s="34"/>
      <c r="L172" s="34"/>
      <c r="M172" s="34"/>
      <c r="N172" s="34"/>
      <c r="O172" s="34"/>
      <c r="Q172" s="26"/>
      <c r="S172" s="62"/>
      <c r="T172" s="32"/>
      <c r="U172" s="26"/>
      <c r="W172" s="150"/>
      <c r="Y172" s="153"/>
    </row>
    <row r="173" spans="1:26" s="140" customFormat="1" x14ac:dyDescent="0.2">
      <c r="A173" s="35">
        <v>340.1</v>
      </c>
      <c r="C173" s="37" t="s">
        <v>91</v>
      </c>
      <c r="E173" s="38"/>
      <c r="F173" s="38"/>
      <c r="G173" s="39"/>
      <c r="I173" s="176"/>
      <c r="K173" s="41"/>
      <c r="L173" s="41"/>
      <c r="M173" s="41"/>
      <c r="N173" s="41"/>
      <c r="O173" s="41"/>
      <c r="Q173" s="26"/>
      <c r="R173" s="139"/>
      <c r="S173" s="62"/>
      <c r="T173" s="42"/>
      <c r="U173" s="26"/>
      <c r="W173" s="151"/>
      <c r="Y173" s="156"/>
    </row>
    <row r="174" spans="1:26" s="136" customFormat="1" x14ac:dyDescent="0.2">
      <c r="A174" s="35"/>
      <c r="B174" s="140"/>
      <c r="C174" s="88" t="s">
        <v>190</v>
      </c>
      <c r="D174" s="140"/>
      <c r="E174" s="38" t="s">
        <v>132</v>
      </c>
      <c r="F174" s="20" t="s">
        <v>64</v>
      </c>
      <c r="G174" s="39">
        <v>0</v>
      </c>
      <c r="H174" s="140"/>
      <c r="I174" s="90">
        <v>176409.31</v>
      </c>
      <c r="J174" s="140"/>
      <c r="K174" s="69">
        <v>99438</v>
      </c>
      <c r="L174" s="41"/>
      <c r="M174" s="200">
        <f t="shared" ref="M174" si="48">+((1-G174)*I174)-K174</f>
        <v>76971.31</v>
      </c>
      <c r="N174" s="41"/>
      <c r="O174" s="45">
        <f t="shared" ref="O174" si="49">M174/S174</f>
        <v>3947.2466666666664</v>
      </c>
      <c r="P174" s="140"/>
      <c r="Q174" s="116">
        <f>IF(O174/I174*100=0,"-     ",ROUND(O174/I174*100,2))</f>
        <v>2.2400000000000002</v>
      </c>
      <c r="R174" s="135"/>
      <c r="S174" s="117">
        <v>19.5</v>
      </c>
      <c r="T174" s="42"/>
      <c r="U174" s="116">
        <v>2.2400000000000002</v>
      </c>
      <c r="W174" s="145">
        <f t="shared" ref="W174" si="50">(I174/100)*U174</f>
        <v>3951.5685440000007</v>
      </c>
      <c r="Y174" s="159">
        <f>O174-W174</f>
        <v>-4.3218773333342142</v>
      </c>
    </row>
    <row r="175" spans="1:26" s="136" customFormat="1" x14ac:dyDescent="0.2">
      <c r="A175" s="35"/>
      <c r="B175" s="140"/>
      <c r="C175" s="37"/>
      <c r="D175" s="140"/>
      <c r="E175" s="38"/>
      <c r="F175" s="38"/>
      <c r="G175" s="39"/>
      <c r="H175" s="140"/>
      <c r="I175" s="176"/>
      <c r="J175" s="140"/>
      <c r="K175" s="41"/>
      <c r="L175" s="41"/>
      <c r="M175" s="41"/>
      <c r="N175" s="41"/>
      <c r="O175" s="41"/>
      <c r="P175" s="140"/>
      <c r="Q175" s="26"/>
      <c r="R175" s="139"/>
      <c r="S175" s="62"/>
      <c r="T175" s="42"/>
      <c r="U175" s="26"/>
      <c r="W175" s="152"/>
      <c r="Y175" s="157"/>
    </row>
    <row r="176" spans="1:26" s="136" customFormat="1" ht="15.75" x14ac:dyDescent="0.25">
      <c r="A176" s="35"/>
      <c r="B176" s="140"/>
      <c r="C176" s="89" t="s">
        <v>89</v>
      </c>
      <c r="D176" s="140"/>
      <c r="E176" s="38"/>
      <c r="F176" s="38"/>
      <c r="G176" s="39"/>
      <c r="H176" s="140"/>
      <c r="I176" s="104">
        <f>I174</f>
        <v>176409.31</v>
      </c>
      <c r="J176" s="72"/>
      <c r="K176" s="74">
        <f>K174</f>
        <v>99438</v>
      </c>
      <c r="L176" s="75"/>
      <c r="M176" s="74">
        <f>M174</f>
        <v>76971.31</v>
      </c>
      <c r="N176" s="75"/>
      <c r="O176" s="74">
        <f>O174</f>
        <v>3947.2466666666664</v>
      </c>
      <c r="P176" s="140"/>
      <c r="Q176" s="116">
        <f>IF(O176/I176*100=0,"-     ",ROUND(O176/I176*100,2))</f>
        <v>2.2400000000000002</v>
      </c>
      <c r="R176" s="135"/>
      <c r="S176" s="117">
        <v>19.5</v>
      </c>
      <c r="T176" s="42"/>
      <c r="U176" s="242">
        <f>W176/I176</f>
        <v>2.2400000000000003E-2</v>
      </c>
      <c r="W176" s="74">
        <f>W174</f>
        <v>3951.5685440000007</v>
      </c>
      <c r="Y176" s="74">
        <f>Y174</f>
        <v>-4.3218773333342142</v>
      </c>
    </row>
    <row r="177" spans="1:25" s="136" customFormat="1" x14ac:dyDescent="0.2">
      <c r="A177" s="35"/>
      <c r="B177" s="140"/>
      <c r="C177" s="37"/>
      <c r="D177" s="140"/>
      <c r="E177" s="38"/>
      <c r="F177" s="38"/>
      <c r="G177" s="39"/>
      <c r="H177" s="140"/>
      <c r="I177" s="176"/>
      <c r="J177" s="140"/>
      <c r="K177" s="41"/>
      <c r="L177" s="41"/>
      <c r="M177" s="41"/>
      <c r="N177" s="41"/>
      <c r="O177" s="41"/>
      <c r="P177" s="140"/>
      <c r="Q177" s="26"/>
      <c r="R177" s="139"/>
      <c r="S177" s="62"/>
      <c r="T177" s="42"/>
      <c r="U177" s="26"/>
      <c r="W177" s="152"/>
      <c r="Y177" s="157"/>
    </row>
    <row r="178" spans="1:25" x14ac:dyDescent="0.2">
      <c r="A178" s="26">
        <v>341</v>
      </c>
      <c r="B178" s="139"/>
      <c r="C178" s="63" t="s">
        <v>35</v>
      </c>
      <c r="D178" s="139"/>
      <c r="E178" s="56"/>
      <c r="F178" s="56"/>
      <c r="G178" s="66"/>
      <c r="H178" s="139"/>
      <c r="I178" s="45"/>
      <c r="J178" s="139"/>
      <c r="K178" s="34"/>
      <c r="L178" s="34"/>
      <c r="M178" s="34"/>
      <c r="N178" s="34"/>
      <c r="O178" s="34"/>
      <c r="P178" s="139"/>
      <c r="Q178" s="26"/>
      <c r="R178" s="139"/>
      <c r="S178" s="62"/>
      <c r="T178" s="32"/>
      <c r="U178" s="26"/>
    </row>
    <row r="179" spans="1:25" x14ac:dyDescent="0.2">
      <c r="A179" s="26"/>
      <c r="B179" s="139"/>
      <c r="C179" s="58" t="s">
        <v>113</v>
      </c>
      <c r="D179" s="139"/>
      <c r="E179" s="20" t="s">
        <v>142</v>
      </c>
      <c r="F179" s="20" t="s">
        <v>64</v>
      </c>
      <c r="G179" s="234">
        <f>'Spanos KU Prod No Term. NS'!U$118</f>
        <v>-0.01</v>
      </c>
      <c r="H179" s="139"/>
      <c r="I179" s="45">
        <v>3740231.32</v>
      </c>
      <c r="J179" s="44"/>
      <c r="K179" s="45">
        <v>1170949</v>
      </c>
      <c r="L179" s="45"/>
      <c r="M179" s="200">
        <f t="shared" ref="M179:M193" si="51">+((1-G179)*I179)-K179</f>
        <v>2606684.6332</v>
      </c>
      <c r="N179" s="45"/>
      <c r="O179" s="45">
        <f t="shared" ref="O179:O193" si="52">M179/S179</f>
        <v>137193.92806315789</v>
      </c>
      <c r="P179" s="139"/>
      <c r="Q179" s="116">
        <f t="shared" ref="Q179:Q193" si="53">IF(O179/I179*100=0,"-     ",ROUND(O179/I179*100,2))</f>
        <v>3.67</v>
      </c>
      <c r="S179" s="117">
        <v>19</v>
      </c>
      <c r="T179" s="32"/>
      <c r="U179" s="116">
        <v>3.87</v>
      </c>
      <c r="W179" s="145">
        <f t="shared" ref="W179:W193" si="54">(I179/100)*U179</f>
        <v>144746.95208399999</v>
      </c>
      <c r="Y179" s="157">
        <f t="shared" ref="Y179:Y193" si="55">O179-W179</f>
        <v>-7553.0240208421019</v>
      </c>
    </row>
    <row r="180" spans="1:25" x14ac:dyDescent="0.2">
      <c r="A180" s="26"/>
      <c r="B180" s="139"/>
      <c r="C180" s="58" t="s">
        <v>114</v>
      </c>
      <c r="D180" s="139"/>
      <c r="E180" s="20" t="s">
        <v>142</v>
      </c>
      <c r="F180" s="20" t="s">
        <v>64</v>
      </c>
      <c r="G180" s="234">
        <f>'Spanos KU Prod No Term. NS'!U$118</f>
        <v>-0.01</v>
      </c>
      <c r="H180" s="139"/>
      <c r="I180" s="45">
        <v>3588684.24</v>
      </c>
      <c r="J180" s="44"/>
      <c r="K180" s="45">
        <v>1130371</v>
      </c>
      <c r="L180" s="45"/>
      <c r="M180" s="200">
        <f t="shared" si="51"/>
        <v>2494200.0824000002</v>
      </c>
      <c r="N180" s="45"/>
      <c r="O180" s="45">
        <f t="shared" si="52"/>
        <v>131273.68854736842</v>
      </c>
      <c r="P180" s="139"/>
      <c r="Q180" s="116">
        <f t="shared" si="53"/>
        <v>3.66</v>
      </c>
      <c r="S180" s="117">
        <v>19</v>
      </c>
      <c r="T180" s="32"/>
      <c r="U180" s="116">
        <v>3.86</v>
      </c>
      <c r="W180" s="145">
        <f t="shared" si="54"/>
        <v>138523.211664</v>
      </c>
      <c r="Y180" s="157">
        <f t="shared" si="55"/>
        <v>-7249.5231166315789</v>
      </c>
    </row>
    <row r="181" spans="1:25" x14ac:dyDescent="0.2">
      <c r="A181" s="26"/>
      <c r="B181" s="139"/>
      <c r="C181" s="58" t="s">
        <v>115</v>
      </c>
      <c r="D181" s="139"/>
      <c r="E181" s="20" t="s">
        <v>142</v>
      </c>
      <c r="F181" s="20" t="s">
        <v>64</v>
      </c>
      <c r="G181" s="234">
        <f>'Spanos KU Prod No Term. NS'!U$118</f>
        <v>-0.01</v>
      </c>
      <c r="H181" s="139"/>
      <c r="I181" s="45">
        <v>3559154.97</v>
      </c>
      <c r="J181" s="44"/>
      <c r="K181" s="45">
        <v>909260</v>
      </c>
      <c r="L181" s="45"/>
      <c r="M181" s="200">
        <f t="shared" si="51"/>
        <v>2685486.5197000001</v>
      </c>
      <c r="N181" s="45"/>
      <c r="O181" s="45">
        <f t="shared" si="52"/>
        <v>128492.17797607656</v>
      </c>
      <c r="P181" s="139"/>
      <c r="Q181" s="116">
        <f t="shared" si="53"/>
        <v>3.61</v>
      </c>
      <c r="S181" s="117">
        <v>20.9</v>
      </c>
      <c r="T181" s="32"/>
      <c r="U181" s="116">
        <v>3.8</v>
      </c>
      <c r="W181" s="145">
        <f t="shared" si="54"/>
        <v>135247.88886000001</v>
      </c>
      <c r="Y181" s="157">
        <f t="shared" si="55"/>
        <v>-6755.7108839234425</v>
      </c>
    </row>
    <row r="182" spans="1:25" x14ac:dyDescent="0.2">
      <c r="A182" s="26"/>
      <c r="B182" s="139"/>
      <c r="C182" s="58" t="s">
        <v>116</v>
      </c>
      <c r="D182" s="139"/>
      <c r="E182" s="20" t="s">
        <v>142</v>
      </c>
      <c r="F182" s="20" t="s">
        <v>64</v>
      </c>
      <c r="G182" s="234">
        <f>'Spanos KU Prod No Term. NS'!U$118</f>
        <v>-0.01</v>
      </c>
      <c r="H182" s="139"/>
      <c r="I182" s="45">
        <v>3548851.71</v>
      </c>
      <c r="J182" s="44"/>
      <c r="K182" s="45">
        <v>906628</v>
      </c>
      <c r="L182" s="45"/>
      <c r="M182" s="200">
        <f t="shared" si="51"/>
        <v>2677712.2270999998</v>
      </c>
      <c r="N182" s="45"/>
      <c r="O182" s="45">
        <f t="shared" si="52"/>
        <v>128120.20225358852</v>
      </c>
      <c r="P182" s="139"/>
      <c r="Q182" s="116">
        <f t="shared" si="53"/>
        <v>3.61</v>
      </c>
      <c r="S182" s="117">
        <v>20.9</v>
      </c>
      <c r="T182" s="32"/>
      <c r="U182" s="116">
        <v>3.8</v>
      </c>
      <c r="W182" s="145">
        <f t="shared" si="54"/>
        <v>134856.36497999998</v>
      </c>
      <c r="Y182" s="157">
        <f t="shared" si="55"/>
        <v>-6736.162726411465</v>
      </c>
    </row>
    <row r="183" spans="1:25" x14ac:dyDescent="0.2">
      <c r="A183" s="26"/>
      <c r="B183" s="139"/>
      <c r="C183" s="58" t="s">
        <v>117</v>
      </c>
      <c r="D183" s="139"/>
      <c r="E183" s="20" t="s">
        <v>142</v>
      </c>
      <c r="F183" s="20" t="s">
        <v>64</v>
      </c>
      <c r="G183" s="234">
        <f>'Spanos KU Prod No Term. NS'!U$118</f>
        <v>-0.01</v>
      </c>
      <c r="H183" s="139"/>
      <c r="I183" s="45">
        <v>3655976.41</v>
      </c>
      <c r="J183" s="44"/>
      <c r="K183" s="45">
        <v>923545</v>
      </c>
      <c r="L183" s="45"/>
      <c r="M183" s="200">
        <f t="shared" si="51"/>
        <v>2768991.1741000004</v>
      </c>
      <c r="N183" s="45"/>
      <c r="O183" s="45">
        <f t="shared" si="52"/>
        <v>132487.61598564597</v>
      </c>
      <c r="P183" s="139"/>
      <c r="Q183" s="116">
        <f t="shared" si="53"/>
        <v>3.62</v>
      </c>
      <c r="S183" s="117">
        <v>20.9</v>
      </c>
      <c r="T183" s="32"/>
      <c r="U183" s="116">
        <v>3.82</v>
      </c>
      <c r="W183" s="145">
        <f t="shared" si="54"/>
        <v>139658.298862</v>
      </c>
      <c r="Y183" s="157">
        <f t="shared" si="55"/>
        <v>-7170.6828763540252</v>
      </c>
    </row>
    <row r="184" spans="1:25" x14ac:dyDescent="0.2">
      <c r="A184" s="26"/>
      <c r="B184" s="139"/>
      <c r="C184" s="58" t="s">
        <v>118</v>
      </c>
      <c r="D184" s="139"/>
      <c r="E184" s="20" t="s">
        <v>142</v>
      </c>
      <c r="F184" s="20" t="s">
        <v>64</v>
      </c>
      <c r="G184" s="234">
        <f>'Spanos KU Prod No Term. NS'!U$118</f>
        <v>-0.01</v>
      </c>
      <c r="H184" s="139"/>
      <c r="I184" s="45">
        <v>3653029.99</v>
      </c>
      <c r="J184" s="44"/>
      <c r="K184" s="45">
        <v>922801</v>
      </c>
      <c r="L184" s="45"/>
      <c r="M184" s="200">
        <f t="shared" si="51"/>
        <v>2766759.2899000002</v>
      </c>
      <c r="N184" s="45"/>
      <c r="O184" s="45">
        <f t="shared" si="52"/>
        <v>132380.8272679426</v>
      </c>
      <c r="P184" s="139"/>
      <c r="Q184" s="116">
        <f t="shared" si="53"/>
        <v>3.62</v>
      </c>
      <c r="S184" s="117">
        <v>20.9</v>
      </c>
      <c r="T184" s="32"/>
      <c r="U184" s="116">
        <v>3.82</v>
      </c>
      <c r="W184" s="145">
        <f t="shared" si="54"/>
        <v>139545.74561800002</v>
      </c>
      <c r="Y184" s="157">
        <f t="shared" si="55"/>
        <v>-7164.9183500574145</v>
      </c>
    </row>
    <row r="185" spans="1:25" x14ac:dyDescent="0.2">
      <c r="A185" s="26"/>
      <c r="B185" s="139"/>
      <c r="C185" s="58" t="s">
        <v>119</v>
      </c>
      <c r="D185" s="139"/>
      <c r="E185" s="20" t="s">
        <v>142</v>
      </c>
      <c r="F185" s="20" t="s">
        <v>64</v>
      </c>
      <c r="G185" s="234">
        <f>'Spanos KU Prod No Term. NS'!U$92</f>
        <v>-0.01</v>
      </c>
      <c r="H185" s="139"/>
      <c r="I185" s="45">
        <v>775081.85</v>
      </c>
      <c r="J185" s="44"/>
      <c r="K185" s="45">
        <v>270065</v>
      </c>
      <c r="L185" s="45"/>
      <c r="M185" s="200">
        <f t="shared" si="51"/>
        <v>512767.66850000003</v>
      </c>
      <c r="N185" s="45"/>
      <c r="O185" s="45">
        <f t="shared" si="52"/>
        <v>28329.70544198895</v>
      </c>
      <c r="P185" s="139"/>
      <c r="Q185" s="116">
        <f t="shared" si="53"/>
        <v>3.66</v>
      </c>
      <c r="S185" s="117">
        <v>18.100000000000001</v>
      </c>
      <c r="T185" s="32"/>
      <c r="U185" s="116">
        <v>3.88</v>
      </c>
      <c r="W185" s="145">
        <f t="shared" si="54"/>
        <v>30073.175779999998</v>
      </c>
      <c r="Y185" s="157">
        <f t="shared" si="55"/>
        <v>-1743.4703380110477</v>
      </c>
    </row>
    <row r="186" spans="1:25" x14ac:dyDescent="0.2">
      <c r="A186" s="26"/>
      <c r="B186" s="139"/>
      <c r="C186" s="58" t="s">
        <v>120</v>
      </c>
      <c r="D186" s="139"/>
      <c r="E186" s="20" t="s">
        <v>142</v>
      </c>
      <c r="F186" s="20" t="s">
        <v>64</v>
      </c>
      <c r="G186" s="234">
        <f>'Spanos KU Prod No Term. NS'!U$92</f>
        <v>-0.01</v>
      </c>
      <c r="H186" s="139"/>
      <c r="I186" s="45">
        <v>192814.02</v>
      </c>
      <c r="J186" s="44"/>
      <c r="K186" s="45">
        <v>67757</v>
      </c>
      <c r="L186" s="45"/>
      <c r="M186" s="200">
        <f t="shared" si="51"/>
        <v>126985.16019999998</v>
      </c>
      <c r="N186" s="45"/>
      <c r="O186" s="45">
        <f t="shared" si="52"/>
        <v>7742.9975731707318</v>
      </c>
      <c r="P186" s="139"/>
      <c r="Q186" s="116">
        <f t="shared" si="53"/>
        <v>4.0199999999999996</v>
      </c>
      <c r="S186" s="117">
        <v>16.399999999999999</v>
      </c>
      <c r="T186" s="32"/>
      <c r="U186" s="116">
        <v>4.25</v>
      </c>
      <c r="W186" s="145">
        <f t="shared" si="54"/>
        <v>8194.5958499999997</v>
      </c>
      <c r="Y186" s="157">
        <f t="shared" si="55"/>
        <v>-451.59827682926789</v>
      </c>
    </row>
    <row r="187" spans="1:25" x14ac:dyDescent="0.2">
      <c r="A187" s="26"/>
      <c r="B187" s="139"/>
      <c r="C187" s="58" t="s">
        <v>121</v>
      </c>
      <c r="D187" s="139"/>
      <c r="E187" s="20" t="s">
        <v>142</v>
      </c>
      <c r="F187" s="20" t="s">
        <v>64</v>
      </c>
      <c r="G187" s="234">
        <f>'Spanos KU Prod No Term. NS'!U$92</f>
        <v>-0.01</v>
      </c>
      <c r="H187" s="139"/>
      <c r="I187" s="45">
        <v>544965.97</v>
      </c>
      <c r="J187" s="44"/>
      <c r="K187" s="45">
        <v>207252</v>
      </c>
      <c r="L187" s="45"/>
      <c r="M187" s="200">
        <f t="shared" si="51"/>
        <v>343163.62969999993</v>
      </c>
      <c r="N187" s="45"/>
      <c r="O187" s="45">
        <f t="shared" si="52"/>
        <v>21052.983417177908</v>
      </c>
      <c r="P187" s="139"/>
      <c r="Q187" s="116">
        <f t="shared" si="53"/>
        <v>3.86</v>
      </c>
      <c r="S187" s="117">
        <v>16.3</v>
      </c>
      <c r="T187" s="32"/>
      <c r="U187" s="116">
        <v>4.1100000000000003</v>
      </c>
      <c r="W187" s="145">
        <f t="shared" si="54"/>
        <v>22398.101367000003</v>
      </c>
      <c r="Y187" s="157">
        <f t="shared" si="55"/>
        <v>-1345.1179498220954</v>
      </c>
    </row>
    <row r="188" spans="1:25" x14ac:dyDescent="0.2">
      <c r="A188" s="26"/>
      <c r="B188" s="139"/>
      <c r="C188" s="58" t="s">
        <v>122</v>
      </c>
      <c r="D188" s="139"/>
      <c r="E188" s="20" t="s">
        <v>142</v>
      </c>
      <c r="F188" s="20" t="s">
        <v>64</v>
      </c>
      <c r="G188" s="234">
        <f>'Spanos KU Prod No Term. NS'!U$92</f>
        <v>-0.01</v>
      </c>
      <c r="H188" s="139"/>
      <c r="I188" s="45">
        <v>2012654.95</v>
      </c>
      <c r="J188" s="44"/>
      <c r="K188" s="45">
        <v>1151811</v>
      </c>
      <c r="L188" s="45"/>
      <c r="M188" s="200">
        <f t="shared" si="51"/>
        <v>880970.49949999992</v>
      </c>
      <c r="N188" s="45"/>
      <c r="O188" s="45">
        <f t="shared" si="52"/>
        <v>69918.293611111105</v>
      </c>
      <c r="P188" s="139"/>
      <c r="Q188" s="116">
        <f t="shared" si="53"/>
        <v>3.47</v>
      </c>
      <c r="S188" s="117">
        <v>12.6</v>
      </c>
      <c r="T188" s="32"/>
      <c r="U188" s="116">
        <v>3.8</v>
      </c>
      <c r="W188" s="145">
        <f t="shared" si="54"/>
        <v>76480.888099999996</v>
      </c>
      <c r="Y188" s="157">
        <f t="shared" si="55"/>
        <v>-6562.5944888888916</v>
      </c>
    </row>
    <row r="189" spans="1:25" x14ac:dyDescent="0.2">
      <c r="A189" s="26"/>
      <c r="B189" s="139"/>
      <c r="C189" s="58" t="s">
        <v>123</v>
      </c>
      <c r="D189" s="139"/>
      <c r="E189" s="20" t="s">
        <v>142</v>
      </c>
      <c r="F189" s="20" t="s">
        <v>64</v>
      </c>
      <c r="G189" s="234">
        <f>'Spanos KU Prod No Term. NS'!U$92</f>
        <v>-0.01</v>
      </c>
      <c r="H189" s="139"/>
      <c r="I189" s="45">
        <v>4641054.8600000003</v>
      </c>
      <c r="J189" s="44"/>
      <c r="K189" s="45">
        <v>2628903</v>
      </c>
      <c r="L189" s="45"/>
      <c r="M189" s="200">
        <f t="shared" si="51"/>
        <v>2058562.4086000007</v>
      </c>
      <c r="N189" s="45"/>
      <c r="O189" s="45">
        <f t="shared" si="52"/>
        <v>119683.86096511633</v>
      </c>
      <c r="P189" s="139"/>
      <c r="Q189" s="116">
        <f t="shared" si="53"/>
        <v>2.58</v>
      </c>
      <c r="S189" s="117">
        <v>17.2</v>
      </c>
      <c r="T189" s="32"/>
      <c r="U189" s="116">
        <v>2.81</v>
      </c>
      <c r="W189" s="145">
        <f t="shared" si="54"/>
        <v>130413.64156600001</v>
      </c>
      <c r="Y189" s="157">
        <f t="shared" si="55"/>
        <v>-10729.780600883678</v>
      </c>
    </row>
    <row r="190" spans="1:25" x14ac:dyDescent="0.2">
      <c r="A190" s="26"/>
      <c r="B190" s="139"/>
      <c r="C190" s="58" t="s">
        <v>124</v>
      </c>
      <c r="D190" s="139"/>
      <c r="E190" s="20" t="s">
        <v>142</v>
      </c>
      <c r="F190" s="20" t="s">
        <v>64</v>
      </c>
      <c r="G190" s="234">
        <f>'Spanos KU Prod No Term. NS'!U$92</f>
        <v>-0.01</v>
      </c>
      <c r="H190" s="139"/>
      <c r="I190" s="45">
        <v>1865718.2</v>
      </c>
      <c r="J190" s="44"/>
      <c r="K190" s="45">
        <v>995177</v>
      </c>
      <c r="L190" s="45"/>
      <c r="M190" s="200">
        <f t="shared" si="51"/>
        <v>889198.38199999998</v>
      </c>
      <c r="N190" s="45"/>
      <c r="O190" s="45">
        <f t="shared" si="52"/>
        <v>51697.580348837211</v>
      </c>
      <c r="P190" s="139"/>
      <c r="Q190" s="116">
        <f t="shared" si="53"/>
        <v>2.77</v>
      </c>
      <c r="S190" s="117">
        <v>17.2</v>
      </c>
      <c r="T190" s="32"/>
      <c r="U190" s="116">
        <v>3</v>
      </c>
      <c r="W190" s="145">
        <f t="shared" si="54"/>
        <v>55971.546000000002</v>
      </c>
      <c r="Y190" s="157">
        <f t="shared" si="55"/>
        <v>-4273.9656511627909</v>
      </c>
    </row>
    <row r="191" spans="1:25" x14ac:dyDescent="0.2">
      <c r="A191" s="26"/>
      <c r="B191" s="139"/>
      <c r="C191" s="58" t="s">
        <v>125</v>
      </c>
      <c r="D191" s="139"/>
      <c r="E191" s="20" t="s">
        <v>142</v>
      </c>
      <c r="F191" s="20" t="s">
        <v>64</v>
      </c>
      <c r="G191" s="234">
        <f>'Spanos KU Prod No Term. NS'!U$92</f>
        <v>-0.01</v>
      </c>
      <c r="H191" s="139"/>
      <c r="I191" s="45">
        <v>1895013.5</v>
      </c>
      <c r="J191" s="44"/>
      <c r="K191" s="45">
        <v>960868</v>
      </c>
      <c r="L191" s="45"/>
      <c r="M191" s="200">
        <f t="shared" si="51"/>
        <v>953095.63500000001</v>
      </c>
      <c r="N191" s="45"/>
      <c r="O191" s="45">
        <f t="shared" si="52"/>
        <v>70080.561397058831</v>
      </c>
      <c r="P191" s="139"/>
      <c r="Q191" s="116">
        <f t="shared" si="53"/>
        <v>3.7</v>
      </c>
      <c r="S191" s="117">
        <v>13.6</v>
      </c>
      <c r="T191" s="32"/>
      <c r="U191" s="116">
        <v>4</v>
      </c>
      <c r="W191" s="145">
        <f t="shared" si="54"/>
        <v>75800.539999999994</v>
      </c>
      <c r="Y191" s="157">
        <f t="shared" si="55"/>
        <v>-5719.9786029411625</v>
      </c>
    </row>
    <row r="192" spans="1:25" x14ac:dyDescent="0.2">
      <c r="A192" s="26"/>
      <c r="B192" s="139"/>
      <c r="C192" s="58" t="s">
        <v>126</v>
      </c>
      <c r="D192" s="139"/>
      <c r="E192" s="20" t="s">
        <v>142</v>
      </c>
      <c r="F192" s="20" t="s">
        <v>64</v>
      </c>
      <c r="G192" s="234">
        <f>'Spanos KU Prod No Term. NS'!U101</f>
        <v>-0.01</v>
      </c>
      <c r="H192" s="139"/>
      <c r="I192" s="45">
        <v>434853.46</v>
      </c>
      <c r="J192" s="44"/>
      <c r="K192" s="45">
        <v>87070</v>
      </c>
      <c r="L192" s="45"/>
      <c r="M192" s="200">
        <f t="shared" si="51"/>
        <v>352131.99460000003</v>
      </c>
      <c r="N192" s="45"/>
      <c r="O192" s="45">
        <f t="shared" si="52"/>
        <v>42425.541518072292</v>
      </c>
      <c r="P192" s="139"/>
      <c r="Q192" s="116">
        <f t="shared" si="53"/>
        <v>9.76</v>
      </c>
      <c r="S192" s="117">
        <v>8.3000000000000007</v>
      </c>
      <c r="T192" s="32"/>
      <c r="U192" s="116">
        <v>10.24</v>
      </c>
      <c r="W192" s="145">
        <f t="shared" si="54"/>
        <v>44528.994304</v>
      </c>
      <c r="Y192" s="157">
        <f t="shared" si="55"/>
        <v>-2103.4527859277077</v>
      </c>
    </row>
    <row r="193" spans="1:25" x14ac:dyDescent="0.2">
      <c r="A193" s="26"/>
      <c r="B193" s="139"/>
      <c r="C193" s="58" t="s">
        <v>127</v>
      </c>
      <c r="D193" s="139"/>
      <c r="E193" s="20" t="s">
        <v>142</v>
      </c>
      <c r="F193" s="20" t="s">
        <v>64</v>
      </c>
      <c r="G193" s="234">
        <f>'Spanos KU Prod No Term. NS'!U109</f>
        <v>-0.01</v>
      </c>
      <c r="H193" s="139"/>
      <c r="I193" s="90">
        <v>1910327.76</v>
      </c>
      <c r="J193" s="44"/>
      <c r="K193" s="45">
        <v>665405</v>
      </c>
      <c r="L193" s="45"/>
      <c r="M193" s="200">
        <f t="shared" si="51"/>
        <v>1264026.0375999999</v>
      </c>
      <c r="N193" s="45"/>
      <c r="O193" s="45">
        <f t="shared" si="52"/>
        <v>69835.69268508286</v>
      </c>
      <c r="P193" s="139"/>
      <c r="Q193" s="116">
        <f t="shared" si="53"/>
        <v>3.66</v>
      </c>
      <c r="S193" s="117">
        <v>18.100000000000001</v>
      </c>
      <c r="T193" s="32"/>
      <c r="U193" s="116">
        <v>3.88</v>
      </c>
      <c r="W193" s="145">
        <f t="shared" si="54"/>
        <v>74120.717088000005</v>
      </c>
      <c r="Y193" s="159">
        <f t="shared" si="55"/>
        <v>-4285.0244029171445</v>
      </c>
    </row>
    <row r="194" spans="1:25" x14ac:dyDescent="0.2">
      <c r="A194" s="26"/>
      <c r="B194" s="139"/>
      <c r="C194" s="46"/>
      <c r="D194" s="139"/>
      <c r="E194" s="20"/>
      <c r="F194" s="20"/>
      <c r="G194" s="19"/>
      <c r="H194" s="139"/>
      <c r="I194" s="45"/>
      <c r="J194" s="139"/>
      <c r="K194" s="49"/>
      <c r="L194" s="34"/>
      <c r="M194" s="49"/>
      <c r="N194" s="34"/>
      <c r="O194" s="49"/>
      <c r="P194" s="139"/>
      <c r="Q194" s="26"/>
      <c r="R194" s="139"/>
      <c r="S194" s="62"/>
      <c r="T194" s="32"/>
      <c r="U194" s="26"/>
    </row>
    <row r="195" spans="1:25" ht="15.75" x14ac:dyDescent="0.25">
      <c r="A195" s="26"/>
      <c r="B195" s="139"/>
      <c r="C195" s="65" t="s">
        <v>36</v>
      </c>
      <c r="D195" s="139"/>
      <c r="E195" s="20"/>
      <c r="F195" s="20"/>
      <c r="G195" s="19"/>
      <c r="H195" s="139"/>
      <c r="I195" s="45">
        <f>SUM(I179:I193)</f>
        <v>36018413.209999993</v>
      </c>
      <c r="J195" s="139"/>
      <c r="K195" s="45">
        <f>SUM(K179:K193)</f>
        <v>12997862</v>
      </c>
      <c r="L195" s="34"/>
      <c r="M195" s="45">
        <f>SUM(M179:M193)</f>
        <v>23380735.342100006</v>
      </c>
      <c r="N195" s="34"/>
      <c r="O195" s="45">
        <f>SUM(O179:O193)</f>
        <v>1270715.6570513963</v>
      </c>
      <c r="P195" s="139"/>
      <c r="Q195" s="116">
        <f>IF(O195/I195*100=0,"-     ",ROUND(O195/I195*100,2))</f>
        <v>3.53</v>
      </c>
      <c r="S195" s="117">
        <v>18.399999999999999</v>
      </c>
      <c r="T195" s="32"/>
      <c r="U195" s="242">
        <f>W195/I195</f>
        <v>3.7496395364469755E-2</v>
      </c>
      <c r="W195" s="45">
        <f>SUM(W179:W193)</f>
        <v>1350560.662123</v>
      </c>
      <c r="Y195" s="45">
        <f>SUM(Y179:Y193)</f>
        <v>-79845.005071603795</v>
      </c>
    </row>
    <row r="196" spans="1:25" x14ac:dyDescent="0.2">
      <c r="A196" s="26"/>
      <c r="B196" s="139"/>
      <c r="C196" s="46"/>
      <c r="D196" s="139"/>
      <c r="E196" s="20"/>
      <c r="F196" s="20"/>
      <c r="G196" s="19"/>
      <c r="H196" s="139"/>
      <c r="I196" s="45"/>
      <c r="J196" s="139"/>
      <c r="K196" s="34"/>
      <c r="L196" s="34"/>
      <c r="M196" s="34"/>
      <c r="N196" s="34"/>
      <c r="O196" s="34"/>
      <c r="P196" s="139"/>
      <c r="Q196" s="26"/>
      <c r="R196" s="139"/>
      <c r="S196" s="62"/>
      <c r="T196" s="32"/>
      <c r="U196" s="26"/>
    </row>
    <row r="197" spans="1:25" x14ac:dyDescent="0.2">
      <c r="A197" s="26">
        <v>342</v>
      </c>
      <c r="B197" s="139"/>
      <c r="C197" s="139" t="s">
        <v>88</v>
      </c>
      <c r="D197" s="139"/>
      <c r="E197" s="56"/>
      <c r="F197" s="56"/>
      <c r="G197" s="66"/>
      <c r="H197" s="139"/>
      <c r="I197" s="45"/>
      <c r="J197" s="139"/>
      <c r="K197" s="34"/>
      <c r="L197" s="34"/>
      <c r="M197" s="34"/>
      <c r="N197" s="34"/>
      <c r="O197" s="34"/>
      <c r="P197" s="139"/>
      <c r="Q197" s="26"/>
      <c r="R197" s="139"/>
      <c r="S197" s="62"/>
      <c r="T197" s="32"/>
      <c r="U197" s="26"/>
    </row>
    <row r="198" spans="1:25" x14ac:dyDescent="0.2">
      <c r="A198" s="26"/>
      <c r="B198" s="139"/>
      <c r="C198" s="58" t="s">
        <v>113</v>
      </c>
      <c r="D198" s="139"/>
      <c r="E198" s="20" t="s">
        <v>143</v>
      </c>
      <c r="F198" s="20" t="s">
        <v>64</v>
      </c>
      <c r="G198" s="234">
        <f>'Spanos KU Prod No Term. NS'!U$119</f>
        <v>-0.01</v>
      </c>
      <c r="H198" s="139"/>
      <c r="I198" s="45">
        <v>239584.43</v>
      </c>
      <c r="J198" s="44"/>
      <c r="K198" s="45">
        <v>76081</v>
      </c>
      <c r="L198" s="45"/>
      <c r="M198" s="200">
        <f t="shared" ref="M198:M214" si="56">+((1-G198)*I198)-K198</f>
        <v>165899.27429999999</v>
      </c>
      <c r="N198" s="45"/>
      <c r="O198" s="45">
        <f t="shared" ref="O198:O214" si="57">M198/S198</f>
        <v>8551.5089845360817</v>
      </c>
      <c r="P198" s="139"/>
      <c r="Q198" s="116">
        <f t="shared" ref="Q198:Q214" si="58">IF(O198/I198*100=0,"-     ",ROUND(O198/I198*100,2))</f>
        <v>3.57</v>
      </c>
      <c r="S198" s="117">
        <v>19.399999999999999</v>
      </c>
      <c r="T198" s="32"/>
      <c r="U198" s="116">
        <v>3.78</v>
      </c>
      <c r="W198" s="145">
        <f t="shared" ref="W198:W214" si="59">(I198/100)*U198</f>
        <v>9056.2914539999983</v>
      </c>
      <c r="Y198" s="157">
        <f t="shared" ref="Y198:Y214" si="60">O198-W198</f>
        <v>-504.78246946391664</v>
      </c>
    </row>
    <row r="199" spans="1:25" x14ac:dyDescent="0.2">
      <c r="A199" s="26"/>
      <c r="B199" s="139"/>
      <c r="C199" s="58" t="s">
        <v>114</v>
      </c>
      <c r="D199" s="139"/>
      <c r="E199" s="20" t="s">
        <v>143</v>
      </c>
      <c r="F199" s="20" t="s">
        <v>64</v>
      </c>
      <c r="G199" s="234">
        <f>'Spanos KU Prod No Term. NS'!U$119</f>
        <v>-0.01</v>
      </c>
      <c r="H199" s="139"/>
      <c r="I199" s="45">
        <v>239245.54</v>
      </c>
      <c r="J199" s="44"/>
      <c r="K199" s="45">
        <v>75986</v>
      </c>
      <c r="L199" s="45"/>
      <c r="M199" s="200">
        <f t="shared" si="56"/>
        <v>165651.99540000001</v>
      </c>
      <c r="N199" s="45"/>
      <c r="O199" s="45">
        <f t="shared" si="57"/>
        <v>8538.7626494845372</v>
      </c>
      <c r="P199" s="139"/>
      <c r="Q199" s="116">
        <f t="shared" si="58"/>
        <v>3.57</v>
      </c>
      <c r="S199" s="117">
        <v>19.399999999999999</v>
      </c>
      <c r="T199" s="32"/>
      <c r="U199" s="116">
        <v>3.78</v>
      </c>
      <c r="W199" s="145">
        <f t="shared" si="59"/>
        <v>9043.481412000001</v>
      </c>
      <c r="Y199" s="157">
        <f t="shared" si="60"/>
        <v>-504.71876251546382</v>
      </c>
    </row>
    <row r="200" spans="1:25" x14ac:dyDescent="0.2">
      <c r="A200" s="26"/>
      <c r="B200" s="139"/>
      <c r="C200" s="63" t="s">
        <v>189</v>
      </c>
      <c r="D200" s="139"/>
      <c r="E200" s="20" t="s">
        <v>143</v>
      </c>
      <c r="F200" s="20" t="s">
        <v>64</v>
      </c>
      <c r="G200" s="234">
        <f>'Spanos KU Prod No Term. NS'!U$119</f>
        <v>-0.01</v>
      </c>
      <c r="H200" s="139"/>
      <c r="I200" s="45">
        <v>4850114.7300000004</v>
      </c>
      <c r="J200" s="44"/>
      <c r="K200" s="45">
        <v>1572837</v>
      </c>
      <c r="L200" s="45"/>
      <c r="M200" s="200">
        <f t="shared" si="56"/>
        <v>3325778.8773000007</v>
      </c>
      <c r="N200" s="45"/>
      <c r="O200" s="45">
        <f t="shared" si="57"/>
        <v>157619.85200473937</v>
      </c>
      <c r="P200" s="139"/>
      <c r="Q200" s="116">
        <f t="shared" si="58"/>
        <v>3.25</v>
      </c>
      <c r="S200" s="117">
        <v>21.1</v>
      </c>
      <c r="T200" s="32"/>
      <c r="U200" s="116">
        <v>3.44</v>
      </c>
      <c r="W200" s="145">
        <f t="shared" si="59"/>
        <v>166843.946712</v>
      </c>
      <c r="Y200" s="157">
        <f t="shared" si="60"/>
        <v>-9224.0947072606359</v>
      </c>
    </row>
    <row r="201" spans="1:25" x14ac:dyDescent="0.2">
      <c r="A201" s="26"/>
      <c r="B201" s="139"/>
      <c r="C201" s="58" t="s">
        <v>115</v>
      </c>
      <c r="D201" s="139"/>
      <c r="E201" s="20" t="s">
        <v>143</v>
      </c>
      <c r="F201" s="20" t="s">
        <v>64</v>
      </c>
      <c r="G201" s="234">
        <f>'Spanos KU Prod No Term. NS'!U$119</f>
        <v>-0.01</v>
      </c>
      <c r="H201" s="139"/>
      <c r="I201" s="45">
        <v>578059.38</v>
      </c>
      <c r="J201" s="44"/>
      <c r="K201" s="45">
        <v>149364</v>
      </c>
      <c r="L201" s="45"/>
      <c r="M201" s="200">
        <f t="shared" si="56"/>
        <v>434475.97380000004</v>
      </c>
      <c r="N201" s="45"/>
      <c r="O201" s="45">
        <f t="shared" si="57"/>
        <v>20397.93304225352</v>
      </c>
      <c r="P201" s="139"/>
      <c r="Q201" s="116">
        <f t="shared" si="58"/>
        <v>3.53</v>
      </c>
      <c r="S201" s="117">
        <v>21.3</v>
      </c>
      <c r="T201" s="32"/>
      <c r="U201" s="116">
        <v>3.72</v>
      </c>
      <c r="W201" s="145">
        <f t="shared" si="59"/>
        <v>21503.808936000001</v>
      </c>
      <c r="Y201" s="157">
        <f t="shared" si="60"/>
        <v>-1105.8758937464809</v>
      </c>
    </row>
    <row r="202" spans="1:25" x14ac:dyDescent="0.2">
      <c r="A202" s="26"/>
      <c r="B202" s="139"/>
      <c r="C202" s="58" t="s">
        <v>116</v>
      </c>
      <c r="D202" s="139"/>
      <c r="E202" s="20" t="s">
        <v>143</v>
      </c>
      <c r="F202" s="20" t="s">
        <v>64</v>
      </c>
      <c r="G202" s="234">
        <f>'Spanos KU Prod No Term. NS'!U$119</f>
        <v>-0.01</v>
      </c>
      <c r="H202" s="139"/>
      <c r="I202" s="45">
        <v>576385.74</v>
      </c>
      <c r="J202" s="44"/>
      <c r="K202" s="45">
        <v>148931</v>
      </c>
      <c r="L202" s="45"/>
      <c r="M202" s="200">
        <f t="shared" si="56"/>
        <v>433218.59739999997</v>
      </c>
      <c r="N202" s="45"/>
      <c r="O202" s="45">
        <f t="shared" si="57"/>
        <v>20338.901286384975</v>
      </c>
      <c r="P202" s="139"/>
      <c r="Q202" s="116">
        <f t="shared" si="58"/>
        <v>3.53</v>
      </c>
      <c r="S202" s="117">
        <v>21.3</v>
      </c>
      <c r="T202" s="32"/>
      <c r="U202" s="116">
        <v>3.72</v>
      </c>
      <c r="W202" s="145">
        <f t="shared" si="59"/>
        <v>21441.549528</v>
      </c>
      <c r="Y202" s="157">
        <f t="shared" si="60"/>
        <v>-1102.6482416150247</v>
      </c>
    </row>
    <row r="203" spans="1:25" x14ac:dyDescent="0.2">
      <c r="A203" s="26"/>
      <c r="B203" s="139"/>
      <c r="C203" s="58" t="s">
        <v>117</v>
      </c>
      <c r="D203" s="139"/>
      <c r="E203" s="20" t="s">
        <v>143</v>
      </c>
      <c r="F203" s="20" t="s">
        <v>64</v>
      </c>
      <c r="G203" s="234">
        <f>'Spanos KU Prod No Term. NS'!U$119</f>
        <v>-0.01</v>
      </c>
      <c r="H203" s="139"/>
      <c r="I203" s="45">
        <v>593786.01</v>
      </c>
      <c r="J203" s="44"/>
      <c r="K203" s="45">
        <v>151730</v>
      </c>
      <c r="L203" s="45"/>
      <c r="M203" s="200">
        <f t="shared" si="56"/>
        <v>447993.87010000006</v>
      </c>
      <c r="N203" s="45"/>
      <c r="O203" s="45">
        <f t="shared" si="57"/>
        <v>21032.576061032865</v>
      </c>
      <c r="P203" s="139"/>
      <c r="Q203" s="116">
        <f t="shared" si="58"/>
        <v>3.54</v>
      </c>
      <c r="S203" s="117">
        <v>21.3</v>
      </c>
      <c r="T203" s="32"/>
      <c r="U203" s="116">
        <v>3.73</v>
      </c>
      <c r="W203" s="145">
        <f t="shared" si="59"/>
        <v>22148.218173000001</v>
      </c>
      <c r="Y203" s="157">
        <f t="shared" si="60"/>
        <v>-1115.6421119671359</v>
      </c>
    </row>
    <row r="204" spans="1:25" x14ac:dyDescent="0.2">
      <c r="A204" s="26"/>
      <c r="B204" s="139"/>
      <c r="C204" s="58" t="s">
        <v>118</v>
      </c>
      <c r="D204" s="139"/>
      <c r="E204" s="20" t="s">
        <v>143</v>
      </c>
      <c r="F204" s="20" t="s">
        <v>64</v>
      </c>
      <c r="G204" s="234">
        <f>'Spanos KU Prod No Term. NS'!U$119</f>
        <v>-0.01</v>
      </c>
      <c r="H204" s="139"/>
      <c r="I204" s="45">
        <v>622872.6</v>
      </c>
      <c r="J204" s="44"/>
      <c r="K204" s="45">
        <v>157134</v>
      </c>
      <c r="L204" s="45"/>
      <c r="M204" s="200">
        <f t="shared" si="56"/>
        <v>471967.326</v>
      </c>
      <c r="N204" s="45"/>
      <c r="O204" s="45">
        <f t="shared" si="57"/>
        <v>22158.09042253521</v>
      </c>
      <c r="P204" s="139"/>
      <c r="Q204" s="116">
        <f t="shared" si="58"/>
        <v>3.56</v>
      </c>
      <c r="S204" s="117">
        <v>21.3</v>
      </c>
      <c r="T204" s="32"/>
      <c r="U204" s="116">
        <v>3.74</v>
      </c>
      <c r="W204" s="145">
        <f t="shared" si="59"/>
        <v>23295.435239999999</v>
      </c>
      <c r="Y204" s="157">
        <f t="shared" si="60"/>
        <v>-1137.3448174647892</v>
      </c>
    </row>
    <row r="205" spans="1:25" x14ac:dyDescent="0.2">
      <c r="A205" s="26"/>
      <c r="B205" s="139"/>
      <c r="C205" s="58" t="s">
        <v>119</v>
      </c>
      <c r="D205" s="139"/>
      <c r="E205" s="20" t="s">
        <v>143</v>
      </c>
      <c r="F205" s="20" t="s">
        <v>64</v>
      </c>
      <c r="G205" s="234">
        <f>'Spanos KU Prod No Term. NS'!U$93</f>
        <v>-0.01</v>
      </c>
      <c r="H205" s="139"/>
      <c r="I205" s="45">
        <v>795787.89</v>
      </c>
      <c r="J205" s="44"/>
      <c r="K205" s="45">
        <v>126367</v>
      </c>
      <c r="L205" s="45"/>
      <c r="M205" s="200">
        <f t="shared" si="56"/>
        <v>677378.76890000002</v>
      </c>
      <c r="N205" s="45"/>
      <c r="O205" s="45">
        <f t="shared" si="57"/>
        <v>36418.21338172043</v>
      </c>
      <c r="P205" s="139"/>
      <c r="Q205" s="116">
        <f t="shared" si="58"/>
        <v>4.58</v>
      </c>
      <c r="S205" s="117">
        <v>18.600000000000001</v>
      </c>
      <c r="T205" s="32"/>
      <c r="U205" s="116">
        <v>4.78</v>
      </c>
      <c r="W205" s="145">
        <f t="shared" si="59"/>
        <v>38038.661141999997</v>
      </c>
      <c r="Y205" s="157">
        <f t="shared" si="60"/>
        <v>-1620.4477602795669</v>
      </c>
    </row>
    <row r="206" spans="1:25" x14ac:dyDescent="0.2">
      <c r="A206" s="26"/>
      <c r="B206" s="139"/>
      <c r="C206" s="58" t="s">
        <v>120</v>
      </c>
      <c r="D206" s="139"/>
      <c r="E206" s="20" t="s">
        <v>143</v>
      </c>
      <c r="F206" s="20" t="s">
        <v>64</v>
      </c>
      <c r="G206" s="234">
        <f>'Spanos KU Prod No Term. NS'!U$93</f>
        <v>-0.01</v>
      </c>
      <c r="H206" s="139"/>
      <c r="I206" s="45">
        <v>406460.01</v>
      </c>
      <c r="J206" s="44"/>
      <c r="K206" s="45">
        <v>17424</v>
      </c>
      <c r="L206" s="45"/>
      <c r="M206" s="200">
        <f t="shared" si="56"/>
        <v>393100.61009999999</v>
      </c>
      <c r="N206" s="45"/>
      <c r="O206" s="45">
        <f t="shared" si="57"/>
        <v>23123.565299999998</v>
      </c>
      <c r="P206" s="139"/>
      <c r="Q206" s="116">
        <f t="shared" si="58"/>
        <v>5.69</v>
      </c>
      <c r="S206" s="117">
        <v>17</v>
      </c>
      <c r="T206" s="32"/>
      <c r="U206" s="116">
        <v>5.92</v>
      </c>
      <c r="W206" s="145">
        <f t="shared" si="59"/>
        <v>24062.432592000001</v>
      </c>
      <c r="Y206" s="157">
        <f t="shared" si="60"/>
        <v>-938.86729200000264</v>
      </c>
    </row>
    <row r="207" spans="1:25" x14ac:dyDescent="0.2">
      <c r="A207" s="26"/>
      <c r="B207" s="139"/>
      <c r="C207" s="58" t="s">
        <v>121</v>
      </c>
      <c r="D207" s="139"/>
      <c r="E207" s="20" t="s">
        <v>143</v>
      </c>
      <c r="F207" s="20" t="s">
        <v>64</v>
      </c>
      <c r="G207" s="234">
        <f>'Spanos KU Prod No Term. NS'!U$93</f>
        <v>-0.01</v>
      </c>
      <c r="H207" s="139"/>
      <c r="I207" s="45">
        <v>405870.95</v>
      </c>
      <c r="J207" s="44"/>
      <c r="K207" s="45">
        <v>12973</v>
      </c>
      <c r="L207" s="45"/>
      <c r="M207" s="200">
        <f t="shared" si="56"/>
        <v>396956.65950000001</v>
      </c>
      <c r="N207" s="45"/>
      <c r="O207" s="45">
        <f t="shared" si="57"/>
        <v>23350.391735294117</v>
      </c>
      <c r="P207" s="139"/>
      <c r="Q207" s="116">
        <f t="shared" si="58"/>
        <v>5.75</v>
      </c>
      <c r="S207" s="117">
        <v>17</v>
      </c>
      <c r="T207" s="32"/>
      <c r="U207" s="116">
        <v>5.99</v>
      </c>
      <c r="W207" s="145">
        <f t="shared" si="59"/>
        <v>24311.669904999999</v>
      </c>
      <c r="Y207" s="157">
        <f t="shared" si="60"/>
        <v>-961.27816970588174</v>
      </c>
    </row>
    <row r="208" spans="1:25" x14ac:dyDescent="0.2">
      <c r="A208" s="26"/>
      <c r="B208" s="139"/>
      <c r="C208" s="58" t="s">
        <v>122</v>
      </c>
      <c r="D208" s="139"/>
      <c r="E208" s="20" t="s">
        <v>143</v>
      </c>
      <c r="F208" s="20" t="s">
        <v>64</v>
      </c>
      <c r="G208" s="234">
        <f>'Spanos KU Prod No Term. NS'!U$93</f>
        <v>-0.01</v>
      </c>
      <c r="H208" s="139"/>
      <c r="I208" s="45">
        <v>252005.73</v>
      </c>
      <c r="J208" s="44"/>
      <c r="K208" s="45">
        <v>22171</v>
      </c>
      <c r="L208" s="45"/>
      <c r="M208" s="200">
        <f t="shared" si="56"/>
        <v>232354.78730000003</v>
      </c>
      <c r="N208" s="45"/>
      <c r="O208" s="45">
        <f t="shared" si="57"/>
        <v>17470.284759398499</v>
      </c>
      <c r="P208" s="139"/>
      <c r="Q208" s="116">
        <f t="shared" si="58"/>
        <v>6.93</v>
      </c>
      <c r="S208" s="117">
        <v>13.3</v>
      </c>
      <c r="T208" s="32"/>
      <c r="U208" s="116">
        <v>7.25</v>
      </c>
      <c r="W208" s="145">
        <f t="shared" si="59"/>
        <v>18270.415424999999</v>
      </c>
      <c r="Y208" s="157">
        <f t="shared" si="60"/>
        <v>-800.13066560150037</v>
      </c>
    </row>
    <row r="209" spans="1:25" x14ac:dyDescent="0.2">
      <c r="A209" s="26"/>
      <c r="B209" s="139"/>
      <c r="C209" s="58" t="s">
        <v>123</v>
      </c>
      <c r="D209" s="139"/>
      <c r="E209" s="20" t="s">
        <v>143</v>
      </c>
      <c r="F209" s="20" t="s">
        <v>64</v>
      </c>
      <c r="G209" s="234">
        <f>'Spanos KU Prod No Term. NS'!U$93</f>
        <v>-0.01</v>
      </c>
      <c r="H209" s="139"/>
      <c r="I209" s="45">
        <v>2018753.68</v>
      </c>
      <c r="J209" s="44"/>
      <c r="K209" s="45">
        <v>903046</v>
      </c>
      <c r="L209" s="45"/>
      <c r="M209" s="200">
        <f t="shared" si="56"/>
        <v>1135895.2168000001</v>
      </c>
      <c r="N209" s="45"/>
      <c r="O209" s="45">
        <f t="shared" si="57"/>
        <v>62756.641812154696</v>
      </c>
      <c r="P209" s="139"/>
      <c r="Q209" s="116">
        <f t="shared" si="58"/>
        <v>3.11</v>
      </c>
      <c r="S209" s="117">
        <v>18.100000000000001</v>
      </c>
      <c r="T209" s="32"/>
      <c r="U209" s="116">
        <v>3.33</v>
      </c>
      <c r="W209" s="145">
        <f t="shared" si="59"/>
        <v>67224.497543999998</v>
      </c>
      <c r="Y209" s="157">
        <f t="shared" si="60"/>
        <v>-4467.8557318453022</v>
      </c>
    </row>
    <row r="210" spans="1:25" x14ac:dyDescent="0.2">
      <c r="A210" s="26"/>
      <c r="B210" s="139"/>
      <c r="C210" s="58" t="s">
        <v>124</v>
      </c>
      <c r="D210" s="139"/>
      <c r="E210" s="20" t="s">
        <v>143</v>
      </c>
      <c r="F210" s="20" t="s">
        <v>64</v>
      </c>
      <c r="G210" s="234">
        <f>'Spanos KU Prod No Term. NS'!U$93</f>
        <v>-0.01</v>
      </c>
      <c r="H210" s="139"/>
      <c r="I210" s="45">
        <v>264130.81</v>
      </c>
      <c r="J210" s="44"/>
      <c r="K210" s="45">
        <v>29700</v>
      </c>
      <c r="L210" s="45"/>
      <c r="M210" s="200">
        <f t="shared" si="56"/>
        <v>237072.11810000002</v>
      </c>
      <c r="N210" s="45"/>
      <c r="O210" s="45">
        <f t="shared" si="57"/>
        <v>12543.498312169315</v>
      </c>
      <c r="P210" s="139"/>
      <c r="Q210" s="116">
        <f t="shared" si="58"/>
        <v>4.75</v>
      </c>
      <c r="S210" s="117">
        <v>18.899999999999999</v>
      </c>
      <c r="T210" s="32"/>
      <c r="U210" s="116">
        <v>4.96</v>
      </c>
      <c r="W210" s="145">
        <f t="shared" si="59"/>
        <v>13100.888176</v>
      </c>
      <c r="Y210" s="157">
        <f t="shared" si="60"/>
        <v>-557.3898638306855</v>
      </c>
    </row>
    <row r="211" spans="1:25" x14ac:dyDescent="0.2">
      <c r="A211" s="26"/>
      <c r="B211" s="139"/>
      <c r="C211" s="58" t="s">
        <v>125</v>
      </c>
      <c r="D211" s="139"/>
      <c r="E211" s="20" t="s">
        <v>143</v>
      </c>
      <c r="F211" s="20" t="s">
        <v>64</v>
      </c>
      <c r="G211" s="234">
        <f>'Spanos KU Prod No Term. NS'!U$93</f>
        <v>-0.01</v>
      </c>
      <c r="H211" s="139"/>
      <c r="I211" s="45">
        <v>284822.69</v>
      </c>
      <c r="J211" s="44"/>
      <c r="K211" s="45">
        <v>38816</v>
      </c>
      <c r="L211" s="45"/>
      <c r="M211" s="200">
        <f t="shared" si="56"/>
        <v>248854.91690000001</v>
      </c>
      <c r="N211" s="45"/>
      <c r="O211" s="45">
        <f t="shared" si="57"/>
        <v>17524.994147887326</v>
      </c>
      <c r="P211" s="139"/>
      <c r="Q211" s="116">
        <f t="shared" si="58"/>
        <v>6.15</v>
      </c>
      <c r="S211" s="117">
        <v>14.2</v>
      </c>
      <c r="T211" s="32"/>
      <c r="U211" s="116">
        <v>6.43</v>
      </c>
      <c r="W211" s="145">
        <f t="shared" si="59"/>
        <v>18314.098967000002</v>
      </c>
      <c r="Y211" s="157">
        <f t="shared" si="60"/>
        <v>-789.10481911267561</v>
      </c>
    </row>
    <row r="212" spans="1:25" x14ac:dyDescent="0.2">
      <c r="A212" s="26"/>
      <c r="B212" s="139"/>
      <c r="C212" s="88" t="s">
        <v>190</v>
      </c>
      <c r="D212" s="139"/>
      <c r="E212" s="20" t="s">
        <v>143</v>
      </c>
      <c r="F212" s="20" t="s">
        <v>64</v>
      </c>
      <c r="G212" s="234">
        <f>'Spanos KU Prod No Term. NS'!U$93</f>
        <v>-0.01</v>
      </c>
      <c r="H212" s="139"/>
      <c r="I212" s="45">
        <v>8106130.6600000001</v>
      </c>
      <c r="J212" s="44"/>
      <c r="K212" s="45">
        <v>4385668</v>
      </c>
      <c r="L212" s="45"/>
      <c r="M212" s="200">
        <f t="shared" si="56"/>
        <v>3801523.9665999999</v>
      </c>
      <c r="N212" s="45"/>
      <c r="O212" s="45">
        <f t="shared" si="57"/>
        <v>213568.76216853931</v>
      </c>
      <c r="P212" s="139"/>
      <c r="Q212" s="116">
        <f t="shared" si="58"/>
        <v>2.63</v>
      </c>
      <c r="S212" s="117">
        <v>17.8</v>
      </c>
      <c r="T212" s="32"/>
      <c r="U212" s="116">
        <v>2.87</v>
      </c>
      <c r="W212" s="145">
        <f t="shared" si="59"/>
        <v>232645.94994200001</v>
      </c>
      <c r="Y212" s="157">
        <f t="shared" si="60"/>
        <v>-19077.187773460697</v>
      </c>
    </row>
    <row r="213" spans="1:25" x14ac:dyDescent="0.2">
      <c r="A213" s="26"/>
      <c r="B213" s="139"/>
      <c r="C213" s="58" t="s">
        <v>126</v>
      </c>
      <c r="D213" s="139"/>
      <c r="E213" s="20" t="s">
        <v>143</v>
      </c>
      <c r="F213" s="20" t="s">
        <v>64</v>
      </c>
      <c r="G213" s="234">
        <f>'Spanos KU Prod No Term. NS'!U102</f>
        <v>-0.01</v>
      </c>
      <c r="H213" s="139"/>
      <c r="I213" s="45">
        <v>518704.54</v>
      </c>
      <c r="J213" s="44"/>
      <c r="K213" s="45">
        <v>88960</v>
      </c>
      <c r="L213" s="45"/>
      <c r="M213" s="200">
        <f t="shared" si="56"/>
        <v>434931.58539999998</v>
      </c>
      <c r="N213" s="45"/>
      <c r="O213" s="45">
        <f t="shared" si="57"/>
        <v>52401.395831325295</v>
      </c>
      <c r="P213" s="139"/>
      <c r="Q213" s="116">
        <f t="shared" si="58"/>
        <v>10.1</v>
      </c>
      <c r="S213" s="117">
        <v>8.3000000000000007</v>
      </c>
      <c r="T213" s="32"/>
      <c r="U213" s="116">
        <v>10.62</v>
      </c>
      <c r="W213" s="145">
        <f t="shared" si="59"/>
        <v>55086.422147999998</v>
      </c>
      <c r="Y213" s="157">
        <f t="shared" si="60"/>
        <v>-2685.0263166747027</v>
      </c>
    </row>
    <row r="214" spans="1:25" x14ac:dyDescent="0.2">
      <c r="A214" s="26"/>
      <c r="B214" s="139"/>
      <c r="C214" s="58" t="s">
        <v>127</v>
      </c>
      <c r="D214" s="139"/>
      <c r="E214" s="20" t="s">
        <v>143</v>
      </c>
      <c r="F214" s="20" t="s">
        <v>64</v>
      </c>
      <c r="G214" s="234">
        <f>'Spanos KU Prod No Term. NS'!U110</f>
        <v>-0.01</v>
      </c>
      <c r="H214" s="139"/>
      <c r="I214" s="90">
        <v>1995101.02</v>
      </c>
      <c r="J214" s="44"/>
      <c r="K214" s="45">
        <v>695267</v>
      </c>
      <c r="L214" s="45"/>
      <c r="M214" s="200">
        <f t="shared" si="56"/>
        <v>1319785.0301999999</v>
      </c>
      <c r="N214" s="45"/>
      <c r="O214" s="45">
        <f t="shared" si="57"/>
        <v>71339.731362162158</v>
      </c>
      <c r="P214" s="139"/>
      <c r="Q214" s="116">
        <f t="shared" si="58"/>
        <v>3.58</v>
      </c>
      <c r="S214" s="117">
        <v>18.5</v>
      </c>
      <c r="T214" s="32"/>
      <c r="U214" s="116">
        <v>3.8</v>
      </c>
      <c r="W214" s="145">
        <f t="shared" si="59"/>
        <v>75813.838759999999</v>
      </c>
      <c r="Y214" s="159">
        <f t="shared" si="60"/>
        <v>-4474.1073978378408</v>
      </c>
    </row>
    <row r="215" spans="1:25" x14ac:dyDescent="0.2">
      <c r="A215" s="26"/>
      <c r="B215" s="139"/>
      <c r="C215" s="139"/>
      <c r="D215" s="139"/>
      <c r="E215" s="20"/>
      <c r="F215" s="20"/>
      <c r="G215" s="19"/>
      <c r="H215" s="139"/>
      <c r="I215" s="45"/>
      <c r="J215" s="139"/>
      <c r="K215" s="49"/>
      <c r="L215" s="34"/>
      <c r="M215" s="49"/>
      <c r="N215" s="34"/>
      <c r="O215" s="49"/>
      <c r="P215" s="139"/>
      <c r="Q215" s="26"/>
      <c r="R215" s="139"/>
      <c r="S215" s="62"/>
      <c r="T215" s="32"/>
      <c r="U215" s="26"/>
    </row>
    <row r="216" spans="1:25" ht="15.75" x14ac:dyDescent="0.25">
      <c r="A216" s="26"/>
      <c r="B216" s="139"/>
      <c r="C216" s="65" t="s">
        <v>154</v>
      </c>
      <c r="D216" s="139"/>
      <c r="E216" s="20"/>
      <c r="F216" s="20"/>
      <c r="G216" s="19"/>
      <c r="H216" s="139"/>
      <c r="I216" s="45">
        <f>SUM(I198:I214)</f>
        <v>22747816.41</v>
      </c>
      <c r="J216" s="240"/>
      <c r="K216" s="45">
        <f>SUM(K198:K214)</f>
        <v>8652455</v>
      </c>
      <c r="L216" s="34"/>
      <c r="M216" s="45">
        <f>SUM(M198:M214)</f>
        <v>14322839.574100003</v>
      </c>
      <c r="N216" s="34"/>
      <c r="O216" s="45">
        <f>SUM(O198:O214)</f>
        <v>789135.10326161771</v>
      </c>
      <c r="P216" s="139"/>
      <c r="Q216" s="116">
        <f>IF(O216/I216*100=0,"-     ",ROUND(O216/I216*100,2))</f>
        <v>3.47</v>
      </c>
      <c r="S216" s="117">
        <v>18.100000000000001</v>
      </c>
      <c r="T216" s="32"/>
      <c r="U216" s="242">
        <f>W216/I216</f>
        <v>3.6935483868537164E-2</v>
      </c>
      <c r="W216" s="45">
        <f>SUM(W198:W214)</f>
        <v>840201.60605599999</v>
      </c>
      <c r="X216" s="16"/>
      <c r="Y216" s="45">
        <f>SUM(Y198:Y214)</f>
        <v>-51066.502794382301</v>
      </c>
    </row>
    <row r="217" spans="1:25" x14ac:dyDescent="0.2">
      <c r="A217" s="26"/>
      <c r="B217" s="139"/>
      <c r="C217" s="139"/>
      <c r="D217" s="139"/>
      <c r="E217" s="20"/>
      <c r="F217" s="20"/>
      <c r="G217" s="19"/>
      <c r="H217" s="139"/>
      <c r="I217" s="45"/>
      <c r="J217" s="139"/>
      <c r="K217" s="34"/>
      <c r="L217" s="34"/>
      <c r="M217" s="34"/>
      <c r="N217" s="34"/>
      <c r="O217" s="34"/>
      <c r="P217" s="139"/>
      <c r="Q217" s="26"/>
      <c r="R217" s="139"/>
      <c r="S217" s="62"/>
      <c r="T217" s="32"/>
      <c r="U217" s="26"/>
    </row>
    <row r="218" spans="1:25" x14ac:dyDescent="0.2">
      <c r="A218" s="26">
        <v>343</v>
      </c>
      <c r="B218" s="139"/>
      <c r="C218" s="139" t="s">
        <v>62</v>
      </c>
      <c r="D218" s="139"/>
      <c r="E218" s="56"/>
      <c r="F218" s="56"/>
      <c r="G218" s="66"/>
      <c r="H218" s="139"/>
      <c r="I218" s="45"/>
      <c r="J218" s="139"/>
      <c r="K218" s="34"/>
      <c r="L218" s="34"/>
      <c r="M218" s="34"/>
      <c r="N218" s="34"/>
      <c r="O218" s="34"/>
      <c r="P218" s="139"/>
      <c r="Q218" s="26"/>
      <c r="R218" s="139"/>
      <c r="S218" s="62"/>
      <c r="T218" s="32"/>
      <c r="U218" s="26"/>
    </row>
    <row r="219" spans="1:25" x14ac:dyDescent="0.2">
      <c r="A219" s="26"/>
      <c r="B219" s="139"/>
      <c r="C219" s="58" t="s">
        <v>113</v>
      </c>
      <c r="D219" s="139"/>
      <c r="E219" s="20" t="s">
        <v>194</v>
      </c>
      <c r="F219" s="20" t="s">
        <v>64</v>
      </c>
      <c r="G219" s="234">
        <f>'Spanos KU Prod No Term. NS'!U$111</f>
        <v>-0.01</v>
      </c>
      <c r="H219" s="139"/>
      <c r="I219" s="45">
        <v>31137756.050000001</v>
      </c>
      <c r="J219" s="44"/>
      <c r="K219" s="45">
        <v>10133882</v>
      </c>
      <c r="L219" s="45"/>
      <c r="M219" s="200">
        <f t="shared" ref="M219:M232" si="61">+((1-G219)*I219)-K219</f>
        <v>21315251.6105</v>
      </c>
      <c r="N219" s="45"/>
      <c r="O219" s="45">
        <f t="shared" ref="O219:O232" si="62">M219/S219</f>
        <v>1190796.179357542</v>
      </c>
      <c r="P219" s="139"/>
      <c r="Q219" s="116">
        <f t="shared" ref="Q219:Q232" si="63">IF(O219/I219*100=0,"-     ",ROUND(O219/I219*100,2))</f>
        <v>3.82</v>
      </c>
      <c r="S219" s="117">
        <v>17.899999999999999</v>
      </c>
      <c r="T219" s="32"/>
      <c r="U219" s="116">
        <v>4.04</v>
      </c>
      <c r="W219" s="145">
        <f t="shared" ref="W219:W232" si="64">(I219/100)*U219</f>
        <v>1257965.3444200002</v>
      </c>
      <c r="Y219" s="157">
        <f t="shared" ref="Y219:Y232" si="65">O219-W219</f>
        <v>-67169.165062458254</v>
      </c>
    </row>
    <row r="220" spans="1:25" x14ac:dyDescent="0.2">
      <c r="A220" s="26"/>
      <c r="B220" s="139"/>
      <c r="C220" s="58" t="s">
        <v>114</v>
      </c>
      <c r="D220" s="139"/>
      <c r="E220" s="20" t="s">
        <v>194</v>
      </c>
      <c r="F220" s="20" t="s">
        <v>64</v>
      </c>
      <c r="G220" s="234">
        <f>'Spanos KU Prod No Term. NS'!U$111</f>
        <v>-0.01</v>
      </c>
      <c r="H220" s="139"/>
      <c r="I220" s="45">
        <v>32030243.239999998</v>
      </c>
      <c r="J220" s="44"/>
      <c r="K220" s="45">
        <v>8059467</v>
      </c>
      <c r="L220" s="45"/>
      <c r="M220" s="200">
        <f t="shared" si="61"/>
        <v>24291078.672399998</v>
      </c>
      <c r="N220" s="45"/>
      <c r="O220" s="45">
        <f t="shared" si="62"/>
        <v>1349504.3706888887</v>
      </c>
      <c r="P220" s="139"/>
      <c r="Q220" s="116">
        <f t="shared" si="63"/>
        <v>4.21</v>
      </c>
      <c r="S220" s="117">
        <v>18</v>
      </c>
      <c r="T220" s="32"/>
      <c r="U220" s="116">
        <v>4.43</v>
      </c>
      <c r="W220" s="145">
        <f t="shared" si="64"/>
        <v>1418939.7755319998</v>
      </c>
      <c r="Y220" s="157">
        <f t="shared" si="65"/>
        <v>-69435.404843111057</v>
      </c>
    </row>
    <row r="221" spans="1:25" x14ac:dyDescent="0.2">
      <c r="A221" s="26"/>
      <c r="B221" s="139"/>
      <c r="C221" s="58" t="s">
        <v>115</v>
      </c>
      <c r="D221" s="139"/>
      <c r="E221" s="20" t="s">
        <v>194</v>
      </c>
      <c r="F221" s="20" t="s">
        <v>64</v>
      </c>
      <c r="G221" s="234">
        <f>'Spanos KU Prod No Term. NS'!U$111</f>
        <v>-0.01</v>
      </c>
      <c r="H221" s="139"/>
      <c r="I221" s="45">
        <v>23223115.609999999</v>
      </c>
      <c r="J221" s="44"/>
      <c r="K221" s="45">
        <v>6218174</v>
      </c>
      <c r="L221" s="45"/>
      <c r="M221" s="200">
        <f t="shared" si="61"/>
        <v>17237172.766100001</v>
      </c>
      <c r="N221" s="45"/>
      <c r="O221" s="45">
        <f t="shared" si="62"/>
        <v>879447.59010714281</v>
      </c>
      <c r="P221" s="139"/>
      <c r="Q221" s="116">
        <f t="shared" si="63"/>
        <v>3.79</v>
      </c>
      <c r="S221" s="117">
        <v>19.600000000000001</v>
      </c>
      <c r="T221" s="32"/>
      <c r="U221" s="116">
        <v>3.99</v>
      </c>
      <c r="W221" s="145">
        <f t="shared" si="64"/>
        <v>926602.31283900002</v>
      </c>
      <c r="Y221" s="157">
        <f t="shared" si="65"/>
        <v>-47154.722731857211</v>
      </c>
    </row>
    <row r="222" spans="1:25" x14ac:dyDescent="0.2">
      <c r="A222" s="26"/>
      <c r="B222" s="139"/>
      <c r="C222" s="58" t="s">
        <v>116</v>
      </c>
      <c r="D222" s="139"/>
      <c r="E222" s="20" t="s">
        <v>194</v>
      </c>
      <c r="F222" s="20" t="s">
        <v>64</v>
      </c>
      <c r="G222" s="234">
        <f>'Spanos KU Prod No Term. NS'!U$111</f>
        <v>-0.01</v>
      </c>
      <c r="H222" s="139"/>
      <c r="I222" s="45">
        <v>23034740.629999999</v>
      </c>
      <c r="J222" s="44"/>
      <c r="K222" s="45">
        <v>6163385</v>
      </c>
      <c r="L222" s="45"/>
      <c r="M222" s="200">
        <f t="shared" si="61"/>
        <v>17101703.0363</v>
      </c>
      <c r="N222" s="45"/>
      <c r="O222" s="45">
        <f t="shared" si="62"/>
        <v>872535.86919897946</v>
      </c>
      <c r="P222" s="139"/>
      <c r="Q222" s="116">
        <f t="shared" si="63"/>
        <v>3.79</v>
      </c>
      <c r="S222" s="117">
        <v>19.600000000000001</v>
      </c>
      <c r="T222" s="32"/>
      <c r="U222" s="116">
        <v>3.99</v>
      </c>
      <c r="W222" s="145">
        <f t="shared" si="64"/>
        <v>919086.15113700007</v>
      </c>
      <c r="Y222" s="157">
        <f t="shared" si="65"/>
        <v>-46550.281938020606</v>
      </c>
    </row>
    <row r="223" spans="1:25" x14ac:dyDescent="0.2">
      <c r="A223" s="26"/>
      <c r="B223" s="139"/>
      <c r="C223" s="58" t="s">
        <v>117</v>
      </c>
      <c r="D223" s="139"/>
      <c r="E223" s="20" t="s">
        <v>194</v>
      </c>
      <c r="F223" s="20" t="s">
        <v>64</v>
      </c>
      <c r="G223" s="234">
        <f>'Spanos KU Prod No Term. NS'!U$111</f>
        <v>-0.01</v>
      </c>
      <c r="H223" s="139"/>
      <c r="I223" s="45">
        <v>22902195.539999999</v>
      </c>
      <c r="J223" s="44"/>
      <c r="K223" s="45">
        <v>5896000</v>
      </c>
      <c r="L223" s="45"/>
      <c r="M223" s="200">
        <f t="shared" si="61"/>
        <v>17235217.4954</v>
      </c>
      <c r="N223" s="45"/>
      <c r="O223" s="45">
        <f t="shared" si="62"/>
        <v>879347.83139795915</v>
      </c>
      <c r="P223" s="139"/>
      <c r="Q223" s="116">
        <f t="shared" si="63"/>
        <v>3.84</v>
      </c>
      <c r="S223" s="117">
        <v>19.600000000000001</v>
      </c>
      <c r="T223" s="32"/>
      <c r="U223" s="116">
        <v>4.04</v>
      </c>
      <c r="W223" s="145">
        <f t="shared" si="64"/>
        <v>925248.69981599995</v>
      </c>
      <c r="Y223" s="157">
        <f t="shared" si="65"/>
        <v>-45900.868418040802</v>
      </c>
    </row>
    <row r="224" spans="1:25" x14ac:dyDescent="0.2">
      <c r="A224" s="26"/>
      <c r="B224" s="139"/>
      <c r="C224" s="58" t="s">
        <v>118</v>
      </c>
      <c r="D224" s="139"/>
      <c r="E224" s="20" t="s">
        <v>194</v>
      </c>
      <c r="F224" s="20" t="s">
        <v>64</v>
      </c>
      <c r="G224" s="234">
        <f>'Spanos KU Prod No Term. NS'!U$111</f>
        <v>-0.01</v>
      </c>
      <c r="H224" s="139"/>
      <c r="I224" s="45">
        <v>22850722.460000001</v>
      </c>
      <c r="J224" s="44"/>
      <c r="K224" s="45">
        <v>5890691</v>
      </c>
      <c r="L224" s="45"/>
      <c r="M224" s="200">
        <f t="shared" si="61"/>
        <v>17188538.684599999</v>
      </c>
      <c r="N224" s="45"/>
      <c r="O224" s="45">
        <f t="shared" si="62"/>
        <v>876966.25941836729</v>
      </c>
      <c r="P224" s="139"/>
      <c r="Q224" s="116">
        <f t="shared" si="63"/>
        <v>3.84</v>
      </c>
      <c r="S224" s="117">
        <v>19.600000000000001</v>
      </c>
      <c r="T224" s="32"/>
      <c r="U224" s="116">
        <v>4.04</v>
      </c>
      <c r="W224" s="145">
        <f t="shared" si="64"/>
        <v>923169.18738400005</v>
      </c>
      <c r="Y224" s="157">
        <f t="shared" si="65"/>
        <v>-46202.927965632756</v>
      </c>
    </row>
    <row r="225" spans="1:25" x14ac:dyDescent="0.2">
      <c r="A225" s="26"/>
      <c r="B225" s="139"/>
      <c r="C225" s="58" t="s">
        <v>119</v>
      </c>
      <c r="D225" s="139"/>
      <c r="E225" s="20" t="s">
        <v>194</v>
      </c>
      <c r="F225" s="20" t="s">
        <v>64</v>
      </c>
      <c r="G225" s="234">
        <f>'Spanos KU Prod No Term. NS'!U$94</f>
        <v>-0.01</v>
      </c>
      <c r="H225" s="139"/>
      <c r="I225" s="45">
        <v>14666936.33</v>
      </c>
      <c r="J225" s="44"/>
      <c r="K225" s="45">
        <v>4448405</v>
      </c>
      <c r="L225" s="45"/>
      <c r="M225" s="200">
        <f t="shared" si="61"/>
        <v>10365200.693299999</v>
      </c>
      <c r="N225" s="45"/>
      <c r="O225" s="45">
        <f t="shared" si="62"/>
        <v>602627.9472848837</v>
      </c>
      <c r="P225" s="139"/>
      <c r="Q225" s="116">
        <f t="shared" si="63"/>
        <v>4.1100000000000003</v>
      </c>
      <c r="S225" s="117">
        <v>17.2</v>
      </c>
      <c r="T225" s="32"/>
      <c r="U225" s="116">
        <v>4.33</v>
      </c>
      <c r="W225" s="145">
        <f t="shared" si="64"/>
        <v>635078.34308899997</v>
      </c>
      <c r="Y225" s="157">
        <f t="shared" si="65"/>
        <v>-32450.39580411627</v>
      </c>
    </row>
    <row r="226" spans="1:25" ht="16.5" customHeight="1" x14ac:dyDescent="0.2">
      <c r="A226" s="114" t="s">
        <v>130</v>
      </c>
      <c r="B226" s="139"/>
      <c r="C226" s="58" t="s">
        <v>120</v>
      </c>
      <c r="D226" s="139"/>
      <c r="E226" s="20" t="s">
        <v>194</v>
      </c>
      <c r="F226" s="20" t="s">
        <v>64</v>
      </c>
      <c r="G226" s="234">
        <f>'Spanos KU Prod No Term. NS'!U$94</f>
        <v>-0.01</v>
      </c>
      <c r="H226" s="139"/>
      <c r="I226" s="45">
        <v>34600149.280000001</v>
      </c>
      <c r="J226" s="44"/>
      <c r="K226" s="45">
        <v>7991509</v>
      </c>
      <c r="L226" s="45"/>
      <c r="M226" s="200">
        <f t="shared" si="61"/>
        <v>26954641.772799999</v>
      </c>
      <c r="N226" s="45"/>
      <c r="O226" s="45">
        <f t="shared" si="62"/>
        <v>1727861.652102564</v>
      </c>
      <c r="P226" s="139"/>
      <c r="Q226" s="116">
        <f t="shared" si="63"/>
        <v>4.99</v>
      </c>
      <c r="S226" s="117">
        <v>15.6</v>
      </c>
      <c r="T226" s="32"/>
      <c r="U226" s="116">
        <v>5.24</v>
      </c>
      <c r="W226" s="145">
        <f t="shared" si="64"/>
        <v>1813047.8222720001</v>
      </c>
      <c r="Y226" s="157">
        <f t="shared" si="65"/>
        <v>-85186.17016943614</v>
      </c>
    </row>
    <row r="227" spans="1:25" x14ac:dyDescent="0.2">
      <c r="A227" s="26"/>
      <c r="B227" s="139"/>
      <c r="C227" s="58" t="s">
        <v>121</v>
      </c>
      <c r="D227" s="139"/>
      <c r="E227" s="20" t="s">
        <v>194</v>
      </c>
      <c r="F227" s="20" t="s">
        <v>64</v>
      </c>
      <c r="G227" s="234">
        <f>'Spanos KU Prod No Term. NS'!U$94</f>
        <v>-0.01</v>
      </c>
      <c r="H227" s="139"/>
      <c r="I227" s="45">
        <v>31657718.920000002</v>
      </c>
      <c r="J227" s="44"/>
      <c r="K227" s="45">
        <v>7847473</v>
      </c>
      <c r="L227" s="45"/>
      <c r="M227" s="200">
        <f t="shared" si="61"/>
        <v>24126823.109200001</v>
      </c>
      <c r="N227" s="45"/>
      <c r="O227" s="45">
        <f t="shared" si="62"/>
        <v>1546591.224948718</v>
      </c>
      <c r="P227" s="139"/>
      <c r="Q227" s="116">
        <f t="shared" si="63"/>
        <v>4.8899999999999997</v>
      </c>
      <c r="S227" s="117">
        <v>15.6</v>
      </c>
      <c r="T227" s="32"/>
      <c r="U227" s="116">
        <v>5.15</v>
      </c>
      <c r="W227" s="145">
        <f t="shared" si="64"/>
        <v>1630372.5243800003</v>
      </c>
      <c r="Y227" s="157">
        <f t="shared" si="65"/>
        <v>-83781.299431282328</v>
      </c>
    </row>
    <row r="228" spans="1:25" x14ac:dyDescent="0.2">
      <c r="A228" s="26"/>
      <c r="B228" s="139"/>
      <c r="C228" s="58" t="s">
        <v>122</v>
      </c>
      <c r="D228" s="139"/>
      <c r="E228" s="20" t="s">
        <v>194</v>
      </c>
      <c r="F228" s="20" t="s">
        <v>64</v>
      </c>
      <c r="G228" s="234">
        <f>'Spanos KU Prod No Term. NS'!U$94</f>
        <v>-0.01</v>
      </c>
      <c r="H228" s="139"/>
      <c r="I228" s="45">
        <v>26710989.989999998</v>
      </c>
      <c r="J228" s="44"/>
      <c r="K228" s="45">
        <v>10068236</v>
      </c>
      <c r="L228" s="45"/>
      <c r="M228" s="200">
        <f t="shared" si="61"/>
        <v>16909863.889899999</v>
      </c>
      <c r="N228" s="45"/>
      <c r="O228" s="45">
        <f t="shared" si="62"/>
        <v>1363698.7007983869</v>
      </c>
      <c r="P228" s="139"/>
      <c r="Q228" s="116">
        <f t="shared" si="63"/>
        <v>5.1100000000000003</v>
      </c>
      <c r="S228" s="117">
        <v>12.4</v>
      </c>
      <c r="T228" s="32"/>
      <c r="U228" s="116">
        <v>5.45</v>
      </c>
      <c r="W228" s="145">
        <f t="shared" si="64"/>
        <v>1455748.9544549999</v>
      </c>
      <c r="Y228" s="157">
        <f t="shared" si="65"/>
        <v>-92050.253656612942</v>
      </c>
    </row>
    <row r="229" spans="1:25" x14ac:dyDescent="0.2">
      <c r="A229" s="68"/>
      <c r="B229" s="139"/>
      <c r="C229" s="58" t="s">
        <v>123</v>
      </c>
      <c r="D229" s="139"/>
      <c r="E229" s="20" t="s">
        <v>194</v>
      </c>
      <c r="F229" s="20" t="s">
        <v>64</v>
      </c>
      <c r="G229" s="234">
        <f>'Spanos KU Prod No Term. NS'!U$94</f>
        <v>-0.01</v>
      </c>
      <c r="H229" s="139"/>
      <c r="I229" s="45">
        <v>23335363.18</v>
      </c>
      <c r="J229" s="44"/>
      <c r="K229" s="45">
        <v>11433236</v>
      </c>
      <c r="L229" s="45"/>
      <c r="M229" s="200">
        <f t="shared" si="61"/>
        <v>12135480.811799999</v>
      </c>
      <c r="N229" s="45"/>
      <c r="O229" s="45">
        <f t="shared" si="62"/>
        <v>744508.02526380366</v>
      </c>
      <c r="P229" s="139"/>
      <c r="Q229" s="116">
        <f t="shared" si="63"/>
        <v>3.19</v>
      </c>
      <c r="S229" s="117">
        <v>16.3</v>
      </c>
      <c r="T229" s="32"/>
      <c r="U229" s="116">
        <v>3.43</v>
      </c>
      <c r="W229" s="145">
        <f t="shared" si="64"/>
        <v>800402.95707400003</v>
      </c>
      <c r="Y229" s="157">
        <f t="shared" si="65"/>
        <v>-55894.931810196373</v>
      </c>
    </row>
    <row r="230" spans="1:25" x14ac:dyDescent="0.2">
      <c r="A230" s="26"/>
      <c r="B230" s="139"/>
      <c r="C230" s="58" t="s">
        <v>124</v>
      </c>
      <c r="D230" s="139"/>
      <c r="E230" s="20" t="s">
        <v>194</v>
      </c>
      <c r="F230" s="20" t="s">
        <v>64</v>
      </c>
      <c r="G230" s="234">
        <f>'Spanos KU Prod No Term. NS'!U$94</f>
        <v>-0.01</v>
      </c>
      <c r="H230" s="139"/>
      <c r="I230" s="45">
        <v>20074765.960000001</v>
      </c>
      <c r="J230" s="44"/>
      <c r="K230" s="45">
        <v>9663038</v>
      </c>
      <c r="L230" s="45"/>
      <c r="M230" s="200">
        <f t="shared" si="61"/>
        <v>10612475.619600002</v>
      </c>
      <c r="N230" s="45"/>
      <c r="O230" s="45">
        <f t="shared" si="62"/>
        <v>651072.12390184053</v>
      </c>
      <c r="P230" s="139"/>
      <c r="Q230" s="116">
        <f t="shared" si="63"/>
        <v>3.24</v>
      </c>
      <c r="S230" s="117">
        <v>16.3</v>
      </c>
      <c r="T230" s="32"/>
      <c r="U230" s="116">
        <v>3.49</v>
      </c>
      <c r="W230" s="145">
        <f t="shared" si="64"/>
        <v>700609.33200400008</v>
      </c>
      <c r="Y230" s="157">
        <f t="shared" si="65"/>
        <v>-49537.208102159551</v>
      </c>
    </row>
    <row r="231" spans="1:25" x14ac:dyDescent="0.2">
      <c r="A231" s="26"/>
      <c r="B231" s="139"/>
      <c r="C231" s="58" t="s">
        <v>125</v>
      </c>
      <c r="D231" s="139"/>
      <c r="E231" s="20" t="s">
        <v>194</v>
      </c>
      <c r="F231" s="20" t="s">
        <v>64</v>
      </c>
      <c r="G231" s="234">
        <f>'Spanos KU Prod No Term. NS'!U$94</f>
        <v>-0.01</v>
      </c>
      <c r="H231" s="139"/>
      <c r="I231" s="45">
        <v>34794971.170000002</v>
      </c>
      <c r="J231" s="44"/>
      <c r="K231" s="45">
        <v>15401000</v>
      </c>
      <c r="L231" s="45"/>
      <c r="M231" s="200">
        <f t="shared" si="61"/>
        <v>19741920.881700002</v>
      </c>
      <c r="N231" s="45"/>
      <c r="O231" s="45">
        <f t="shared" si="62"/>
        <v>1507016.8611984735</v>
      </c>
      <c r="P231" s="139"/>
      <c r="Q231" s="116">
        <f t="shared" si="63"/>
        <v>4.33</v>
      </c>
      <c r="S231" s="117">
        <v>13.1</v>
      </c>
      <c r="T231" s="32"/>
      <c r="U231" s="116">
        <v>4.6500000000000004</v>
      </c>
      <c r="W231" s="145">
        <f t="shared" si="64"/>
        <v>1617966.1594050003</v>
      </c>
      <c r="Y231" s="157">
        <f t="shared" si="65"/>
        <v>-110949.29820652679</v>
      </c>
    </row>
    <row r="232" spans="1:25" x14ac:dyDescent="0.2">
      <c r="A232" s="26"/>
      <c r="B232" s="139"/>
      <c r="C232" s="58" t="s">
        <v>127</v>
      </c>
      <c r="D232" s="139"/>
      <c r="E232" s="20" t="s">
        <v>194</v>
      </c>
      <c r="F232" s="20" t="s">
        <v>64</v>
      </c>
      <c r="G232" s="234">
        <f>'Spanos KU Prod No Term. NS'!U111</f>
        <v>-0.01</v>
      </c>
      <c r="H232" s="139"/>
      <c r="I232" s="90">
        <v>17803364.010000002</v>
      </c>
      <c r="J232" s="44"/>
      <c r="K232" s="90">
        <v>4875055</v>
      </c>
      <c r="L232" s="45"/>
      <c r="M232" s="200">
        <f t="shared" si="61"/>
        <v>13106342.6501</v>
      </c>
      <c r="N232" s="45"/>
      <c r="O232" s="45">
        <f t="shared" si="62"/>
        <v>766452.78655555553</v>
      </c>
      <c r="P232" s="139"/>
      <c r="Q232" s="116">
        <f t="shared" si="63"/>
        <v>4.3099999999999996</v>
      </c>
      <c r="S232" s="117">
        <v>17.100000000000001</v>
      </c>
      <c r="T232" s="32"/>
      <c r="U232" s="116">
        <v>4.53</v>
      </c>
      <c r="W232" s="145">
        <f t="shared" si="64"/>
        <v>806492.38965300017</v>
      </c>
      <c r="Y232" s="159">
        <f t="shared" si="65"/>
        <v>-40039.603097444633</v>
      </c>
    </row>
    <row r="233" spans="1:25" x14ac:dyDescent="0.2">
      <c r="A233" s="26"/>
      <c r="B233" s="139"/>
      <c r="C233" s="139"/>
      <c r="D233" s="139"/>
      <c r="E233" s="20"/>
      <c r="F233" s="20"/>
      <c r="G233" s="19"/>
      <c r="H233" s="139"/>
      <c r="I233" s="45"/>
      <c r="J233" s="44"/>
      <c r="K233" s="45"/>
      <c r="L233" s="45"/>
      <c r="M233" s="45"/>
      <c r="N233" s="45"/>
      <c r="O233" s="45"/>
      <c r="P233" s="139"/>
      <c r="Q233" s="26"/>
      <c r="R233" s="139"/>
      <c r="S233" s="62"/>
      <c r="T233" s="32"/>
      <c r="U233" s="26"/>
    </row>
    <row r="234" spans="1:25" ht="15.75" x14ac:dyDescent="0.25">
      <c r="A234" s="26"/>
      <c r="B234" s="139"/>
      <c r="C234" s="65" t="s">
        <v>63</v>
      </c>
      <c r="D234" s="139"/>
      <c r="E234" s="20"/>
      <c r="F234" s="20"/>
      <c r="G234" s="19"/>
      <c r="H234" s="139"/>
      <c r="I234" s="45">
        <f>SUM(I219:I232)</f>
        <v>358823032.37</v>
      </c>
      <c r="J234" s="139"/>
      <c r="K234" s="45">
        <f>SUM(K219:K232)</f>
        <v>114089551</v>
      </c>
      <c r="L234" s="34"/>
      <c r="M234" s="45">
        <f>SUM(M219:M232)</f>
        <v>248321711.69369999</v>
      </c>
      <c r="N234" s="34"/>
      <c r="O234" s="45">
        <f>SUM(O219:O232)</f>
        <v>14958427.422223104</v>
      </c>
      <c r="P234" s="139"/>
      <c r="Q234" s="116">
        <f>IF(O234/I234*100=0,"-     ",ROUND(O234/I234*100,2))</f>
        <v>4.17</v>
      </c>
      <c r="S234" s="117">
        <v>16.600000000000001</v>
      </c>
      <c r="T234" s="32"/>
      <c r="U234" s="242">
        <f>W234/I234</f>
        <v>4.4118488852009252E-2</v>
      </c>
      <c r="W234" s="45">
        <f>SUM(W219:W232)</f>
        <v>15830729.95346</v>
      </c>
      <c r="Y234" s="45">
        <f>SUM(Y219:Y232)</f>
        <v>-872302.53123689571</v>
      </c>
    </row>
    <row r="235" spans="1:25" x14ac:dyDescent="0.2">
      <c r="A235" s="26"/>
      <c r="B235" s="139"/>
      <c r="C235" s="139"/>
      <c r="D235" s="139"/>
      <c r="E235" s="20"/>
      <c r="F235" s="20"/>
      <c r="G235" s="19"/>
      <c r="H235" s="139"/>
      <c r="I235" s="45"/>
      <c r="J235" s="139"/>
      <c r="K235" s="34"/>
      <c r="L235" s="34"/>
      <c r="M235" s="34"/>
      <c r="N235" s="34"/>
      <c r="O235" s="34"/>
      <c r="P235" s="139"/>
      <c r="Q235" s="26"/>
      <c r="R235" s="139"/>
      <c r="S235" s="62"/>
      <c r="T235" s="32"/>
      <c r="U235" s="26"/>
    </row>
    <row r="236" spans="1:25" x14ac:dyDescent="0.2">
      <c r="A236" s="26">
        <v>344</v>
      </c>
      <c r="B236" s="139"/>
      <c r="C236" s="139" t="s">
        <v>37</v>
      </c>
      <c r="D236" s="139"/>
      <c r="E236" s="56"/>
      <c r="F236" s="56"/>
      <c r="G236" s="66"/>
      <c r="H236" s="139"/>
      <c r="I236" s="45"/>
      <c r="J236" s="139"/>
      <c r="K236" s="34"/>
      <c r="L236" s="34"/>
      <c r="M236" s="34"/>
      <c r="N236" s="34"/>
      <c r="O236" s="34"/>
      <c r="P236" s="139"/>
      <c r="Q236" s="26"/>
      <c r="R236" s="139"/>
      <c r="S236" s="62"/>
      <c r="T236" s="32"/>
      <c r="U236" s="26"/>
    </row>
    <row r="237" spans="1:25" x14ac:dyDescent="0.2">
      <c r="A237" s="26"/>
      <c r="B237" s="139"/>
      <c r="C237" s="58" t="s">
        <v>113</v>
      </c>
      <c r="D237" s="139"/>
      <c r="E237" s="20" t="s">
        <v>144</v>
      </c>
      <c r="F237" s="20" t="s">
        <v>64</v>
      </c>
      <c r="G237" s="234">
        <f>'Spanos KU Prod No Term. NS'!U$121</f>
        <v>-0.01</v>
      </c>
      <c r="H237" s="139"/>
      <c r="I237" s="45">
        <v>3763274.51</v>
      </c>
      <c r="J237" s="44"/>
      <c r="K237" s="45">
        <v>1176387</v>
      </c>
      <c r="L237" s="45"/>
      <c r="M237" s="200">
        <f t="shared" ref="M237:M251" si="66">+((1-G237)*I237)-K237</f>
        <v>2624520.2550999997</v>
      </c>
      <c r="N237" s="45"/>
      <c r="O237" s="45">
        <f t="shared" ref="O237:O251" si="67">M237/S237</f>
        <v>128652.95368137254</v>
      </c>
      <c r="P237" s="139"/>
      <c r="Q237" s="116">
        <f t="shared" ref="Q237:Q251" si="68">IF(O237/I237*100=0,"-     ",ROUND(O237/I237*100,2))</f>
        <v>3.42</v>
      </c>
      <c r="S237" s="117">
        <v>20.399999999999999</v>
      </c>
      <c r="T237" s="32"/>
      <c r="U237" s="116">
        <v>3.62</v>
      </c>
      <c r="W237" s="145">
        <f t="shared" ref="W237:W251" si="69">(I237/100)*U237</f>
        <v>136230.537262</v>
      </c>
      <c r="Y237" s="157">
        <f t="shared" ref="Y237:Y251" si="70">O237-W237</f>
        <v>-7577.5835806274554</v>
      </c>
    </row>
    <row r="238" spans="1:25" x14ac:dyDescent="0.2">
      <c r="A238" s="26"/>
      <c r="B238" s="139"/>
      <c r="C238" s="58" t="s">
        <v>114</v>
      </c>
      <c r="D238" s="139"/>
      <c r="E238" s="20" t="s">
        <v>144</v>
      </c>
      <c r="F238" s="20" t="s">
        <v>64</v>
      </c>
      <c r="G238" s="234">
        <f>'Spanos KU Prod No Term. NS'!U$121</f>
        <v>-0.01</v>
      </c>
      <c r="H238" s="139"/>
      <c r="I238" s="45">
        <v>3757946.57</v>
      </c>
      <c r="J238" s="44"/>
      <c r="K238" s="45">
        <v>1174917</v>
      </c>
      <c r="L238" s="45"/>
      <c r="M238" s="200">
        <f t="shared" si="66"/>
        <v>2620609.0356999999</v>
      </c>
      <c r="N238" s="45"/>
      <c r="O238" s="45">
        <f t="shared" si="67"/>
        <v>128461.22724019608</v>
      </c>
      <c r="P238" s="139"/>
      <c r="Q238" s="116">
        <f t="shared" si="68"/>
        <v>3.42</v>
      </c>
      <c r="S238" s="117">
        <v>20.399999999999999</v>
      </c>
      <c r="T238" s="32"/>
      <c r="U238" s="116">
        <v>3.62</v>
      </c>
      <c r="W238" s="145">
        <f t="shared" si="69"/>
        <v>136037.66583400001</v>
      </c>
      <c r="Y238" s="157">
        <f t="shared" si="70"/>
        <v>-7576.4385938039341</v>
      </c>
    </row>
    <row r="239" spans="1:25" x14ac:dyDescent="0.2">
      <c r="A239" s="26"/>
      <c r="B239" s="139"/>
      <c r="C239" s="58" t="s">
        <v>115</v>
      </c>
      <c r="D239" s="139"/>
      <c r="E239" s="20" t="s">
        <v>144</v>
      </c>
      <c r="F239" s="20" t="s">
        <v>64</v>
      </c>
      <c r="G239" s="234">
        <f>'Spanos KU Prod No Term. NS'!U$121</f>
        <v>-0.01</v>
      </c>
      <c r="H239" s="139"/>
      <c r="I239" s="45">
        <v>2950282.37</v>
      </c>
      <c r="J239" s="44"/>
      <c r="K239" s="45">
        <v>748548</v>
      </c>
      <c r="L239" s="45"/>
      <c r="M239" s="200">
        <f t="shared" si="66"/>
        <v>2231237.1937000002</v>
      </c>
      <c r="N239" s="45"/>
      <c r="O239" s="45">
        <f t="shared" si="67"/>
        <v>99608.803290178592</v>
      </c>
      <c r="P239" s="139"/>
      <c r="Q239" s="116">
        <f t="shared" si="68"/>
        <v>3.38</v>
      </c>
      <c r="S239" s="117">
        <v>22.4</v>
      </c>
      <c r="T239" s="32"/>
      <c r="U239" s="116">
        <v>3.56</v>
      </c>
      <c r="W239" s="145">
        <f t="shared" si="69"/>
        <v>105030.05237200001</v>
      </c>
      <c r="Y239" s="157">
        <f t="shared" si="70"/>
        <v>-5421.2490818214137</v>
      </c>
    </row>
    <row r="240" spans="1:25" x14ac:dyDescent="0.2">
      <c r="A240" s="26"/>
      <c r="B240" s="139"/>
      <c r="C240" s="58" t="s">
        <v>116</v>
      </c>
      <c r="D240" s="139"/>
      <c r="E240" s="20" t="s">
        <v>144</v>
      </c>
      <c r="F240" s="20" t="s">
        <v>64</v>
      </c>
      <c r="G240" s="234">
        <f>'Spanos KU Prod No Term. NS'!U$121</f>
        <v>-0.01</v>
      </c>
      <c r="H240" s="139"/>
      <c r="I240" s="45">
        <v>2937930.22</v>
      </c>
      <c r="J240" s="44"/>
      <c r="K240" s="45">
        <v>745414</v>
      </c>
      <c r="L240" s="45"/>
      <c r="M240" s="200">
        <f t="shared" si="66"/>
        <v>2221895.5222</v>
      </c>
      <c r="N240" s="45"/>
      <c r="O240" s="45">
        <f t="shared" si="67"/>
        <v>99191.764383928574</v>
      </c>
      <c r="P240" s="139"/>
      <c r="Q240" s="116">
        <f t="shared" si="68"/>
        <v>3.38</v>
      </c>
      <c r="S240" s="117">
        <v>22.4</v>
      </c>
      <c r="T240" s="32"/>
      <c r="U240" s="116">
        <v>3.56</v>
      </c>
      <c r="W240" s="145">
        <f t="shared" si="69"/>
        <v>104590.31583200001</v>
      </c>
      <c r="Y240" s="157">
        <f t="shared" si="70"/>
        <v>-5398.5514480714337</v>
      </c>
    </row>
    <row r="241" spans="1:25" x14ac:dyDescent="0.2">
      <c r="A241" s="26"/>
      <c r="B241" s="139"/>
      <c r="C241" s="58" t="s">
        <v>117</v>
      </c>
      <c r="D241" s="139"/>
      <c r="E241" s="20" t="s">
        <v>144</v>
      </c>
      <c r="F241" s="20" t="s">
        <v>64</v>
      </c>
      <c r="G241" s="234">
        <f>'Spanos KU Prod No Term. NS'!U$121</f>
        <v>-0.01</v>
      </c>
      <c r="H241" s="139"/>
      <c r="I241" s="45">
        <v>2957520.12</v>
      </c>
      <c r="J241" s="44"/>
      <c r="K241" s="45">
        <v>741931</v>
      </c>
      <c r="L241" s="45"/>
      <c r="M241" s="200">
        <f t="shared" si="66"/>
        <v>2245164.3212000001</v>
      </c>
      <c r="N241" s="45"/>
      <c r="O241" s="45">
        <f t="shared" si="67"/>
        <v>100230.55005357144</v>
      </c>
      <c r="P241" s="139"/>
      <c r="Q241" s="116">
        <f t="shared" si="68"/>
        <v>3.39</v>
      </c>
      <c r="S241" s="117">
        <v>22.4</v>
      </c>
      <c r="T241" s="32"/>
      <c r="U241" s="116">
        <v>3.57</v>
      </c>
      <c r="W241" s="145">
        <f t="shared" si="69"/>
        <v>105583.46828399999</v>
      </c>
      <c r="Y241" s="157">
        <f t="shared" si="70"/>
        <v>-5352.9182304285496</v>
      </c>
    </row>
    <row r="242" spans="1:25" x14ac:dyDescent="0.2">
      <c r="A242" s="26"/>
      <c r="B242" s="139"/>
      <c r="C242" s="58" t="s">
        <v>118</v>
      </c>
      <c r="D242" s="139"/>
      <c r="E242" s="20" t="s">
        <v>144</v>
      </c>
      <c r="F242" s="20" t="s">
        <v>64</v>
      </c>
      <c r="G242" s="234">
        <f>'Spanos KU Prod No Term. NS'!U$121</f>
        <v>-0.01</v>
      </c>
      <c r="H242" s="139"/>
      <c r="I242" s="45">
        <v>2954148.53</v>
      </c>
      <c r="J242" s="44"/>
      <c r="K242" s="45">
        <v>741085</v>
      </c>
      <c r="L242" s="45"/>
      <c r="M242" s="200">
        <f t="shared" si="66"/>
        <v>2242605.0152999996</v>
      </c>
      <c r="N242" s="45"/>
      <c r="O242" s="45">
        <f t="shared" si="67"/>
        <v>100116.29532589285</v>
      </c>
      <c r="P242" s="139"/>
      <c r="Q242" s="116">
        <f t="shared" si="68"/>
        <v>3.39</v>
      </c>
      <c r="S242" s="117">
        <v>22.4</v>
      </c>
      <c r="T242" s="32"/>
      <c r="U242" s="116">
        <v>3.57</v>
      </c>
      <c r="W242" s="145">
        <f t="shared" si="69"/>
        <v>105463.10252099998</v>
      </c>
      <c r="Y242" s="157">
        <f t="shared" si="70"/>
        <v>-5346.8071951071324</v>
      </c>
    </row>
    <row r="243" spans="1:25" x14ac:dyDescent="0.2">
      <c r="A243" s="26"/>
      <c r="B243" s="139"/>
      <c r="C243" s="58" t="s">
        <v>119</v>
      </c>
      <c r="D243" s="139"/>
      <c r="E243" s="20" t="s">
        <v>144</v>
      </c>
      <c r="F243" s="20" t="s">
        <v>64</v>
      </c>
      <c r="G243" s="234">
        <f>'Spanos KU Prod No Term. NS'!U$95</f>
        <v>-0.01</v>
      </c>
      <c r="H243" s="139"/>
      <c r="I243" s="45">
        <v>2858147.66</v>
      </c>
      <c r="J243" s="44"/>
      <c r="K243" s="45">
        <v>934297</v>
      </c>
      <c r="L243" s="45"/>
      <c r="M243" s="200">
        <f t="shared" si="66"/>
        <v>1952432.1366000003</v>
      </c>
      <c r="N243" s="45"/>
      <c r="O243" s="45">
        <f t="shared" si="67"/>
        <v>100640.83178350517</v>
      </c>
      <c r="P243" s="139"/>
      <c r="Q243" s="116">
        <f t="shared" si="68"/>
        <v>3.52</v>
      </c>
      <c r="S243" s="117">
        <v>19.399999999999999</v>
      </c>
      <c r="T243" s="32"/>
      <c r="U243" s="116">
        <v>3.73</v>
      </c>
      <c r="W243" s="145">
        <f t="shared" si="69"/>
        <v>106608.907718</v>
      </c>
      <c r="Y243" s="157">
        <f t="shared" si="70"/>
        <v>-5968.075934494831</v>
      </c>
    </row>
    <row r="244" spans="1:25" x14ac:dyDescent="0.2">
      <c r="A244" s="26"/>
      <c r="B244" s="139"/>
      <c r="C244" s="58" t="s">
        <v>120</v>
      </c>
      <c r="D244" s="139"/>
      <c r="E244" s="20" t="s">
        <v>144</v>
      </c>
      <c r="F244" s="20" t="s">
        <v>64</v>
      </c>
      <c r="G244" s="234">
        <f>'Spanos KU Prod No Term. NS'!U$95</f>
        <v>-0.01</v>
      </c>
      <c r="H244" s="139"/>
      <c r="I244" s="45">
        <v>3712619.52</v>
      </c>
      <c r="J244" s="44"/>
      <c r="K244" s="45">
        <v>1492911</v>
      </c>
      <c r="L244" s="45"/>
      <c r="M244" s="200">
        <f t="shared" si="66"/>
        <v>2256834.7152</v>
      </c>
      <c r="N244" s="45"/>
      <c r="O244" s="45">
        <f t="shared" si="67"/>
        <v>129703.14455172415</v>
      </c>
      <c r="P244" s="139"/>
      <c r="Q244" s="116">
        <f t="shared" si="68"/>
        <v>3.49</v>
      </c>
      <c r="S244" s="117">
        <v>17.399999999999999</v>
      </c>
      <c r="T244" s="32"/>
      <c r="U244" s="116">
        <v>3.73</v>
      </c>
      <c r="W244" s="145">
        <f t="shared" si="69"/>
        <v>138480.70809600002</v>
      </c>
      <c r="Y244" s="157">
        <f t="shared" si="70"/>
        <v>-8777.5635442758648</v>
      </c>
    </row>
    <row r="245" spans="1:25" x14ac:dyDescent="0.2">
      <c r="A245" s="26"/>
      <c r="B245" s="139"/>
      <c r="C245" s="58" t="s">
        <v>121</v>
      </c>
      <c r="D245" s="139"/>
      <c r="E245" s="20" t="s">
        <v>144</v>
      </c>
      <c r="F245" s="20" t="s">
        <v>64</v>
      </c>
      <c r="G245" s="234">
        <f>'Spanos KU Prod No Term. NS'!U$95</f>
        <v>-0.01</v>
      </c>
      <c r="H245" s="139"/>
      <c r="I245" s="45">
        <v>3722788.46</v>
      </c>
      <c r="J245" s="44"/>
      <c r="K245" s="45">
        <v>1463283</v>
      </c>
      <c r="L245" s="45"/>
      <c r="M245" s="200">
        <f t="shared" si="66"/>
        <v>2296733.3446</v>
      </c>
      <c r="N245" s="45"/>
      <c r="O245" s="45">
        <f t="shared" si="67"/>
        <v>131996.16922988507</v>
      </c>
      <c r="P245" s="139"/>
      <c r="Q245" s="116">
        <f t="shared" si="68"/>
        <v>3.55</v>
      </c>
      <c r="S245" s="117">
        <v>17.399999999999999</v>
      </c>
      <c r="T245" s="32"/>
      <c r="U245" s="116">
        <v>3.78</v>
      </c>
      <c r="W245" s="145">
        <f t="shared" si="69"/>
        <v>140721.403788</v>
      </c>
      <c r="Y245" s="157">
        <f t="shared" si="70"/>
        <v>-8725.2345581149275</v>
      </c>
    </row>
    <row r="246" spans="1:25" x14ac:dyDescent="0.2">
      <c r="A246" s="26"/>
      <c r="B246" s="139"/>
      <c r="C246" s="58" t="s">
        <v>122</v>
      </c>
      <c r="D246" s="139"/>
      <c r="E246" s="20" t="s">
        <v>144</v>
      </c>
      <c r="F246" s="20" t="s">
        <v>64</v>
      </c>
      <c r="G246" s="234">
        <f>'Spanos KU Prod No Term. NS'!U$95</f>
        <v>-0.01</v>
      </c>
      <c r="H246" s="139"/>
      <c r="I246" s="45">
        <v>4953960.72</v>
      </c>
      <c r="J246" s="44"/>
      <c r="K246" s="45">
        <v>2809555</v>
      </c>
      <c r="L246" s="45"/>
      <c r="M246" s="200">
        <f t="shared" si="66"/>
        <v>2193945.3272000002</v>
      </c>
      <c r="N246" s="45"/>
      <c r="O246" s="45">
        <f t="shared" si="67"/>
        <v>163727.26322388061</v>
      </c>
      <c r="P246" s="139"/>
      <c r="Q246" s="116">
        <f t="shared" si="68"/>
        <v>3.3</v>
      </c>
      <c r="S246" s="117">
        <v>13.4</v>
      </c>
      <c r="T246" s="32"/>
      <c r="U246" s="116">
        <v>3.61</v>
      </c>
      <c r="W246" s="145">
        <f t="shared" si="69"/>
        <v>178837.98199199999</v>
      </c>
      <c r="Y246" s="157">
        <f t="shared" si="70"/>
        <v>-15110.718768119375</v>
      </c>
    </row>
    <row r="247" spans="1:25" x14ac:dyDescent="0.2">
      <c r="A247" s="26"/>
      <c r="B247" s="139"/>
      <c r="C247" s="58" t="s">
        <v>123</v>
      </c>
      <c r="D247" s="139"/>
      <c r="E247" s="20" t="s">
        <v>144</v>
      </c>
      <c r="F247" s="20" t="s">
        <v>64</v>
      </c>
      <c r="G247" s="234">
        <f>'Spanos KU Prod No Term. NS'!U$95</f>
        <v>-0.01</v>
      </c>
      <c r="H247" s="139"/>
      <c r="I247" s="45">
        <v>5452040.9699999997</v>
      </c>
      <c r="J247" s="44"/>
      <c r="K247" s="45">
        <v>3081447</v>
      </c>
      <c r="L247" s="45"/>
      <c r="M247" s="200">
        <f t="shared" si="66"/>
        <v>2425114.3796999995</v>
      </c>
      <c r="N247" s="45"/>
      <c r="O247" s="45">
        <f t="shared" si="67"/>
        <v>127637.59893157892</v>
      </c>
      <c r="P247" s="139"/>
      <c r="Q247" s="116">
        <f t="shared" si="68"/>
        <v>2.34</v>
      </c>
      <c r="S247" s="117">
        <v>19</v>
      </c>
      <c r="T247" s="32"/>
      <c r="U247" s="116">
        <v>2.5499999999999998</v>
      </c>
      <c r="W247" s="145">
        <f t="shared" si="69"/>
        <v>139027.04473499997</v>
      </c>
      <c r="Y247" s="157">
        <f t="shared" si="70"/>
        <v>-11389.445803421055</v>
      </c>
    </row>
    <row r="248" spans="1:25" x14ac:dyDescent="0.2">
      <c r="A248" s="26"/>
      <c r="B248" s="139"/>
      <c r="C248" s="58" t="s">
        <v>124</v>
      </c>
      <c r="D248" s="139"/>
      <c r="E248" s="20" t="s">
        <v>144</v>
      </c>
      <c r="F248" s="20" t="s">
        <v>64</v>
      </c>
      <c r="G248" s="234">
        <f>'Spanos KU Prod No Term. NS'!U$95</f>
        <v>-0.01</v>
      </c>
      <c r="H248" s="139"/>
      <c r="I248" s="45">
        <v>4944422.71</v>
      </c>
      <c r="J248" s="44"/>
      <c r="K248" s="45">
        <v>2624840</v>
      </c>
      <c r="L248" s="45"/>
      <c r="M248" s="200">
        <f t="shared" si="66"/>
        <v>2369026.9370999997</v>
      </c>
      <c r="N248" s="45"/>
      <c r="O248" s="45">
        <f t="shared" si="67"/>
        <v>124032.82393193715</v>
      </c>
      <c r="P248" s="139"/>
      <c r="Q248" s="116">
        <f t="shared" si="68"/>
        <v>2.5099999999999998</v>
      </c>
      <c r="S248" s="117">
        <v>19.100000000000001</v>
      </c>
      <c r="T248" s="32"/>
      <c r="U248" s="116">
        <v>2.72</v>
      </c>
      <c r="W248" s="145">
        <f t="shared" si="69"/>
        <v>134488.297712</v>
      </c>
      <c r="Y248" s="157">
        <f t="shared" si="70"/>
        <v>-10455.47378006285</v>
      </c>
    </row>
    <row r="249" spans="1:25" x14ac:dyDescent="0.2">
      <c r="A249" s="26"/>
      <c r="B249" s="32"/>
      <c r="C249" s="58" t="s">
        <v>125</v>
      </c>
      <c r="D249" s="32"/>
      <c r="E249" s="20" t="s">
        <v>144</v>
      </c>
      <c r="F249" s="20" t="s">
        <v>64</v>
      </c>
      <c r="G249" s="234">
        <f>'Spanos KU Prod No Term. NS'!U$95</f>
        <v>-0.01</v>
      </c>
      <c r="H249" s="32"/>
      <c r="I249" s="45">
        <v>5187040.3</v>
      </c>
      <c r="J249" s="44"/>
      <c r="K249" s="45">
        <v>2724699</v>
      </c>
      <c r="L249" s="45"/>
      <c r="M249" s="200">
        <f t="shared" si="66"/>
        <v>2514211.7029999997</v>
      </c>
      <c r="N249" s="45"/>
      <c r="O249" s="45">
        <f t="shared" si="67"/>
        <v>174598.03493055553</v>
      </c>
      <c r="P249" s="32"/>
      <c r="Q249" s="116">
        <f t="shared" si="68"/>
        <v>3.37</v>
      </c>
      <c r="S249" s="117">
        <v>14.4</v>
      </c>
      <c r="T249" s="32"/>
      <c r="U249" s="116">
        <v>3.65</v>
      </c>
      <c r="W249" s="145">
        <f t="shared" si="69"/>
        <v>189326.97094999999</v>
      </c>
      <c r="Y249" s="157">
        <f t="shared" si="70"/>
        <v>-14728.93601944446</v>
      </c>
    </row>
    <row r="250" spans="1:25" x14ac:dyDescent="0.2">
      <c r="A250" s="26"/>
      <c r="B250" s="139"/>
      <c r="C250" s="58" t="s">
        <v>126</v>
      </c>
      <c r="D250" s="139"/>
      <c r="E250" s="20" t="s">
        <v>144</v>
      </c>
      <c r="F250" s="20" t="s">
        <v>64</v>
      </c>
      <c r="G250" s="234">
        <f>'Spanos KU Prod No Term. NS'!U$104</f>
        <v>-0.01</v>
      </c>
      <c r="H250" s="139"/>
      <c r="I250" s="45">
        <v>4023002.37</v>
      </c>
      <c r="J250" s="44"/>
      <c r="K250" s="45">
        <v>3504167</v>
      </c>
      <c r="L250" s="45"/>
      <c r="M250" s="200">
        <f t="shared" si="66"/>
        <v>559065.39370000036</v>
      </c>
      <c r="N250" s="45"/>
      <c r="O250" s="45">
        <f t="shared" si="67"/>
        <v>71675.050474359028</v>
      </c>
      <c r="P250" s="139"/>
      <c r="Q250" s="116">
        <f t="shared" si="68"/>
        <v>1.78</v>
      </c>
      <c r="S250" s="117">
        <v>7.8</v>
      </c>
      <c r="T250" s="32"/>
      <c r="U250" s="116">
        <v>2.31</v>
      </c>
      <c r="W250" s="145">
        <f t="shared" si="69"/>
        <v>92931.35474699999</v>
      </c>
      <c r="Y250" s="157">
        <f t="shared" si="70"/>
        <v>-21256.304272640962</v>
      </c>
    </row>
    <row r="251" spans="1:25" x14ac:dyDescent="0.2">
      <c r="A251" s="26"/>
      <c r="B251" s="139"/>
      <c r="C251" s="58" t="s">
        <v>127</v>
      </c>
      <c r="D251" s="139"/>
      <c r="E251" s="20" t="s">
        <v>144</v>
      </c>
      <c r="F251" s="20" t="s">
        <v>64</v>
      </c>
      <c r="G251" s="234">
        <f>'Spanos KU Prod No Term. NS'!U112</f>
        <v>-0.01</v>
      </c>
      <c r="H251" s="139"/>
      <c r="I251" s="90">
        <v>5185636.1100000003</v>
      </c>
      <c r="J251" s="44"/>
      <c r="K251" s="45">
        <v>1792632</v>
      </c>
      <c r="L251" s="45"/>
      <c r="M251" s="200">
        <f t="shared" si="66"/>
        <v>3444860.4711000007</v>
      </c>
      <c r="N251" s="45"/>
      <c r="O251" s="45">
        <f t="shared" si="67"/>
        <v>177570.1273762887</v>
      </c>
      <c r="P251" s="139"/>
      <c r="Q251" s="116">
        <f t="shared" si="68"/>
        <v>3.42</v>
      </c>
      <c r="S251" s="117">
        <v>19.399999999999999</v>
      </c>
      <c r="T251" s="32"/>
      <c r="U251" s="116">
        <v>3.64</v>
      </c>
      <c r="W251" s="145">
        <f t="shared" si="69"/>
        <v>188757.154404</v>
      </c>
      <c r="Y251" s="159">
        <f t="shared" si="70"/>
        <v>-11187.027027711301</v>
      </c>
    </row>
    <row r="252" spans="1:25" x14ac:dyDescent="0.2">
      <c r="A252" s="26"/>
      <c r="B252" s="139"/>
      <c r="C252" s="139"/>
      <c r="D252" s="139"/>
      <c r="E252" s="20"/>
      <c r="F252" s="20"/>
      <c r="G252" s="19"/>
      <c r="H252" s="139"/>
      <c r="I252" s="45"/>
      <c r="J252" s="139"/>
      <c r="K252" s="49"/>
      <c r="L252" s="34"/>
      <c r="M252" s="49"/>
      <c r="N252" s="34"/>
      <c r="O252" s="49"/>
      <c r="P252" s="139"/>
      <c r="Q252" s="26"/>
      <c r="R252" s="139"/>
      <c r="S252" s="62"/>
      <c r="T252" s="32"/>
      <c r="U252" s="26"/>
    </row>
    <row r="253" spans="1:25" ht="15.75" x14ac:dyDescent="0.25">
      <c r="A253" s="26"/>
      <c r="B253" s="139"/>
      <c r="C253" s="65" t="s">
        <v>38</v>
      </c>
      <c r="D253" s="139"/>
      <c r="E253" s="20"/>
      <c r="F253" s="20"/>
      <c r="G253" s="19"/>
      <c r="H253" s="139"/>
      <c r="I253" s="45">
        <f>SUM(I237:I251)</f>
        <v>59360761.139999993</v>
      </c>
      <c r="J253" s="139"/>
      <c r="K253" s="45">
        <f>SUM(K237:K251)</f>
        <v>25756113</v>
      </c>
      <c r="L253" s="34"/>
      <c r="M253" s="45">
        <f>SUM(M237:M251)</f>
        <v>34198255.751400001</v>
      </c>
      <c r="N253" s="34"/>
      <c r="O253" s="45">
        <f>SUM(O237:O251)</f>
        <v>1857842.6384088544</v>
      </c>
      <c r="P253" s="139"/>
      <c r="Q253" s="116">
        <f>IF(O253/I253*100=0,"-     ",ROUND(O253/I253*100,2))</f>
        <v>3.13</v>
      </c>
      <c r="S253" s="117">
        <v>18.3</v>
      </c>
      <c r="T253" s="32"/>
      <c r="U253" s="242">
        <f>W253/I253</f>
        <v>3.3727919383059989E-2</v>
      </c>
      <c r="W253" s="45">
        <f>SUM(W237:W251)</f>
        <v>2002114.9662469998</v>
      </c>
      <c r="Y253" s="45">
        <f>SUM(Y237:Y251)</f>
        <v>-144272.32783814555</v>
      </c>
    </row>
    <row r="254" spans="1:25" x14ac:dyDescent="0.2">
      <c r="A254" s="26"/>
      <c r="B254" s="139"/>
      <c r="C254" s="139"/>
      <c r="D254" s="139"/>
      <c r="E254" s="20"/>
      <c r="F254" s="20"/>
      <c r="G254" s="19"/>
      <c r="H254" s="139"/>
      <c r="I254" s="45"/>
      <c r="J254" s="139"/>
      <c r="K254" s="34"/>
      <c r="L254" s="34"/>
      <c r="M254" s="34"/>
      <c r="N254" s="34"/>
      <c r="O254" s="34"/>
      <c r="P254" s="139"/>
      <c r="Q254" s="26"/>
      <c r="R254" s="139"/>
      <c r="S254" s="62"/>
      <c r="T254" s="32"/>
      <c r="U254" s="26"/>
    </row>
    <row r="255" spans="1:25" x14ac:dyDescent="0.2">
      <c r="A255" s="26">
        <v>345</v>
      </c>
      <c r="B255" s="139"/>
      <c r="C255" s="139" t="s">
        <v>39</v>
      </c>
      <c r="D255" s="139"/>
      <c r="E255" s="56"/>
      <c r="F255" s="56"/>
      <c r="G255" s="66"/>
      <c r="H255" s="139"/>
      <c r="I255" s="45"/>
      <c r="J255" s="139"/>
      <c r="K255" s="34"/>
      <c r="L255" s="34"/>
      <c r="M255" s="34"/>
      <c r="N255" s="34"/>
      <c r="O255" s="34"/>
      <c r="P255" s="139"/>
      <c r="Q255" s="26"/>
      <c r="R255" s="139"/>
      <c r="S255" s="62"/>
      <c r="T255" s="32"/>
      <c r="U255" s="26"/>
    </row>
    <row r="256" spans="1:25" x14ac:dyDescent="0.2">
      <c r="A256" s="26"/>
      <c r="B256" s="139"/>
      <c r="C256" s="58" t="s">
        <v>113</v>
      </c>
      <c r="D256" s="139"/>
      <c r="E256" s="20" t="s">
        <v>145</v>
      </c>
      <c r="F256" s="20" t="s">
        <v>64</v>
      </c>
      <c r="G256" s="234">
        <f>'Spanos KU Prod No Term. NS'!U$122</f>
        <v>-0.01</v>
      </c>
      <c r="H256" s="139"/>
      <c r="I256" s="45">
        <v>1693975.04</v>
      </c>
      <c r="J256" s="44"/>
      <c r="K256" s="45">
        <v>513697</v>
      </c>
      <c r="L256" s="45"/>
      <c r="M256" s="200">
        <f t="shared" ref="M256:M270" si="71">+((1-G256)*I256)-K256</f>
        <v>1197217.7904000001</v>
      </c>
      <c r="N256" s="45"/>
      <c r="O256" s="45">
        <f t="shared" ref="O256:O270" si="72">M256/S256</f>
        <v>60772.476670050768</v>
      </c>
      <c r="P256" s="139"/>
      <c r="Q256" s="116">
        <f t="shared" ref="Q256:Q270" si="73">IF(O256/I256*100=0,"-     ",ROUND(O256/I256*100,2))</f>
        <v>3.59</v>
      </c>
      <c r="S256" s="117">
        <v>19.7</v>
      </c>
      <c r="T256" s="32"/>
      <c r="U256" s="116">
        <v>3.8</v>
      </c>
      <c r="W256" s="145">
        <f t="shared" ref="W256:W270" si="74">(I256/100)*U256</f>
        <v>64371.051520000001</v>
      </c>
      <c r="Y256" s="157">
        <f t="shared" ref="Y256:Y270" si="75">O256-W256</f>
        <v>-3598.5748499492329</v>
      </c>
    </row>
    <row r="257" spans="1:25" x14ac:dyDescent="0.2">
      <c r="A257" s="26"/>
      <c r="B257" s="139"/>
      <c r="C257" s="58" t="s">
        <v>114</v>
      </c>
      <c r="D257" s="139"/>
      <c r="E257" s="20" t="s">
        <v>145</v>
      </c>
      <c r="F257" s="20" t="s">
        <v>64</v>
      </c>
      <c r="G257" s="234">
        <f>'Spanos KU Prod No Term. NS'!U$122</f>
        <v>-0.01</v>
      </c>
      <c r="H257" s="139"/>
      <c r="I257" s="45">
        <v>4324591.46</v>
      </c>
      <c r="J257" s="44"/>
      <c r="K257" s="45">
        <v>1036892</v>
      </c>
      <c r="L257" s="45"/>
      <c r="M257" s="200">
        <f t="shared" si="71"/>
        <v>3330945.3745999997</v>
      </c>
      <c r="N257" s="45"/>
      <c r="O257" s="45">
        <f t="shared" si="72"/>
        <v>169083.52155329948</v>
      </c>
      <c r="P257" s="139"/>
      <c r="Q257" s="116">
        <f t="shared" si="73"/>
        <v>3.91</v>
      </c>
      <c r="S257" s="117">
        <v>19.7</v>
      </c>
      <c r="T257" s="32"/>
      <c r="U257" s="116">
        <v>4.12</v>
      </c>
      <c r="W257" s="145">
        <f t="shared" si="74"/>
        <v>178173.168152</v>
      </c>
      <c r="Y257" s="157">
        <f t="shared" si="75"/>
        <v>-9089.6465987005213</v>
      </c>
    </row>
    <row r="258" spans="1:25" x14ac:dyDescent="0.2">
      <c r="A258" s="26"/>
      <c r="B258" s="139"/>
      <c r="C258" s="58" t="s">
        <v>115</v>
      </c>
      <c r="D258" s="139"/>
      <c r="E258" s="20" t="s">
        <v>145</v>
      </c>
      <c r="F258" s="20" t="s">
        <v>64</v>
      </c>
      <c r="G258" s="234">
        <f>'Spanos KU Prod No Term. NS'!U$122</f>
        <v>-0.01</v>
      </c>
      <c r="H258" s="139"/>
      <c r="I258" s="45">
        <v>3148439.35</v>
      </c>
      <c r="J258" s="44"/>
      <c r="K258" s="45">
        <v>792088</v>
      </c>
      <c r="L258" s="45"/>
      <c r="M258" s="200">
        <f t="shared" si="71"/>
        <v>2387835.7435000003</v>
      </c>
      <c r="N258" s="45"/>
      <c r="O258" s="45">
        <f t="shared" si="72"/>
        <v>110547.95108796297</v>
      </c>
      <c r="P258" s="139"/>
      <c r="Q258" s="116">
        <f t="shared" si="73"/>
        <v>3.51</v>
      </c>
      <c r="S258" s="117">
        <v>21.6</v>
      </c>
      <c r="T258" s="32"/>
      <c r="U258" s="116">
        <v>3.69</v>
      </c>
      <c r="W258" s="145">
        <f t="shared" si="74"/>
        <v>116177.41201500001</v>
      </c>
      <c r="Y258" s="157">
        <f t="shared" si="75"/>
        <v>-5629.460927037042</v>
      </c>
    </row>
    <row r="259" spans="1:25" x14ac:dyDescent="0.2">
      <c r="A259" s="26"/>
      <c r="B259" s="139"/>
      <c r="C259" s="58" t="s">
        <v>116</v>
      </c>
      <c r="D259" s="139"/>
      <c r="E259" s="20" t="s">
        <v>145</v>
      </c>
      <c r="F259" s="20" t="s">
        <v>64</v>
      </c>
      <c r="G259" s="234">
        <f>'Spanos KU Prod No Term. NS'!U$122</f>
        <v>-0.01</v>
      </c>
      <c r="H259" s="139"/>
      <c r="I259" s="45">
        <v>3139331.68</v>
      </c>
      <c r="J259" s="44"/>
      <c r="K259" s="45">
        <v>789796</v>
      </c>
      <c r="L259" s="45"/>
      <c r="M259" s="200">
        <f t="shared" si="71"/>
        <v>2380928.9968000003</v>
      </c>
      <c r="N259" s="45"/>
      <c r="O259" s="45">
        <f t="shared" si="72"/>
        <v>110228.19429629631</v>
      </c>
      <c r="P259" s="139"/>
      <c r="Q259" s="116">
        <f t="shared" si="73"/>
        <v>3.51</v>
      </c>
      <c r="S259" s="117">
        <v>21.6</v>
      </c>
      <c r="T259" s="32"/>
      <c r="U259" s="116">
        <v>3.69</v>
      </c>
      <c r="W259" s="145">
        <f t="shared" si="74"/>
        <v>115841.338992</v>
      </c>
      <c r="Y259" s="157">
        <f t="shared" si="75"/>
        <v>-5613.1446957036969</v>
      </c>
    </row>
    <row r="260" spans="1:25" x14ac:dyDescent="0.2">
      <c r="A260" s="26"/>
      <c r="B260" s="139"/>
      <c r="C260" s="58" t="s">
        <v>117</v>
      </c>
      <c r="D260" s="139"/>
      <c r="E260" s="20" t="s">
        <v>145</v>
      </c>
      <c r="F260" s="20" t="s">
        <v>64</v>
      </c>
      <c r="G260" s="234">
        <f>'Spanos KU Prod No Term. NS'!U$122</f>
        <v>-0.01</v>
      </c>
      <c r="H260" s="139"/>
      <c r="I260" s="45">
        <v>3234031.47</v>
      </c>
      <c r="J260" s="44"/>
      <c r="K260" s="45">
        <v>804392</v>
      </c>
      <c r="L260" s="45"/>
      <c r="M260" s="200">
        <f t="shared" si="71"/>
        <v>2461979.7847000002</v>
      </c>
      <c r="N260" s="45"/>
      <c r="O260" s="45">
        <f t="shared" si="72"/>
        <v>113980.54558796296</v>
      </c>
      <c r="P260" s="139"/>
      <c r="Q260" s="116">
        <f t="shared" si="73"/>
        <v>3.52</v>
      </c>
      <c r="S260" s="117">
        <v>21.6</v>
      </c>
      <c r="T260" s="32"/>
      <c r="U260" s="116">
        <v>3.71</v>
      </c>
      <c r="W260" s="145">
        <f t="shared" si="74"/>
        <v>119982.56753700001</v>
      </c>
      <c r="Y260" s="157">
        <f t="shared" si="75"/>
        <v>-6002.0219490370509</v>
      </c>
    </row>
    <row r="261" spans="1:25" x14ac:dyDescent="0.2">
      <c r="A261" s="26"/>
      <c r="B261" s="139"/>
      <c r="C261" s="58" t="s">
        <v>118</v>
      </c>
      <c r="D261" s="139"/>
      <c r="E261" s="20" t="s">
        <v>145</v>
      </c>
      <c r="F261" s="20" t="s">
        <v>64</v>
      </c>
      <c r="G261" s="234">
        <f>'Spanos KU Prod No Term. NS'!U$122</f>
        <v>-0.01</v>
      </c>
      <c r="H261" s="139"/>
      <c r="I261" s="45">
        <v>7196618.3399999999</v>
      </c>
      <c r="J261" s="44"/>
      <c r="K261" s="45">
        <v>1451369</v>
      </c>
      <c r="L261" s="45"/>
      <c r="M261" s="200">
        <f t="shared" si="71"/>
        <v>5817215.5234000003</v>
      </c>
      <c r="N261" s="45"/>
      <c r="O261" s="45">
        <f t="shared" si="72"/>
        <v>269315.53349074075</v>
      </c>
      <c r="P261" s="139"/>
      <c r="Q261" s="116">
        <f t="shared" si="73"/>
        <v>3.74</v>
      </c>
      <c r="S261" s="117">
        <v>21.6</v>
      </c>
      <c r="T261" s="32"/>
      <c r="U261" s="116">
        <v>3.92</v>
      </c>
      <c r="W261" s="145">
        <f t="shared" si="74"/>
        <v>282107.43892799999</v>
      </c>
      <c r="Y261" s="157">
        <f t="shared" si="75"/>
        <v>-12791.905437259236</v>
      </c>
    </row>
    <row r="262" spans="1:25" x14ac:dyDescent="0.2">
      <c r="A262" s="26"/>
      <c r="B262" s="139"/>
      <c r="C262" s="58" t="s">
        <v>119</v>
      </c>
      <c r="D262" s="139"/>
      <c r="E262" s="20" t="s">
        <v>145</v>
      </c>
      <c r="F262" s="20" t="s">
        <v>64</v>
      </c>
      <c r="G262" s="234">
        <f>'Spanos KU Prod No Term. NS'!U$96</f>
        <v>-0.01</v>
      </c>
      <c r="H262" s="139"/>
      <c r="I262" s="45">
        <v>2277020.4900000002</v>
      </c>
      <c r="J262" s="44"/>
      <c r="K262" s="45">
        <v>662990</v>
      </c>
      <c r="L262" s="45"/>
      <c r="M262" s="200">
        <f t="shared" si="71"/>
        <v>1636800.6949000005</v>
      </c>
      <c r="N262" s="45"/>
      <c r="O262" s="45">
        <f t="shared" si="72"/>
        <v>87529.448925133722</v>
      </c>
      <c r="P262" s="139"/>
      <c r="Q262" s="116">
        <f t="shared" si="73"/>
        <v>3.84</v>
      </c>
      <c r="S262" s="117">
        <v>18.7</v>
      </c>
      <c r="T262" s="32"/>
      <c r="U262" s="116">
        <v>4.0599999999999996</v>
      </c>
      <c r="W262" s="145">
        <f t="shared" si="74"/>
        <v>92447.031894</v>
      </c>
      <c r="Y262" s="157">
        <f t="shared" si="75"/>
        <v>-4917.582968866278</v>
      </c>
    </row>
    <row r="263" spans="1:25" x14ac:dyDescent="0.2">
      <c r="A263" s="26"/>
      <c r="B263" s="139"/>
      <c r="C263" s="58" t="s">
        <v>120</v>
      </c>
      <c r="D263" s="139"/>
      <c r="E263" s="20" t="s">
        <v>145</v>
      </c>
      <c r="F263" s="20" t="s">
        <v>64</v>
      </c>
      <c r="G263" s="234">
        <f>'Spanos KU Prod No Term. NS'!U$96</f>
        <v>-0.01</v>
      </c>
      <c r="H263" s="139"/>
      <c r="I263" s="45">
        <v>1975216.41</v>
      </c>
      <c r="J263" s="44"/>
      <c r="K263" s="45">
        <v>691980</v>
      </c>
      <c r="L263" s="45"/>
      <c r="M263" s="200">
        <f t="shared" si="71"/>
        <v>1302988.5740999999</v>
      </c>
      <c r="N263" s="45"/>
      <c r="O263" s="45">
        <f t="shared" si="72"/>
        <v>77558.843696428565</v>
      </c>
      <c r="P263" s="139"/>
      <c r="Q263" s="116">
        <f t="shared" si="73"/>
        <v>3.93</v>
      </c>
      <c r="S263" s="117">
        <v>16.8</v>
      </c>
      <c r="T263" s="32"/>
      <c r="U263" s="116">
        <v>4.17</v>
      </c>
      <c r="W263" s="145">
        <f t="shared" si="74"/>
        <v>82366.524296999996</v>
      </c>
      <c r="Y263" s="157">
        <f t="shared" si="75"/>
        <v>-4807.6806005714316</v>
      </c>
    </row>
    <row r="264" spans="1:25" x14ac:dyDescent="0.2">
      <c r="A264" s="26"/>
      <c r="B264" s="139"/>
      <c r="C264" s="58" t="s">
        <v>121</v>
      </c>
      <c r="D264" s="139"/>
      <c r="E264" s="20" t="s">
        <v>145</v>
      </c>
      <c r="F264" s="20" t="s">
        <v>64</v>
      </c>
      <c r="G264" s="234">
        <f>'Spanos KU Prod No Term. NS'!U$96</f>
        <v>-0.01</v>
      </c>
      <c r="H264" s="139"/>
      <c r="I264" s="45">
        <v>1935781.98</v>
      </c>
      <c r="J264" s="44"/>
      <c r="K264" s="45">
        <v>675547</v>
      </c>
      <c r="L264" s="45"/>
      <c r="M264" s="200">
        <f t="shared" si="71"/>
        <v>1279592.7997999999</v>
      </c>
      <c r="N264" s="45"/>
      <c r="O264" s="45">
        <f t="shared" si="72"/>
        <v>76166.23808333333</v>
      </c>
      <c r="P264" s="139"/>
      <c r="Q264" s="116">
        <f t="shared" si="73"/>
        <v>3.93</v>
      </c>
      <c r="S264" s="117">
        <v>16.8</v>
      </c>
      <c r="T264" s="32"/>
      <c r="U264" s="116">
        <v>4.18</v>
      </c>
      <c r="W264" s="145">
        <f t="shared" si="74"/>
        <v>80915.686763999998</v>
      </c>
      <c r="Y264" s="157">
        <f t="shared" si="75"/>
        <v>-4749.4486806666682</v>
      </c>
    </row>
    <row r="265" spans="1:25" x14ac:dyDescent="0.2">
      <c r="A265" s="26"/>
      <c r="B265" s="139"/>
      <c r="C265" s="58" t="s">
        <v>122</v>
      </c>
      <c r="D265" s="139"/>
      <c r="E265" s="20" t="s">
        <v>145</v>
      </c>
      <c r="F265" s="20" t="s">
        <v>64</v>
      </c>
      <c r="G265" s="234">
        <f>'Spanos KU Prod No Term. NS'!U$96</f>
        <v>-0.01</v>
      </c>
      <c r="H265" s="139"/>
      <c r="I265" s="45">
        <v>2720729.67</v>
      </c>
      <c r="J265" s="44"/>
      <c r="K265" s="45">
        <v>1361195</v>
      </c>
      <c r="L265" s="45"/>
      <c r="M265" s="200">
        <f t="shared" si="71"/>
        <v>1386741.9666999998</v>
      </c>
      <c r="N265" s="45"/>
      <c r="O265" s="45">
        <f t="shared" si="72"/>
        <v>107499.37726356587</v>
      </c>
      <c r="P265" s="139"/>
      <c r="Q265" s="116">
        <f t="shared" si="73"/>
        <v>3.95</v>
      </c>
      <c r="S265" s="117">
        <v>12.9</v>
      </c>
      <c r="T265" s="32"/>
      <c r="U265" s="116">
        <v>4.26</v>
      </c>
      <c r="W265" s="145">
        <f t="shared" si="74"/>
        <v>115903.08394199998</v>
      </c>
      <c r="Y265" s="157">
        <f t="shared" si="75"/>
        <v>-8403.706678434115</v>
      </c>
    </row>
    <row r="266" spans="1:25" x14ac:dyDescent="0.2">
      <c r="A266" s="26"/>
      <c r="B266" s="139"/>
      <c r="C266" s="58" t="s">
        <v>123</v>
      </c>
      <c r="D266" s="139"/>
      <c r="E266" s="20" t="s">
        <v>145</v>
      </c>
      <c r="F266" s="20" t="s">
        <v>64</v>
      </c>
      <c r="G266" s="234">
        <f>'Spanos KU Prod No Term. NS'!U$96</f>
        <v>-0.01</v>
      </c>
      <c r="H266" s="139"/>
      <c r="I266" s="45">
        <v>4205847.29</v>
      </c>
      <c r="J266" s="44"/>
      <c r="K266" s="45">
        <v>1987226</v>
      </c>
      <c r="L266" s="45"/>
      <c r="M266" s="200">
        <f t="shared" si="71"/>
        <v>2260679.7629000004</v>
      </c>
      <c r="N266" s="45"/>
      <c r="O266" s="45">
        <f t="shared" si="72"/>
        <v>124899.43441436466</v>
      </c>
      <c r="P266" s="139"/>
      <c r="Q266" s="116">
        <f t="shared" si="73"/>
        <v>2.97</v>
      </c>
      <c r="S266" s="117">
        <v>18.100000000000001</v>
      </c>
      <c r="T266" s="32"/>
      <c r="U266" s="116">
        <v>3.19</v>
      </c>
      <c r="W266" s="145">
        <f t="shared" si="74"/>
        <v>134166.528551</v>
      </c>
      <c r="Y266" s="157">
        <f t="shared" si="75"/>
        <v>-9267.0941366353363</v>
      </c>
    </row>
    <row r="267" spans="1:25" x14ac:dyDescent="0.2">
      <c r="A267" s="26"/>
      <c r="B267" s="139"/>
      <c r="C267" s="58" t="s">
        <v>124</v>
      </c>
      <c r="D267" s="139"/>
      <c r="E267" s="20" t="s">
        <v>145</v>
      </c>
      <c r="F267" s="20" t="s">
        <v>64</v>
      </c>
      <c r="G267" s="234">
        <f>'Spanos KU Prod No Term. NS'!U$96</f>
        <v>-0.01</v>
      </c>
      <c r="H267" s="139"/>
      <c r="I267" s="45">
        <v>2744492.7</v>
      </c>
      <c r="J267" s="44"/>
      <c r="K267" s="45">
        <v>1316949</v>
      </c>
      <c r="L267" s="45"/>
      <c r="M267" s="200">
        <f t="shared" si="71"/>
        <v>1454988.6270000003</v>
      </c>
      <c r="N267" s="45"/>
      <c r="O267" s="45">
        <f t="shared" si="72"/>
        <v>80832.701500000025</v>
      </c>
      <c r="P267" s="45"/>
      <c r="Q267" s="116">
        <f t="shared" si="73"/>
        <v>2.95</v>
      </c>
      <c r="S267" s="117">
        <v>18</v>
      </c>
      <c r="T267" s="32"/>
      <c r="U267" s="116">
        <v>3.17</v>
      </c>
      <c r="W267" s="145">
        <f t="shared" si="74"/>
        <v>87000.418590000016</v>
      </c>
      <c r="Y267" s="157">
        <f t="shared" si="75"/>
        <v>-6167.717089999991</v>
      </c>
    </row>
    <row r="268" spans="1:25" x14ac:dyDescent="0.2">
      <c r="A268" s="26"/>
      <c r="B268" s="139"/>
      <c r="C268" s="58" t="s">
        <v>125</v>
      </c>
      <c r="D268" s="139"/>
      <c r="E268" s="20" t="s">
        <v>145</v>
      </c>
      <c r="F268" s="20" t="s">
        <v>64</v>
      </c>
      <c r="G268" s="234">
        <f>'Spanos KU Prod No Term. NS'!U$96</f>
        <v>-0.01</v>
      </c>
      <c r="H268" s="139"/>
      <c r="I268" s="45">
        <v>1863053.15</v>
      </c>
      <c r="J268" s="44"/>
      <c r="K268" s="45">
        <v>778412</v>
      </c>
      <c r="L268" s="45"/>
      <c r="M268" s="200">
        <f t="shared" si="71"/>
        <v>1103271.6814999999</v>
      </c>
      <c r="N268" s="45"/>
      <c r="O268" s="45">
        <f t="shared" si="72"/>
        <v>79372.063417266181</v>
      </c>
      <c r="P268" s="139"/>
      <c r="Q268" s="116">
        <f t="shared" si="73"/>
        <v>4.26</v>
      </c>
      <c r="S268" s="117">
        <v>13.9</v>
      </c>
      <c r="T268" s="32"/>
      <c r="U268" s="116">
        <v>4.55</v>
      </c>
      <c r="W268" s="145">
        <f t="shared" si="74"/>
        <v>84768.918324999991</v>
      </c>
      <c r="Y268" s="157">
        <f t="shared" si="75"/>
        <v>-5396.8549077338103</v>
      </c>
    </row>
    <row r="269" spans="1:25" x14ac:dyDescent="0.2">
      <c r="A269" s="26"/>
      <c r="B269" s="139"/>
      <c r="C269" s="58" t="s">
        <v>126</v>
      </c>
      <c r="D269" s="139"/>
      <c r="E269" s="20" t="s">
        <v>145</v>
      </c>
      <c r="F269" s="20" t="s">
        <v>64</v>
      </c>
      <c r="G269" s="234">
        <f>'Spanos KU Prod No Term. NS'!U$105</f>
        <v>-0.01</v>
      </c>
      <c r="H269" s="139"/>
      <c r="I269" s="45">
        <v>1451957.03</v>
      </c>
      <c r="J269" s="44"/>
      <c r="K269" s="45">
        <v>563545</v>
      </c>
      <c r="L269" s="45"/>
      <c r="M269" s="200">
        <f t="shared" si="71"/>
        <v>902931.60030000005</v>
      </c>
      <c r="N269" s="45"/>
      <c r="O269" s="45">
        <f t="shared" si="72"/>
        <v>110113.60979268294</v>
      </c>
      <c r="P269" s="139"/>
      <c r="Q269" s="116">
        <f t="shared" si="73"/>
        <v>7.58</v>
      </c>
      <c r="S269" s="117">
        <v>8.1999999999999993</v>
      </c>
      <c r="T269" s="32"/>
      <c r="U269" s="116">
        <v>8.0500000000000007</v>
      </c>
      <c r="W269" s="145">
        <f t="shared" si="74"/>
        <v>116882.54091500001</v>
      </c>
      <c r="Y269" s="157">
        <f t="shared" si="75"/>
        <v>-6768.9311223170662</v>
      </c>
    </row>
    <row r="270" spans="1:25" x14ac:dyDescent="0.2">
      <c r="A270" s="26"/>
      <c r="B270" s="139"/>
      <c r="C270" s="58" t="s">
        <v>127</v>
      </c>
      <c r="D270" s="139"/>
      <c r="E270" s="20" t="s">
        <v>145</v>
      </c>
      <c r="F270" s="20" t="s">
        <v>64</v>
      </c>
      <c r="G270" s="234">
        <f>'Spanos KU Prod No Term. NS'!U$113</f>
        <v>-0.01</v>
      </c>
      <c r="H270" s="139"/>
      <c r="I270" s="90">
        <v>2456320.0099999998</v>
      </c>
      <c r="J270" s="44"/>
      <c r="K270" s="45">
        <v>844832</v>
      </c>
      <c r="L270" s="45"/>
      <c r="M270" s="200">
        <f t="shared" si="71"/>
        <v>1636051.2100999998</v>
      </c>
      <c r="N270" s="45"/>
      <c r="O270" s="45">
        <f t="shared" si="72"/>
        <v>87489.369524064168</v>
      </c>
      <c r="P270" s="139"/>
      <c r="Q270" s="116">
        <f t="shared" si="73"/>
        <v>3.56</v>
      </c>
      <c r="S270" s="117">
        <v>18.7</v>
      </c>
      <c r="T270" s="32"/>
      <c r="U270" s="116">
        <v>3.78</v>
      </c>
      <c r="W270" s="145">
        <f t="shared" si="74"/>
        <v>92848.89637799999</v>
      </c>
      <c r="Y270" s="159">
        <f t="shared" si="75"/>
        <v>-5359.5268539358221</v>
      </c>
    </row>
    <row r="271" spans="1:25" x14ac:dyDescent="0.2">
      <c r="A271" s="26"/>
      <c r="B271" s="139"/>
      <c r="C271" s="139"/>
      <c r="D271" s="139"/>
      <c r="E271" s="20"/>
      <c r="F271" s="20"/>
      <c r="G271" s="19"/>
      <c r="H271" s="139"/>
      <c r="I271" s="45"/>
      <c r="J271" s="139"/>
      <c r="K271" s="49"/>
      <c r="L271" s="34"/>
      <c r="M271" s="49"/>
      <c r="N271" s="34"/>
      <c r="O271" s="49"/>
      <c r="P271" s="139"/>
      <c r="Q271" s="26"/>
      <c r="R271" s="139"/>
      <c r="S271" s="62"/>
      <c r="T271" s="32"/>
      <c r="U271" s="26"/>
    </row>
    <row r="272" spans="1:25" ht="15.75" x14ac:dyDescent="0.25">
      <c r="A272" s="26"/>
      <c r="B272" s="139"/>
      <c r="C272" s="65" t="s">
        <v>40</v>
      </c>
      <c r="D272" s="139"/>
      <c r="E272" s="20"/>
      <c r="F272" s="20"/>
      <c r="G272" s="19"/>
      <c r="H272" s="139"/>
      <c r="I272" s="45">
        <f>SUM(I256:I270)</f>
        <v>44367406.07</v>
      </c>
      <c r="J272" s="139"/>
      <c r="K272" s="45">
        <f>SUM(K256:K270)</f>
        <v>14270910</v>
      </c>
      <c r="L272" s="34"/>
      <c r="M272" s="45">
        <f>SUM(M256:M270)</f>
        <v>30540170.130700003</v>
      </c>
      <c r="N272" s="34"/>
      <c r="O272" s="45">
        <f>SUM(O256:O270)</f>
        <v>1665389.3093031526</v>
      </c>
      <c r="P272" s="139"/>
      <c r="Q272" s="116">
        <f>IF(O272/I272*100=0,"-     ",ROUND(O272/I272*100,2))</f>
        <v>3.75</v>
      </c>
      <c r="S272" s="117">
        <v>18.3</v>
      </c>
      <c r="T272" s="32"/>
      <c r="U272" s="242">
        <f>W272/I272</f>
        <v>3.975784845336576E-2</v>
      </c>
      <c r="W272" s="45">
        <f>SUM(W256:W270)</f>
        <v>1763952.6068000002</v>
      </c>
      <c r="Y272" s="45">
        <f>SUM(Y256:Y270)</f>
        <v>-98563.297496847299</v>
      </c>
    </row>
    <row r="273" spans="1:25" x14ac:dyDescent="0.2">
      <c r="A273" s="26"/>
      <c r="B273" s="139"/>
      <c r="C273" s="139"/>
      <c r="D273" s="139"/>
      <c r="E273" s="20"/>
      <c r="F273" s="20"/>
      <c r="G273" s="19"/>
      <c r="H273" s="139"/>
      <c r="I273" s="45"/>
      <c r="J273" s="139"/>
      <c r="K273" s="34"/>
      <c r="L273" s="34"/>
      <c r="M273" s="34"/>
      <c r="N273" s="34"/>
      <c r="O273" s="34"/>
      <c r="P273" s="139"/>
      <c r="Q273" s="26"/>
      <c r="R273" s="139"/>
      <c r="S273" s="62"/>
      <c r="T273" s="32"/>
      <c r="U273" s="26"/>
    </row>
    <row r="274" spans="1:25" x14ac:dyDescent="0.2">
      <c r="A274" s="26">
        <v>346</v>
      </c>
      <c r="B274" s="139"/>
      <c r="C274" s="59" t="s">
        <v>176</v>
      </c>
      <c r="D274" s="139"/>
      <c r="E274" s="56"/>
      <c r="F274" s="56"/>
      <c r="G274" s="66"/>
      <c r="H274" s="139"/>
      <c r="I274" s="45"/>
      <c r="J274" s="139"/>
      <c r="K274" s="34"/>
      <c r="L274" s="34"/>
      <c r="M274" s="34"/>
      <c r="N274" s="34"/>
      <c r="O274" s="34"/>
      <c r="P274" s="139"/>
      <c r="Q274" s="26"/>
      <c r="R274" s="139"/>
      <c r="S274" s="62"/>
      <c r="T274" s="32"/>
      <c r="U274" s="26"/>
    </row>
    <row r="275" spans="1:25" x14ac:dyDescent="0.2">
      <c r="A275" s="26"/>
      <c r="B275" s="139"/>
      <c r="C275" s="58" t="s">
        <v>113</v>
      </c>
      <c r="D275" s="139"/>
      <c r="E275" s="20" t="s">
        <v>146</v>
      </c>
      <c r="F275" s="20" t="s">
        <v>64</v>
      </c>
      <c r="G275" s="234">
        <f>'Spanos KU Prod No Term. NS'!U$123</f>
        <v>-0.01</v>
      </c>
      <c r="H275" s="139"/>
      <c r="I275" s="45">
        <v>28963.63</v>
      </c>
      <c r="J275" s="44"/>
      <c r="K275" s="45">
        <v>8377</v>
      </c>
      <c r="L275" s="45"/>
      <c r="M275" s="200">
        <f t="shared" ref="M275:M288" si="76">+((1-G275)*I275)-K275</f>
        <v>20876.266300000003</v>
      </c>
      <c r="N275" s="45"/>
      <c r="O275" s="45">
        <f t="shared" ref="O275:O288" si="77">M275/S275</f>
        <v>1110.4396968085107</v>
      </c>
      <c r="P275" s="139"/>
      <c r="Q275" s="116">
        <f t="shared" ref="Q275:Q288" si="78">IF(O275/I275*100=0,"-     ",ROUND(O275/I275*100,2))</f>
        <v>3.83</v>
      </c>
      <c r="S275" s="117">
        <v>18.8</v>
      </c>
      <c r="T275" s="32"/>
      <c r="U275" s="116">
        <v>4.04</v>
      </c>
      <c r="W275" s="145">
        <f t="shared" ref="W275:W288" si="79">(I275/100)*U275</f>
        <v>1170.1306520000001</v>
      </c>
      <c r="Y275" s="157">
        <f t="shared" ref="Y275:Y288" si="80">O275-W275</f>
        <v>-59.690955191489365</v>
      </c>
    </row>
    <row r="276" spans="1:25" x14ac:dyDescent="0.2">
      <c r="A276" s="26"/>
      <c r="B276" s="139"/>
      <c r="C276" s="58" t="s">
        <v>115</v>
      </c>
      <c r="D276" s="139"/>
      <c r="E276" s="20" t="s">
        <v>146</v>
      </c>
      <c r="F276" s="20" t="s">
        <v>64</v>
      </c>
      <c r="G276" s="234">
        <f>'Spanos KU Prod No Term. NS'!U$123</f>
        <v>-0.01</v>
      </c>
      <c r="H276" s="139"/>
      <c r="I276" s="45">
        <v>8888.93</v>
      </c>
      <c r="J276" s="44"/>
      <c r="K276" s="45">
        <v>2318</v>
      </c>
      <c r="L276" s="45"/>
      <c r="M276" s="200">
        <f t="shared" si="76"/>
        <v>6659.819300000001</v>
      </c>
      <c r="N276" s="45"/>
      <c r="O276" s="45">
        <f t="shared" si="77"/>
        <v>334.66428643216091</v>
      </c>
      <c r="P276" s="139"/>
      <c r="Q276" s="116">
        <f t="shared" si="78"/>
        <v>3.76</v>
      </c>
      <c r="S276" s="117">
        <v>19.899999999999999</v>
      </c>
      <c r="T276" s="32"/>
      <c r="U276" s="116">
        <v>3.97</v>
      </c>
      <c r="W276" s="145">
        <f t="shared" si="79"/>
        <v>352.89052100000004</v>
      </c>
      <c r="Y276" s="157">
        <f t="shared" si="80"/>
        <v>-18.226234567839128</v>
      </c>
    </row>
    <row r="277" spans="1:25" x14ac:dyDescent="0.2">
      <c r="A277" s="26"/>
      <c r="B277" s="139"/>
      <c r="C277" s="58" t="s">
        <v>116</v>
      </c>
      <c r="D277" s="139"/>
      <c r="E277" s="20" t="s">
        <v>146</v>
      </c>
      <c r="F277" s="20" t="s">
        <v>64</v>
      </c>
      <c r="G277" s="234">
        <f>'Spanos KU Prod No Term. NS'!U$123</f>
        <v>-0.01</v>
      </c>
      <c r="H277" s="139"/>
      <c r="I277" s="45">
        <v>8861.01</v>
      </c>
      <c r="J277" s="44"/>
      <c r="K277" s="45">
        <v>2310</v>
      </c>
      <c r="L277" s="45"/>
      <c r="M277" s="200">
        <f t="shared" si="76"/>
        <v>6639.6201000000001</v>
      </c>
      <c r="N277" s="45"/>
      <c r="O277" s="45">
        <f t="shared" si="77"/>
        <v>333.64925125628145</v>
      </c>
      <c r="P277" s="139"/>
      <c r="Q277" s="116">
        <f t="shared" si="78"/>
        <v>3.77</v>
      </c>
      <c r="S277" s="117">
        <v>19.899999999999999</v>
      </c>
      <c r="T277" s="32"/>
      <c r="U277" s="116">
        <v>3.97</v>
      </c>
      <c r="W277" s="145">
        <f t="shared" si="79"/>
        <v>351.78209700000002</v>
      </c>
      <c r="Y277" s="157">
        <f t="shared" si="80"/>
        <v>-18.132845743718576</v>
      </c>
    </row>
    <row r="278" spans="1:25" x14ac:dyDescent="0.2">
      <c r="A278" s="26"/>
      <c r="B278" s="139"/>
      <c r="C278" s="58" t="s">
        <v>117</v>
      </c>
      <c r="D278" s="139"/>
      <c r="E278" s="20" t="s">
        <v>146</v>
      </c>
      <c r="F278" s="20" t="s">
        <v>64</v>
      </c>
      <c r="G278" s="234">
        <f>'Spanos KU Prod No Term. NS'!U$123</f>
        <v>-0.01</v>
      </c>
      <c r="H278" s="139"/>
      <c r="I278" s="45">
        <v>9113.52</v>
      </c>
      <c r="J278" s="44"/>
      <c r="K278" s="45">
        <v>2350</v>
      </c>
      <c r="L278" s="45"/>
      <c r="M278" s="200">
        <f t="shared" si="76"/>
        <v>6854.6552000000011</v>
      </c>
      <c r="N278" s="45"/>
      <c r="O278" s="45">
        <f t="shared" si="77"/>
        <v>344.45503517587946</v>
      </c>
      <c r="P278" s="139"/>
      <c r="Q278" s="116">
        <f t="shared" si="78"/>
        <v>3.78</v>
      </c>
      <c r="S278" s="117">
        <v>19.899999999999999</v>
      </c>
      <c r="T278" s="32"/>
      <c r="U278" s="116">
        <v>3.98</v>
      </c>
      <c r="W278" s="145">
        <f t="shared" si="79"/>
        <v>362.718096</v>
      </c>
      <c r="Y278" s="157">
        <f t="shared" si="80"/>
        <v>-18.263060824120544</v>
      </c>
    </row>
    <row r="279" spans="1:25" x14ac:dyDescent="0.2">
      <c r="A279" s="26"/>
      <c r="B279" s="139"/>
      <c r="C279" s="58" t="s">
        <v>118</v>
      </c>
      <c r="D279" s="139"/>
      <c r="E279" s="20" t="s">
        <v>146</v>
      </c>
      <c r="F279" s="20" t="s">
        <v>64</v>
      </c>
      <c r="G279" s="234">
        <f>'Spanos KU Prod No Term. NS'!U$123</f>
        <v>-0.01</v>
      </c>
      <c r="H279" s="139"/>
      <c r="I279" s="45">
        <v>41868.51</v>
      </c>
      <c r="J279" s="44"/>
      <c r="K279" s="45">
        <v>4157</v>
      </c>
      <c r="L279" s="45"/>
      <c r="M279" s="200">
        <f t="shared" si="76"/>
        <v>38130.195100000004</v>
      </c>
      <c r="N279" s="45"/>
      <c r="O279" s="45">
        <f t="shared" si="77"/>
        <v>1842.0384106280196</v>
      </c>
      <c r="P279" s="139"/>
      <c r="Q279" s="116">
        <f t="shared" si="78"/>
        <v>4.4000000000000004</v>
      </c>
      <c r="S279" s="117">
        <v>20.7</v>
      </c>
      <c r="T279" s="32"/>
      <c r="U279" s="116">
        <v>4.59</v>
      </c>
      <c r="W279" s="145">
        <f t="shared" si="79"/>
        <v>1921.7646090000001</v>
      </c>
      <c r="Y279" s="157">
        <f t="shared" si="80"/>
        <v>-79.726198371980445</v>
      </c>
    </row>
    <row r="280" spans="1:25" x14ac:dyDescent="0.2">
      <c r="A280" s="26"/>
      <c r="B280" s="139"/>
      <c r="C280" s="58" t="s">
        <v>119</v>
      </c>
      <c r="D280" s="139"/>
      <c r="E280" s="20" t="s">
        <v>146</v>
      </c>
      <c r="F280" s="20" t="s">
        <v>64</v>
      </c>
      <c r="G280" s="234">
        <f>'Spanos KU Prod No Term. NS'!U$97</f>
        <v>-0.01</v>
      </c>
      <c r="H280" s="139"/>
      <c r="I280" s="45">
        <v>2139352.61</v>
      </c>
      <c r="J280" s="44"/>
      <c r="K280" s="45">
        <v>749750</v>
      </c>
      <c r="L280" s="45"/>
      <c r="M280" s="200">
        <f t="shared" si="76"/>
        <v>1410996.1360999998</v>
      </c>
      <c r="N280" s="45"/>
      <c r="O280" s="45">
        <f t="shared" si="77"/>
        <v>81560.470294797677</v>
      </c>
      <c r="P280" s="139"/>
      <c r="Q280" s="116">
        <f t="shared" si="78"/>
        <v>3.81</v>
      </c>
      <c r="S280" s="117">
        <v>17.3</v>
      </c>
      <c r="T280" s="32"/>
      <c r="U280" s="116">
        <v>4.0599999999999996</v>
      </c>
      <c r="W280" s="145">
        <f t="shared" si="79"/>
        <v>86857.715965999989</v>
      </c>
      <c r="Y280" s="157">
        <f t="shared" si="80"/>
        <v>-5297.2456712023122</v>
      </c>
    </row>
    <row r="281" spans="1:25" x14ac:dyDescent="0.2">
      <c r="A281" s="114" t="s">
        <v>163</v>
      </c>
      <c r="B281" s="139"/>
      <c r="C281" s="58" t="s">
        <v>120</v>
      </c>
      <c r="D281" s="139"/>
      <c r="E281" s="20" t="s">
        <v>146</v>
      </c>
      <c r="F281" s="20" t="s">
        <v>64</v>
      </c>
      <c r="G281" s="234">
        <f>'Spanos KU Prod No Term. NS'!U$97</f>
        <v>-0.01</v>
      </c>
      <c r="H281" s="139"/>
      <c r="I281" s="45">
        <v>53748.85</v>
      </c>
      <c r="J281" s="44"/>
      <c r="K281" s="45">
        <v>17904</v>
      </c>
      <c r="L281" s="45"/>
      <c r="M281" s="200">
        <f t="shared" si="76"/>
        <v>36382.338499999998</v>
      </c>
      <c r="N281" s="45"/>
      <c r="O281" s="45">
        <f t="shared" si="77"/>
        <v>2273.8961562499999</v>
      </c>
      <c r="P281" s="139"/>
      <c r="Q281" s="116">
        <f t="shared" si="78"/>
        <v>4.2300000000000004</v>
      </c>
      <c r="S281" s="117">
        <v>16</v>
      </c>
      <c r="T281" s="32"/>
      <c r="U281" s="116">
        <v>4.47</v>
      </c>
      <c r="W281" s="145">
        <f t="shared" si="79"/>
        <v>2402.5735949999994</v>
      </c>
      <c r="Y281" s="157">
        <f t="shared" si="80"/>
        <v>-128.67743874999951</v>
      </c>
    </row>
    <row r="282" spans="1:25" x14ac:dyDescent="0.2">
      <c r="A282" s="26"/>
      <c r="B282" s="139"/>
      <c r="C282" s="58" t="s">
        <v>121</v>
      </c>
      <c r="D282" s="139"/>
      <c r="E282" s="20" t="s">
        <v>146</v>
      </c>
      <c r="F282" s="20" t="s">
        <v>64</v>
      </c>
      <c r="G282" s="234">
        <f>'Spanos KU Prod No Term. NS'!U$97</f>
        <v>-0.01</v>
      </c>
      <c r="H282" s="139"/>
      <c r="I282" s="45">
        <v>35647.39</v>
      </c>
      <c r="J282" s="44"/>
      <c r="K282" s="45">
        <v>13487</v>
      </c>
      <c r="L282" s="45"/>
      <c r="M282" s="200">
        <f t="shared" si="76"/>
        <v>22516.863899999997</v>
      </c>
      <c r="N282" s="45"/>
      <c r="O282" s="45">
        <f t="shared" si="77"/>
        <v>1425.1179683544301</v>
      </c>
      <c r="P282" s="139"/>
      <c r="Q282" s="116">
        <f t="shared" si="78"/>
        <v>4</v>
      </c>
      <c r="S282" s="117">
        <v>15.8</v>
      </c>
      <c r="T282" s="32"/>
      <c r="U282" s="116">
        <v>4.25</v>
      </c>
      <c r="W282" s="145">
        <f t="shared" si="79"/>
        <v>1515.014075</v>
      </c>
      <c r="Y282" s="157">
        <f t="shared" si="80"/>
        <v>-89.896106645569944</v>
      </c>
    </row>
    <row r="283" spans="1:25" x14ac:dyDescent="0.2">
      <c r="A283" s="26"/>
      <c r="B283" s="139"/>
      <c r="C283" s="58" t="s">
        <v>122</v>
      </c>
      <c r="D283" s="139"/>
      <c r="E283" s="20" t="s">
        <v>146</v>
      </c>
      <c r="F283" s="20" t="s">
        <v>64</v>
      </c>
      <c r="G283" s="234">
        <f>'Spanos KU Prod No Term. NS'!U$97</f>
        <v>-0.01</v>
      </c>
      <c r="H283" s="139"/>
      <c r="I283" s="45">
        <v>285932.33</v>
      </c>
      <c r="J283" s="44"/>
      <c r="K283" s="45">
        <v>133886</v>
      </c>
      <c r="L283" s="45"/>
      <c r="M283" s="200">
        <f t="shared" si="76"/>
        <v>154905.65330000001</v>
      </c>
      <c r="N283" s="45"/>
      <c r="O283" s="45">
        <f t="shared" si="77"/>
        <v>12492.39139516129</v>
      </c>
      <c r="P283" s="139"/>
      <c r="Q283" s="116">
        <f t="shared" si="78"/>
        <v>4.37</v>
      </c>
      <c r="S283" s="117">
        <v>12.4</v>
      </c>
      <c r="T283" s="32"/>
      <c r="U283" s="116">
        <v>4.7</v>
      </c>
      <c r="W283" s="145">
        <f t="shared" si="79"/>
        <v>13438.819510000001</v>
      </c>
      <c r="Y283" s="157">
        <f t="shared" si="80"/>
        <v>-946.42811483871083</v>
      </c>
    </row>
    <row r="284" spans="1:25" x14ac:dyDescent="0.2">
      <c r="A284" s="26"/>
      <c r="B284" s="139"/>
      <c r="C284" s="58" t="s">
        <v>123</v>
      </c>
      <c r="D284" s="139"/>
      <c r="E284" s="20" t="s">
        <v>146</v>
      </c>
      <c r="F284" s="20" t="s">
        <v>64</v>
      </c>
      <c r="G284" s="234">
        <f>'Spanos KU Prod No Term. NS'!U$97</f>
        <v>-0.01</v>
      </c>
      <c r="H284" s="139"/>
      <c r="I284" s="45">
        <v>760255.37</v>
      </c>
      <c r="J284" s="44"/>
      <c r="K284" s="45">
        <v>435836</v>
      </c>
      <c r="L284" s="45"/>
      <c r="M284" s="200">
        <f t="shared" si="76"/>
        <v>332021.92370000004</v>
      </c>
      <c r="N284" s="45"/>
      <c r="O284" s="45">
        <f t="shared" si="77"/>
        <v>20881.881993710693</v>
      </c>
      <c r="P284" s="139"/>
      <c r="Q284" s="116">
        <f t="shared" si="78"/>
        <v>2.75</v>
      </c>
      <c r="S284" s="117">
        <v>15.9</v>
      </c>
      <c r="T284" s="32"/>
      <c r="U284" s="116">
        <v>2.99</v>
      </c>
      <c r="W284" s="145">
        <f t="shared" si="79"/>
        <v>22731.635563000003</v>
      </c>
      <c r="Y284" s="157">
        <f t="shared" si="80"/>
        <v>-1849.7535692893107</v>
      </c>
    </row>
    <row r="285" spans="1:25" x14ac:dyDescent="0.2">
      <c r="A285" s="26"/>
      <c r="B285" s="139"/>
      <c r="C285" s="58" t="s">
        <v>124</v>
      </c>
      <c r="D285" s="139"/>
      <c r="E285" s="20" t="s">
        <v>146</v>
      </c>
      <c r="F285" s="20" t="s">
        <v>64</v>
      </c>
      <c r="G285" s="234">
        <f>'Spanos KU Prod No Term. NS'!U$97</f>
        <v>-0.01</v>
      </c>
      <c r="H285" s="139"/>
      <c r="I285" s="45">
        <v>274390.87</v>
      </c>
      <c r="J285" s="44"/>
      <c r="K285" s="45">
        <v>136467</v>
      </c>
      <c r="L285" s="45"/>
      <c r="M285" s="200">
        <f t="shared" si="76"/>
        <v>140667.77870000002</v>
      </c>
      <c r="N285" s="45"/>
      <c r="O285" s="45">
        <f t="shared" si="77"/>
        <v>8629.9250736196336</v>
      </c>
      <c r="P285" s="139"/>
      <c r="Q285" s="116">
        <f t="shared" si="78"/>
        <v>3.15</v>
      </c>
      <c r="S285" s="117">
        <v>16.3</v>
      </c>
      <c r="T285" s="32"/>
      <c r="U285" s="116">
        <v>3.4</v>
      </c>
      <c r="W285" s="145">
        <f t="shared" si="79"/>
        <v>9329.2895799999988</v>
      </c>
      <c r="Y285" s="157">
        <f t="shared" si="80"/>
        <v>-699.36450638036513</v>
      </c>
    </row>
    <row r="286" spans="1:25" x14ac:dyDescent="0.2">
      <c r="A286" s="26"/>
      <c r="B286" s="139"/>
      <c r="C286" s="58" t="s">
        <v>125</v>
      </c>
      <c r="D286" s="139"/>
      <c r="E286" s="20" t="s">
        <v>146</v>
      </c>
      <c r="F286" s="20" t="s">
        <v>64</v>
      </c>
      <c r="G286" s="234">
        <f>'Spanos KU Prod No Term. NS'!U$97</f>
        <v>-0.01</v>
      </c>
      <c r="H286" s="139"/>
      <c r="I286" s="45">
        <v>590562.81999999995</v>
      </c>
      <c r="J286" s="44"/>
      <c r="K286" s="45">
        <v>219404</v>
      </c>
      <c r="L286" s="45"/>
      <c r="M286" s="200">
        <f t="shared" si="76"/>
        <v>377064.44819999998</v>
      </c>
      <c r="N286" s="45"/>
      <c r="O286" s="45">
        <f t="shared" si="77"/>
        <v>27930.699866666666</v>
      </c>
      <c r="P286" s="139"/>
      <c r="Q286" s="116">
        <f t="shared" si="78"/>
        <v>4.7300000000000004</v>
      </c>
      <c r="S286" s="117">
        <v>13.5</v>
      </c>
      <c r="T286" s="32"/>
      <c r="U286" s="116">
        <v>5.04</v>
      </c>
      <c r="W286" s="145">
        <f t="shared" si="79"/>
        <v>29764.366127999998</v>
      </c>
      <c r="Y286" s="157">
        <f t="shared" si="80"/>
        <v>-1833.6662613333319</v>
      </c>
    </row>
    <row r="287" spans="1:25" x14ac:dyDescent="0.2">
      <c r="A287" s="26"/>
      <c r="B287" s="139"/>
      <c r="C287" s="58" t="s">
        <v>126</v>
      </c>
      <c r="D287" s="139"/>
      <c r="E287" s="20" t="s">
        <v>146</v>
      </c>
      <c r="F287" s="20" t="s">
        <v>64</v>
      </c>
      <c r="G287" s="234">
        <f>'Spanos KU Prod No Term. NS'!U$106</f>
        <v>-0.01</v>
      </c>
      <c r="H287" s="139"/>
      <c r="I287" s="45">
        <v>35805.199999999997</v>
      </c>
      <c r="J287" s="44"/>
      <c r="K287" s="45">
        <v>34289</v>
      </c>
      <c r="L287" s="45"/>
      <c r="M287" s="200">
        <f t="shared" si="76"/>
        <v>1874.2520000000004</v>
      </c>
      <c r="N287" s="45"/>
      <c r="O287" s="45">
        <f t="shared" si="77"/>
        <v>340.77309090909097</v>
      </c>
      <c r="P287" s="139"/>
      <c r="Q287" s="116">
        <f t="shared" si="78"/>
        <v>0.95</v>
      </c>
      <c r="S287" s="117">
        <v>5.5</v>
      </c>
      <c r="T287" s="32"/>
      <c r="U287" s="116">
        <v>1.67</v>
      </c>
      <c r="W287" s="145">
        <f t="shared" si="79"/>
        <v>597.94683999999995</v>
      </c>
      <c r="Y287" s="157">
        <f t="shared" si="80"/>
        <v>-257.17374909090898</v>
      </c>
    </row>
    <row r="288" spans="1:25" x14ac:dyDescent="0.2">
      <c r="A288" s="26"/>
      <c r="B288" s="139"/>
      <c r="C288" s="58" t="s">
        <v>127</v>
      </c>
      <c r="D288" s="139"/>
      <c r="E288" s="20" t="s">
        <v>146</v>
      </c>
      <c r="F288" s="20" t="s">
        <v>64</v>
      </c>
      <c r="G288" s="234">
        <f>'Spanos KU Prod No Term. NS'!U$114</f>
        <v>-0.01</v>
      </c>
      <c r="H288" s="139"/>
      <c r="I288" s="90">
        <v>1089550.03</v>
      </c>
      <c r="J288" s="44"/>
      <c r="K288" s="45">
        <v>384938</v>
      </c>
      <c r="L288" s="45"/>
      <c r="M288" s="200">
        <f t="shared" si="76"/>
        <v>715507.53029999998</v>
      </c>
      <c r="N288" s="45"/>
      <c r="O288" s="45">
        <f t="shared" si="77"/>
        <v>41599.275017441862</v>
      </c>
      <c r="P288" s="139"/>
      <c r="Q288" s="116">
        <f t="shared" si="78"/>
        <v>3.82</v>
      </c>
      <c r="S288" s="117">
        <v>17.2</v>
      </c>
      <c r="T288" s="32"/>
      <c r="U288" s="116">
        <v>4.04</v>
      </c>
      <c r="W288" s="145">
        <f t="shared" si="79"/>
        <v>44017.821212000003</v>
      </c>
      <c r="Y288" s="159">
        <f t="shared" si="80"/>
        <v>-2418.546194558141</v>
      </c>
    </row>
    <row r="289" spans="1:26" x14ac:dyDescent="0.2">
      <c r="A289" s="26"/>
      <c r="B289" s="139"/>
      <c r="C289" s="139"/>
      <c r="D289" s="139"/>
      <c r="E289" s="20"/>
      <c r="F289" s="20"/>
      <c r="G289" s="19"/>
      <c r="H289" s="139"/>
      <c r="I289" s="45"/>
      <c r="J289" s="139"/>
      <c r="K289" s="49"/>
      <c r="L289" s="34"/>
      <c r="M289" s="49"/>
      <c r="N289" s="34"/>
      <c r="O289" s="49"/>
      <c r="P289" s="139"/>
      <c r="Q289" s="26"/>
      <c r="R289" s="139"/>
      <c r="S289" s="62"/>
      <c r="T289" s="32"/>
      <c r="U289" s="26"/>
    </row>
    <row r="290" spans="1:26" ht="15.75" x14ac:dyDescent="0.25">
      <c r="A290" s="26"/>
      <c r="B290" s="139"/>
      <c r="C290" s="65" t="s">
        <v>177</v>
      </c>
      <c r="D290" s="139"/>
      <c r="E290" s="20"/>
      <c r="F290" s="20"/>
      <c r="G290" s="19"/>
      <c r="H290" s="139"/>
      <c r="I290" s="90">
        <f>SUM(I275:I288)</f>
        <v>5362941.0700000012</v>
      </c>
      <c r="J290" s="139"/>
      <c r="K290" s="69">
        <f>+SUBTOTAL(9,K275:K289)</f>
        <v>2145473</v>
      </c>
      <c r="L290" s="34"/>
      <c r="M290" s="69">
        <f>+SUBTOTAL(9,M275:M289)</f>
        <v>3271097.4807000002</v>
      </c>
      <c r="N290" s="34"/>
      <c r="O290" s="69">
        <f>+SUBTOTAL(9,O275:O289)</f>
        <v>201099.67753721221</v>
      </c>
      <c r="P290" s="139"/>
      <c r="Q290" s="116">
        <f>IF(O290/I290*100=0,"-     ",ROUND(O290/I290*100,2))</f>
        <v>3.75</v>
      </c>
      <c r="S290" s="117">
        <v>16.2</v>
      </c>
      <c r="T290" s="32"/>
      <c r="U290" s="242">
        <f>W290/I290</f>
        <v>4.0055347549064146E-2</v>
      </c>
      <c r="W290" s="125">
        <f>+SUBTOTAL(9,W275:W289)</f>
        <v>214814.468444</v>
      </c>
      <c r="Y290" s="159">
        <f t="shared" ref="Y290" si="81">O290-W290</f>
        <v>-13714.790906787792</v>
      </c>
    </row>
    <row r="291" spans="1:26" x14ac:dyDescent="0.2">
      <c r="A291" s="26"/>
      <c r="B291" s="139"/>
      <c r="C291" s="139"/>
      <c r="D291" s="139"/>
      <c r="E291" s="20"/>
      <c r="F291" s="20"/>
      <c r="G291" s="19"/>
      <c r="H291" s="139"/>
      <c r="I291" s="45"/>
      <c r="J291" s="139"/>
      <c r="K291" s="34"/>
      <c r="L291" s="34"/>
      <c r="M291" s="34"/>
      <c r="N291" s="34"/>
      <c r="O291" s="34"/>
      <c r="P291" s="139"/>
      <c r="Q291" s="26"/>
      <c r="R291" s="139"/>
      <c r="S291" s="62"/>
      <c r="T291" s="32"/>
      <c r="U291" s="26"/>
    </row>
    <row r="292" spans="1:26" ht="15.75" x14ac:dyDescent="0.25">
      <c r="A292" s="26"/>
      <c r="B292" s="139"/>
      <c r="C292" s="91" t="s">
        <v>41</v>
      </c>
      <c r="D292" s="139"/>
      <c r="E292" s="48"/>
      <c r="F292" s="56"/>
      <c r="G292" s="51"/>
      <c r="H292" s="30"/>
      <c r="I292" s="102">
        <f>SUM(I290,I272,I253,I234,I216,I195,I176)</f>
        <v>526856779.57999998</v>
      </c>
      <c r="J292" s="30"/>
      <c r="K292" s="102">
        <f>SUM(K290,K272,K253,K234,K216,K195,K176)</f>
        <v>178011802</v>
      </c>
      <c r="L292" s="31"/>
      <c r="M292" s="102">
        <f>SUM(M290,M272,M253,M234,M216,M195,M176)</f>
        <v>354111781.2827</v>
      </c>
      <c r="N292" s="31"/>
      <c r="O292" s="102">
        <f>SUM(O290,O272,O253,O234,O216,O195,O176)</f>
        <v>20746557.054452002</v>
      </c>
      <c r="P292" s="30"/>
      <c r="Q292" s="137">
        <f>+ROUND(O292/I292*100,2)</f>
        <v>3.94</v>
      </c>
      <c r="R292" s="139"/>
      <c r="S292" s="62"/>
      <c r="T292" s="32"/>
      <c r="U292" s="242">
        <f>W292/I292</f>
        <v>4.1769085422450135E-2</v>
      </c>
      <c r="W292" s="102">
        <f>SUM(W290,W272,W253,W234,W216,W195,W176)</f>
        <v>22006325.831674002</v>
      </c>
      <c r="Y292" s="102">
        <f>SUM(Y290,Y272,Y253,Y234,Y216,Y195,Y176)</f>
        <v>-1259768.7772219956</v>
      </c>
      <c r="Z292" s="16">
        <f>+Y292</f>
        <v>-1259768.7772219956</v>
      </c>
    </row>
    <row r="293" spans="1:26" ht="15.75" x14ac:dyDescent="0.25">
      <c r="A293" s="26"/>
      <c r="B293" s="139"/>
      <c r="C293" s="91"/>
      <c r="D293" s="139"/>
      <c r="E293" s="48"/>
      <c r="F293" s="56"/>
      <c r="G293" s="51"/>
      <c r="H293" s="30"/>
      <c r="I293" s="45"/>
      <c r="J293" s="30"/>
      <c r="K293" s="31"/>
      <c r="L293" s="31"/>
      <c r="M293" s="31"/>
      <c r="N293" s="31"/>
      <c r="O293" s="31"/>
      <c r="P293" s="30"/>
      <c r="Q293" s="26"/>
      <c r="R293" s="139"/>
      <c r="S293" s="62"/>
      <c r="T293" s="32"/>
      <c r="U293" s="26"/>
      <c r="Z293" s="258">
        <f>SUM(Z129:Z292)</f>
        <v>-14496776.823050382</v>
      </c>
    </row>
    <row r="294" spans="1:26" x14ac:dyDescent="0.2">
      <c r="A294" s="26"/>
      <c r="B294" s="139"/>
      <c r="C294" s="139"/>
      <c r="D294" s="139"/>
      <c r="E294" s="48"/>
      <c r="F294" s="56"/>
      <c r="G294" s="19"/>
      <c r="H294" s="139"/>
      <c r="I294" s="45"/>
      <c r="J294" s="139"/>
      <c r="K294" s="34"/>
      <c r="L294" s="34"/>
      <c r="M294" s="34"/>
      <c r="N294" s="34"/>
      <c r="O294" s="34"/>
      <c r="P294" s="139"/>
      <c r="Q294" s="26"/>
      <c r="R294" s="139"/>
      <c r="S294" s="62"/>
      <c r="T294" s="32"/>
      <c r="U294" s="26"/>
    </row>
    <row r="295" spans="1:26" ht="15.75" x14ac:dyDescent="0.25">
      <c r="A295" s="26"/>
      <c r="B295" s="139"/>
      <c r="C295" s="53" t="s">
        <v>42</v>
      </c>
      <c r="D295" s="139"/>
      <c r="E295" s="48"/>
      <c r="F295" s="56"/>
      <c r="G295" s="19"/>
      <c r="H295" s="139"/>
      <c r="I295" s="45"/>
      <c r="J295" s="139"/>
      <c r="K295" s="34"/>
      <c r="L295" s="34"/>
      <c r="M295" s="34"/>
      <c r="N295" s="34"/>
      <c r="O295" s="34"/>
      <c r="P295" s="139"/>
      <c r="Q295" s="26"/>
      <c r="R295" s="139"/>
      <c r="S295" s="62"/>
      <c r="T295" s="32"/>
      <c r="U295" s="26"/>
    </row>
    <row r="296" spans="1:26" s="139" customFormat="1" ht="15.75" x14ac:dyDescent="0.25">
      <c r="A296" s="26"/>
      <c r="C296" s="43"/>
      <c r="E296" s="48"/>
      <c r="F296" s="56"/>
      <c r="G296" s="19"/>
      <c r="I296" s="45"/>
      <c r="K296" s="34"/>
      <c r="L296" s="34"/>
      <c r="M296" s="34"/>
      <c r="N296" s="34"/>
      <c r="O296" s="34"/>
      <c r="Q296" s="26"/>
      <c r="S296" s="62"/>
      <c r="T296" s="32"/>
      <c r="U296" s="26"/>
      <c r="W296" s="150"/>
      <c r="Y296" s="153"/>
    </row>
    <row r="297" spans="1:26" s="139" customFormat="1" x14ac:dyDescent="0.2">
      <c r="A297" s="26">
        <v>350.1</v>
      </c>
      <c r="C297" s="139" t="s">
        <v>179</v>
      </c>
      <c r="E297" s="20" t="s">
        <v>195</v>
      </c>
      <c r="F297" s="56"/>
      <c r="G297" s="19">
        <v>0</v>
      </c>
      <c r="I297" s="45">
        <v>23413728.550000001</v>
      </c>
      <c r="J297" s="44"/>
      <c r="K297" s="45">
        <v>15953928</v>
      </c>
      <c r="L297" s="45"/>
      <c r="M297" s="200">
        <f t="shared" ref="M297:M306" si="82">+((1-(G297/100))*I297)-K297</f>
        <v>7459800.5500000007</v>
      </c>
      <c r="N297" s="45"/>
      <c r="O297" s="45">
        <f t="shared" ref="O297:O306" si="83">M297/S297</f>
        <v>225371.61782477342</v>
      </c>
      <c r="Q297" s="116">
        <f t="shared" ref="Q297:Q306" si="84">IF(O297/I297*100=0,"-     ",ROUND(O297/I297*100,2))</f>
        <v>0.96</v>
      </c>
      <c r="R297" s="135"/>
      <c r="S297" s="117">
        <v>33.1</v>
      </c>
      <c r="T297" s="32"/>
      <c r="U297" s="116">
        <v>0.96</v>
      </c>
      <c r="W297" s="145">
        <f t="shared" ref="W297:W306" si="85">(I297/100)*U297</f>
        <v>224771.79407999999</v>
      </c>
      <c r="Y297" s="157">
        <f t="shared" ref="Y297:Y306" si="86">O297-W297</f>
        <v>599.82374477342819</v>
      </c>
    </row>
    <row r="298" spans="1:26" s="139" customFormat="1" ht="15" customHeight="1" x14ac:dyDescent="0.2">
      <c r="A298" s="26">
        <v>352.1</v>
      </c>
      <c r="C298" s="59" t="s">
        <v>35</v>
      </c>
      <c r="E298" s="20" t="s">
        <v>147</v>
      </c>
      <c r="F298" s="56"/>
      <c r="G298" s="19">
        <v>-25</v>
      </c>
      <c r="I298" s="45">
        <v>17020058.510000002</v>
      </c>
      <c r="J298" s="44"/>
      <c r="K298" s="45">
        <v>4850267</v>
      </c>
      <c r="L298" s="45"/>
      <c r="M298" s="200">
        <f t="shared" si="82"/>
        <v>16424806.137500003</v>
      </c>
      <c r="N298" s="45"/>
      <c r="O298" s="45">
        <f t="shared" si="83"/>
        <v>298090.85549001821</v>
      </c>
      <c r="Q298" s="116">
        <f t="shared" si="84"/>
        <v>1.75</v>
      </c>
      <c r="R298" s="135"/>
      <c r="S298" s="117">
        <v>55.1</v>
      </c>
      <c r="T298" s="32"/>
      <c r="U298" s="116">
        <v>1.75</v>
      </c>
      <c r="W298" s="145">
        <f t="shared" si="85"/>
        <v>297851.02392500004</v>
      </c>
      <c r="Y298" s="157">
        <f t="shared" si="86"/>
        <v>239.8315650181612</v>
      </c>
    </row>
    <row r="299" spans="1:26" s="139" customFormat="1" ht="15" customHeight="1" x14ac:dyDescent="0.2">
      <c r="A299" s="26">
        <v>352.2</v>
      </c>
      <c r="C299" s="139" t="s">
        <v>183</v>
      </c>
      <c r="E299" s="20" t="s">
        <v>195</v>
      </c>
      <c r="F299" s="56"/>
      <c r="G299" s="19">
        <v>-25</v>
      </c>
      <c r="I299" s="45">
        <v>1220542.6200000001</v>
      </c>
      <c r="J299" s="44"/>
      <c r="K299" s="45">
        <v>860225</v>
      </c>
      <c r="L299" s="45"/>
      <c r="M299" s="200">
        <f t="shared" si="82"/>
        <v>665453.27500000014</v>
      </c>
      <c r="N299" s="45"/>
      <c r="O299" s="45">
        <f t="shared" si="83"/>
        <v>19288.500724637684</v>
      </c>
      <c r="Q299" s="116">
        <f t="shared" si="84"/>
        <v>1.58</v>
      </c>
      <c r="R299" s="135"/>
      <c r="S299" s="117">
        <v>34.5</v>
      </c>
      <c r="T299" s="32"/>
      <c r="U299" s="116">
        <v>1.58</v>
      </c>
      <c r="W299" s="145">
        <f t="shared" si="85"/>
        <v>19284.573396000003</v>
      </c>
      <c r="Y299" s="157">
        <f t="shared" si="86"/>
        <v>3.9273286376810574</v>
      </c>
    </row>
    <row r="300" spans="1:26" s="139" customFormat="1" ht="15" customHeight="1" x14ac:dyDescent="0.2">
      <c r="A300" s="26">
        <v>353.1</v>
      </c>
      <c r="C300" s="139" t="s">
        <v>181</v>
      </c>
      <c r="E300" s="20" t="s">
        <v>196</v>
      </c>
      <c r="F300" s="56"/>
      <c r="G300" s="19">
        <v>-10</v>
      </c>
      <c r="I300" s="45">
        <v>191753788.16999999</v>
      </c>
      <c r="J300" s="44"/>
      <c r="K300" s="45">
        <v>67092664</v>
      </c>
      <c r="L300" s="45"/>
      <c r="M300" s="200">
        <f t="shared" si="82"/>
        <v>143836502.98699999</v>
      </c>
      <c r="N300" s="45"/>
      <c r="O300" s="45">
        <f t="shared" si="83"/>
        <v>3210636.2273883927</v>
      </c>
      <c r="Q300" s="116">
        <f t="shared" si="84"/>
        <v>1.67</v>
      </c>
      <c r="R300" s="135"/>
      <c r="S300" s="117">
        <v>44.8</v>
      </c>
      <c r="T300" s="32"/>
      <c r="U300" s="116">
        <v>1.67</v>
      </c>
      <c r="W300" s="145">
        <f t="shared" si="85"/>
        <v>3202288.2624389995</v>
      </c>
      <c r="Y300" s="157">
        <f t="shared" si="86"/>
        <v>8347.9649493931793</v>
      </c>
    </row>
    <row r="301" spans="1:26" s="139" customFormat="1" ht="15" customHeight="1" x14ac:dyDescent="0.2">
      <c r="A301" s="26">
        <v>353.2</v>
      </c>
      <c r="C301" s="139" t="s">
        <v>182</v>
      </c>
      <c r="E301" s="20" t="s">
        <v>197</v>
      </c>
      <c r="F301" s="56"/>
      <c r="G301" s="19">
        <v>-10</v>
      </c>
      <c r="I301" s="45">
        <v>14668403.51</v>
      </c>
      <c r="J301" s="44"/>
      <c r="K301" s="45">
        <v>16135244</v>
      </c>
      <c r="L301" s="45"/>
      <c r="M301" s="200">
        <f t="shared" si="82"/>
        <v>-0.13899999856948853</v>
      </c>
      <c r="N301" s="45"/>
      <c r="O301" s="45">
        <v>0</v>
      </c>
      <c r="Q301" s="116" t="str">
        <f t="shared" si="84"/>
        <v xml:space="preserve">-     </v>
      </c>
      <c r="R301" s="135"/>
      <c r="S301" s="117" t="s">
        <v>297</v>
      </c>
      <c r="T301" s="32"/>
      <c r="U301" s="116" t="s">
        <v>297</v>
      </c>
      <c r="W301" s="145">
        <v>0</v>
      </c>
      <c r="Y301" s="157">
        <f t="shared" si="86"/>
        <v>0</v>
      </c>
    </row>
    <row r="302" spans="1:26" s="139" customFormat="1" x14ac:dyDescent="0.2">
      <c r="A302" s="26">
        <v>354</v>
      </c>
      <c r="C302" s="139" t="s">
        <v>70</v>
      </c>
      <c r="E302" s="20" t="s">
        <v>198</v>
      </c>
      <c r="F302" s="56"/>
      <c r="G302" s="19">
        <v>-25</v>
      </c>
      <c r="I302" s="45">
        <v>95353356.620000005</v>
      </c>
      <c r="J302" s="44"/>
      <c r="K302" s="45">
        <v>48758751</v>
      </c>
      <c r="L302" s="45"/>
      <c r="M302" s="200">
        <f t="shared" si="82"/>
        <v>70432944.775000006</v>
      </c>
      <c r="N302" s="45"/>
      <c r="O302" s="45">
        <f t="shared" si="83"/>
        <v>1299500.8261070112</v>
      </c>
      <c r="Q302" s="116">
        <f t="shared" si="84"/>
        <v>1.36</v>
      </c>
      <c r="R302" s="135"/>
      <c r="S302" s="117">
        <v>54.2</v>
      </c>
      <c r="T302" s="32"/>
      <c r="U302" s="116">
        <v>1.36</v>
      </c>
      <c r="W302" s="145">
        <f t="shared" si="85"/>
        <v>1296805.6500320002</v>
      </c>
      <c r="Y302" s="157">
        <f t="shared" si="86"/>
        <v>2695.1760750110261</v>
      </c>
    </row>
    <row r="303" spans="1:26" s="139" customFormat="1" x14ac:dyDescent="0.2">
      <c r="A303" s="26">
        <v>355</v>
      </c>
      <c r="C303" s="139" t="s">
        <v>71</v>
      </c>
      <c r="E303" s="20" t="s">
        <v>199</v>
      </c>
      <c r="F303" s="56"/>
      <c r="G303" s="19">
        <v>-55</v>
      </c>
      <c r="I303" s="45">
        <v>148658780.47999999</v>
      </c>
      <c r="J303" s="44"/>
      <c r="K303" s="45">
        <v>68401548</v>
      </c>
      <c r="L303" s="45"/>
      <c r="M303" s="200">
        <f t="shared" si="82"/>
        <v>162019561.74399999</v>
      </c>
      <c r="N303" s="45"/>
      <c r="O303" s="45">
        <f t="shared" si="83"/>
        <v>3484291.6504086019</v>
      </c>
      <c r="Q303" s="116">
        <f t="shared" si="84"/>
        <v>2.34</v>
      </c>
      <c r="R303" s="135"/>
      <c r="S303" s="117">
        <v>46.5</v>
      </c>
      <c r="T303" s="32"/>
      <c r="U303" s="116">
        <v>2.34</v>
      </c>
      <c r="W303" s="145">
        <f t="shared" si="85"/>
        <v>3478615.4632319994</v>
      </c>
      <c r="Y303" s="157">
        <f t="shared" si="86"/>
        <v>5676.1871766024269</v>
      </c>
    </row>
    <row r="304" spans="1:26" s="139" customFormat="1" x14ac:dyDescent="0.2">
      <c r="A304" s="26">
        <v>356</v>
      </c>
      <c r="C304" s="139" t="s">
        <v>72</v>
      </c>
      <c r="E304" s="20" t="s">
        <v>195</v>
      </c>
      <c r="F304" s="56"/>
      <c r="G304" s="19">
        <v>-50</v>
      </c>
      <c r="I304" s="45">
        <v>160446879.27000001</v>
      </c>
      <c r="J304" s="44"/>
      <c r="K304" s="45">
        <v>109283433</v>
      </c>
      <c r="L304" s="45"/>
      <c r="M304" s="200">
        <f t="shared" si="82"/>
        <v>131386885.90500003</v>
      </c>
      <c r="N304" s="45"/>
      <c r="O304" s="45">
        <f t="shared" si="83"/>
        <v>3106072.9528368805</v>
      </c>
      <c r="Q304" s="116">
        <f t="shared" si="84"/>
        <v>1.94</v>
      </c>
      <c r="R304" s="135"/>
      <c r="S304" s="117">
        <v>42.3</v>
      </c>
      <c r="T304" s="32"/>
      <c r="U304" s="116">
        <v>1.94</v>
      </c>
      <c r="W304" s="145">
        <f t="shared" si="85"/>
        <v>3112669.4578380003</v>
      </c>
      <c r="Y304" s="157">
        <f t="shared" si="86"/>
        <v>-6596.5050011198036</v>
      </c>
    </row>
    <row r="305" spans="1:25" s="139" customFormat="1" x14ac:dyDescent="0.2">
      <c r="A305" s="26">
        <v>357</v>
      </c>
      <c r="C305" s="139" t="s">
        <v>73</v>
      </c>
      <c r="E305" s="20" t="s">
        <v>200</v>
      </c>
      <c r="F305" s="56"/>
      <c r="G305" s="19">
        <v>0</v>
      </c>
      <c r="I305" s="45">
        <v>448760.26</v>
      </c>
      <c r="J305" s="44"/>
      <c r="K305" s="45">
        <v>187418</v>
      </c>
      <c r="L305" s="45"/>
      <c r="M305" s="200">
        <f t="shared" si="82"/>
        <v>261342.26</v>
      </c>
      <c r="N305" s="45"/>
      <c r="O305" s="45">
        <f t="shared" si="83"/>
        <v>10208.68203125</v>
      </c>
      <c r="Q305" s="116">
        <f t="shared" si="84"/>
        <v>2.27</v>
      </c>
      <c r="R305" s="135"/>
      <c r="S305" s="117">
        <v>25.6</v>
      </c>
      <c r="T305" s="32"/>
      <c r="U305" s="116">
        <v>2.27</v>
      </c>
      <c r="W305" s="145">
        <f t="shared" si="85"/>
        <v>10186.857902</v>
      </c>
      <c r="Y305" s="157">
        <f t="shared" si="86"/>
        <v>21.824129250000624</v>
      </c>
    </row>
    <row r="306" spans="1:25" s="139" customFormat="1" x14ac:dyDescent="0.2">
      <c r="A306" s="26">
        <v>358</v>
      </c>
      <c r="C306" s="46" t="s">
        <v>74</v>
      </c>
      <c r="E306" s="20" t="s">
        <v>201</v>
      </c>
      <c r="F306" s="56"/>
      <c r="G306" s="19">
        <v>0</v>
      </c>
      <c r="I306" s="90">
        <v>1161549.29</v>
      </c>
      <c r="J306" s="44"/>
      <c r="K306" s="45">
        <v>918039</v>
      </c>
      <c r="L306" s="45"/>
      <c r="M306" s="200">
        <f t="shared" si="82"/>
        <v>243510.29000000004</v>
      </c>
      <c r="N306" s="45"/>
      <c r="O306" s="45">
        <f t="shared" si="83"/>
        <v>11432.407981220658</v>
      </c>
      <c r="Q306" s="116">
        <f t="shared" si="84"/>
        <v>0.98</v>
      </c>
      <c r="R306" s="135"/>
      <c r="S306" s="117">
        <v>21.3</v>
      </c>
      <c r="T306" s="32"/>
      <c r="U306" s="116">
        <v>0.98</v>
      </c>
      <c r="W306" s="145">
        <f t="shared" si="85"/>
        <v>11383.183042000001</v>
      </c>
      <c r="Y306" s="159">
        <f t="shared" si="86"/>
        <v>49.224939220657689</v>
      </c>
    </row>
    <row r="307" spans="1:25" s="139" customFormat="1" x14ac:dyDescent="0.2">
      <c r="A307" s="26"/>
      <c r="E307" s="20"/>
      <c r="F307" s="56"/>
      <c r="G307" s="19"/>
      <c r="I307" s="45"/>
      <c r="K307" s="49"/>
      <c r="L307" s="34"/>
      <c r="M307" s="49"/>
      <c r="N307" s="34"/>
      <c r="O307" s="49"/>
      <c r="Q307" s="26"/>
      <c r="S307" s="62"/>
      <c r="T307" s="32"/>
      <c r="U307" s="26"/>
      <c r="W307" s="150"/>
      <c r="Y307" s="153"/>
    </row>
    <row r="308" spans="1:25" s="139" customFormat="1" ht="15.75" x14ac:dyDescent="0.25">
      <c r="A308" s="26"/>
      <c r="C308" s="50" t="s">
        <v>43</v>
      </c>
      <c r="E308" s="20"/>
      <c r="F308" s="56"/>
      <c r="G308" s="19"/>
      <c r="H308" s="30"/>
      <c r="I308" s="102">
        <f>SUM(I297:I307)</f>
        <v>654145847.27999997</v>
      </c>
      <c r="J308" s="30"/>
      <c r="K308" s="102">
        <f>SUM(K297:K307)</f>
        <v>332441517</v>
      </c>
      <c r="L308" s="31"/>
      <c r="M308" s="102">
        <f>SUM(M297:M307)</f>
        <v>532730807.7845</v>
      </c>
      <c r="N308" s="31"/>
      <c r="O308" s="102">
        <f>SUM(O297:O307)</f>
        <v>11664893.720792785</v>
      </c>
      <c r="Q308" s="137">
        <f>+ROUND(O308/I308*100,2)</f>
        <v>1.78</v>
      </c>
      <c r="S308" s="62"/>
      <c r="T308" s="32"/>
      <c r="U308" s="242">
        <f>W308/I308</f>
        <v>1.7815379115137444E-2</v>
      </c>
      <c r="W308" s="102">
        <f>SUM(W297:W307)</f>
        <v>11653856.265885999</v>
      </c>
      <c r="Y308" s="102">
        <f>SUM(Y297:Y307)</f>
        <v>11037.454906786757</v>
      </c>
    </row>
    <row r="309" spans="1:25" s="139" customFormat="1" ht="15.75" x14ac:dyDescent="0.25">
      <c r="A309" s="26"/>
      <c r="C309" s="50"/>
      <c r="E309" s="20"/>
      <c r="F309" s="56"/>
      <c r="G309" s="19"/>
      <c r="H309" s="30"/>
      <c r="I309" s="45"/>
      <c r="J309" s="30"/>
      <c r="K309" s="31"/>
      <c r="L309" s="31"/>
      <c r="M309" s="31"/>
      <c r="N309" s="31"/>
      <c r="O309" s="31"/>
      <c r="Q309" s="26"/>
      <c r="S309" s="62"/>
      <c r="T309" s="32"/>
      <c r="U309" s="26"/>
      <c r="W309" s="150"/>
      <c r="Y309" s="153"/>
    </row>
    <row r="310" spans="1:25" s="139" customFormat="1" x14ac:dyDescent="0.2">
      <c r="A310" s="26"/>
      <c r="E310" s="20"/>
      <c r="F310" s="56"/>
      <c r="G310" s="19"/>
      <c r="I310" s="45"/>
      <c r="K310" s="34"/>
      <c r="L310" s="34"/>
      <c r="M310" s="34"/>
      <c r="N310" s="34"/>
      <c r="O310" s="34"/>
      <c r="Q310" s="26"/>
      <c r="S310" s="62"/>
      <c r="T310" s="32"/>
      <c r="U310" s="26"/>
      <c r="W310" s="150"/>
      <c r="Y310" s="153"/>
    </row>
    <row r="311" spans="1:25" s="139" customFormat="1" ht="15.75" x14ac:dyDescent="0.25">
      <c r="A311" s="26"/>
      <c r="B311" s="32"/>
      <c r="C311" s="53" t="s">
        <v>44</v>
      </c>
      <c r="D311" s="32"/>
      <c r="E311" s="20"/>
      <c r="F311" s="56"/>
      <c r="G311" s="19"/>
      <c r="H311" s="32"/>
      <c r="I311" s="45"/>
      <c r="J311" s="32"/>
      <c r="K311" s="34"/>
      <c r="L311" s="34"/>
      <c r="M311" s="34"/>
      <c r="N311" s="34"/>
      <c r="O311" s="34"/>
      <c r="P311" s="32"/>
      <c r="Q311" s="26"/>
      <c r="S311" s="62"/>
      <c r="T311" s="32"/>
      <c r="U311" s="26"/>
      <c r="W311" s="150"/>
      <c r="Y311" s="153"/>
    </row>
    <row r="312" spans="1:25" s="139" customFormat="1" ht="15.75" x14ac:dyDescent="0.25">
      <c r="A312" s="26"/>
      <c r="C312" s="43"/>
      <c r="E312" s="20"/>
      <c r="F312" s="56"/>
      <c r="G312" s="19"/>
      <c r="I312" s="45"/>
      <c r="K312" s="34"/>
      <c r="L312" s="34"/>
      <c r="M312" s="34"/>
      <c r="N312" s="34"/>
      <c r="O312" s="34"/>
      <c r="Q312" s="26"/>
      <c r="S312" s="62"/>
      <c r="T312" s="32"/>
      <c r="U312" s="26"/>
      <c r="W312" s="150"/>
      <c r="Y312" s="153"/>
    </row>
    <row r="313" spans="1:25" s="139" customFormat="1" x14ac:dyDescent="0.2">
      <c r="A313" s="26">
        <v>360.1</v>
      </c>
      <c r="C313" s="59" t="s">
        <v>180</v>
      </c>
      <c r="E313" s="20" t="s">
        <v>202</v>
      </c>
      <c r="F313" s="56"/>
      <c r="G313" s="19">
        <v>0</v>
      </c>
      <c r="I313" s="45">
        <v>2039033.29</v>
      </c>
      <c r="J313" s="44"/>
      <c r="K313" s="45">
        <v>1485249</v>
      </c>
      <c r="L313" s="45"/>
      <c r="M313" s="200">
        <f t="shared" ref="M313:M324" si="87">+((1-(G313/100))*I313)-K313</f>
        <v>553784.29</v>
      </c>
      <c r="N313" s="45"/>
      <c r="O313" s="45">
        <f t="shared" ref="O313:O324" si="88">M313/S313</f>
        <v>11883.783047210301</v>
      </c>
      <c r="Q313" s="116">
        <f t="shared" ref="Q313:Q324" si="89">IF(O313/I313*100=0,"-     ",ROUND(O313/I313*100,2))</f>
        <v>0.57999999999999996</v>
      </c>
      <c r="R313" s="135"/>
      <c r="S313" s="117">
        <v>46.6</v>
      </c>
      <c r="T313" s="32"/>
      <c r="U313" s="116">
        <v>0.57999999999999996</v>
      </c>
      <c r="W313" s="145">
        <f t="shared" ref="W313:W324" si="90">(I313/100)*U313</f>
        <v>11826.393082000001</v>
      </c>
      <c r="Y313" s="157">
        <f t="shared" ref="Y313:Y324" si="91">O313-W313</f>
        <v>57.389965210300943</v>
      </c>
    </row>
    <row r="314" spans="1:25" x14ac:dyDescent="0.2">
      <c r="A314" s="26">
        <v>361</v>
      </c>
      <c r="B314" s="139"/>
      <c r="C314" s="139" t="s">
        <v>90</v>
      </c>
      <c r="D314" s="139"/>
      <c r="E314" s="20" t="s">
        <v>134</v>
      </c>
      <c r="F314" s="56"/>
      <c r="G314" s="19">
        <v>-20</v>
      </c>
      <c r="H314" s="139"/>
      <c r="I314" s="45">
        <v>7658288.0899999999</v>
      </c>
      <c r="J314" s="44"/>
      <c r="K314" s="45">
        <v>1787771</v>
      </c>
      <c r="L314" s="45"/>
      <c r="M314" s="200">
        <f t="shared" si="87"/>
        <v>7402174.7079999987</v>
      </c>
      <c r="N314" s="45"/>
      <c r="O314" s="45">
        <f t="shared" si="88"/>
        <v>153254.1347412008</v>
      </c>
      <c r="P314" s="139"/>
      <c r="Q314" s="116">
        <f t="shared" si="89"/>
        <v>2</v>
      </c>
      <c r="S314" s="117">
        <v>48.3</v>
      </c>
      <c r="T314" s="32"/>
      <c r="U314" s="116">
        <v>2</v>
      </c>
      <c r="W314" s="145">
        <f t="shared" si="90"/>
        <v>153165.76180000001</v>
      </c>
      <c r="Y314" s="157">
        <f t="shared" si="91"/>
        <v>88.372941200796049</v>
      </c>
    </row>
    <row r="315" spans="1:25" x14ac:dyDescent="0.2">
      <c r="A315" s="26">
        <v>362</v>
      </c>
      <c r="B315" s="139"/>
      <c r="C315" s="46" t="s">
        <v>75</v>
      </c>
      <c r="D315" s="139"/>
      <c r="E315" s="20" t="s">
        <v>203</v>
      </c>
      <c r="F315" s="56"/>
      <c r="G315" s="19">
        <v>-20</v>
      </c>
      <c r="H315" s="139"/>
      <c r="I315" s="45">
        <v>141200430.90000001</v>
      </c>
      <c r="J315" s="44"/>
      <c r="K315" s="45">
        <v>40173683</v>
      </c>
      <c r="L315" s="45"/>
      <c r="M315" s="200">
        <f t="shared" si="87"/>
        <v>129266834.08000001</v>
      </c>
      <c r="N315" s="45"/>
      <c r="O315" s="45">
        <f t="shared" si="88"/>
        <v>3199674.1108910898</v>
      </c>
      <c r="P315" s="139"/>
      <c r="Q315" s="116">
        <f t="shared" si="89"/>
        <v>2.27</v>
      </c>
      <c r="S315" s="117">
        <v>40.4</v>
      </c>
      <c r="T315" s="32"/>
      <c r="U315" s="116">
        <v>2.27</v>
      </c>
      <c r="W315" s="145">
        <f t="shared" si="90"/>
        <v>3205249.7814300004</v>
      </c>
      <c r="Y315" s="157">
        <f t="shared" si="91"/>
        <v>-5575.6705389106646</v>
      </c>
    </row>
    <row r="316" spans="1:25" x14ac:dyDescent="0.2">
      <c r="A316" s="26">
        <v>364</v>
      </c>
      <c r="B316" s="139"/>
      <c r="C316" s="46" t="s">
        <v>76</v>
      </c>
      <c r="D316" s="139"/>
      <c r="E316" s="20" t="s">
        <v>204</v>
      </c>
      <c r="F316" s="56"/>
      <c r="G316" s="19">
        <v>-45</v>
      </c>
      <c r="H316" s="139"/>
      <c r="I316" s="45">
        <v>287791923.14999998</v>
      </c>
      <c r="J316" s="44"/>
      <c r="K316" s="45">
        <v>133160672</v>
      </c>
      <c r="L316" s="45"/>
      <c r="M316" s="200">
        <f t="shared" si="87"/>
        <v>284137616.56749994</v>
      </c>
      <c r="N316" s="45"/>
      <c r="O316" s="45">
        <f t="shared" si="88"/>
        <v>6717201.3372931434</v>
      </c>
      <c r="P316" s="139"/>
      <c r="Q316" s="116">
        <f t="shared" si="89"/>
        <v>2.33</v>
      </c>
      <c r="S316" s="117">
        <v>42.3</v>
      </c>
      <c r="T316" s="32"/>
      <c r="U316" s="116">
        <v>2.33</v>
      </c>
      <c r="W316" s="145">
        <f t="shared" si="90"/>
        <v>6705551.8093949994</v>
      </c>
      <c r="Y316" s="157">
        <f t="shared" si="91"/>
        <v>11649.527898143977</v>
      </c>
    </row>
    <row r="317" spans="1:25" x14ac:dyDescent="0.2">
      <c r="A317" s="26">
        <v>365</v>
      </c>
      <c r="B317" s="139"/>
      <c r="C317" s="139" t="s">
        <v>77</v>
      </c>
      <c r="D317" s="139"/>
      <c r="E317" s="20" t="s">
        <v>205</v>
      </c>
      <c r="F317" s="56"/>
      <c r="G317" s="19">
        <v>-60</v>
      </c>
      <c r="H317" s="139"/>
      <c r="I317" s="45">
        <v>276285758.81</v>
      </c>
      <c r="J317" s="44"/>
      <c r="K317" s="45">
        <v>108982197</v>
      </c>
      <c r="L317" s="45"/>
      <c r="M317" s="200">
        <f t="shared" si="87"/>
        <v>333075017.09600002</v>
      </c>
      <c r="N317" s="45"/>
      <c r="O317" s="45">
        <f t="shared" si="88"/>
        <v>8905749.1202139053</v>
      </c>
      <c r="P317" s="139"/>
      <c r="Q317" s="116">
        <f t="shared" si="89"/>
        <v>3.22</v>
      </c>
      <c r="S317" s="117">
        <v>37.4</v>
      </c>
      <c r="T317" s="32"/>
      <c r="U317" s="116">
        <v>3.23</v>
      </c>
      <c r="W317" s="145">
        <f t="shared" si="90"/>
        <v>8924030.009562999</v>
      </c>
      <c r="Y317" s="157">
        <f t="shared" si="91"/>
        <v>-18280.889349093661</v>
      </c>
    </row>
    <row r="318" spans="1:25" x14ac:dyDescent="0.2">
      <c r="A318" s="26">
        <v>366</v>
      </c>
      <c r="B318" s="139"/>
      <c r="C318" s="59" t="s">
        <v>155</v>
      </c>
      <c r="D318" s="139"/>
      <c r="E318" s="20" t="s">
        <v>206</v>
      </c>
      <c r="F318" s="56"/>
      <c r="G318" s="19">
        <v>-5</v>
      </c>
      <c r="H318" s="139"/>
      <c r="I318" s="45">
        <v>1861963.15</v>
      </c>
      <c r="J318" s="44"/>
      <c r="K318" s="45">
        <v>653383</v>
      </c>
      <c r="L318" s="45"/>
      <c r="M318" s="200">
        <f t="shared" si="87"/>
        <v>1301678.3074999999</v>
      </c>
      <c r="N318" s="45"/>
      <c r="O318" s="45">
        <f t="shared" si="88"/>
        <v>50257.849710424707</v>
      </c>
      <c r="P318" s="139"/>
      <c r="Q318" s="116">
        <f t="shared" si="89"/>
        <v>2.7</v>
      </c>
      <c r="S318" s="117">
        <v>25.9</v>
      </c>
      <c r="T318" s="32"/>
      <c r="U318" s="116">
        <v>2.7</v>
      </c>
      <c r="W318" s="145">
        <f t="shared" si="90"/>
        <v>50273.00505</v>
      </c>
      <c r="Y318" s="157">
        <f t="shared" si="91"/>
        <v>-15.155339575292601</v>
      </c>
    </row>
    <row r="319" spans="1:25" x14ac:dyDescent="0.2">
      <c r="A319" s="26">
        <v>367</v>
      </c>
      <c r="B319" s="139"/>
      <c r="C319" s="139" t="s">
        <v>78</v>
      </c>
      <c r="D319" s="139"/>
      <c r="E319" s="20" t="s">
        <v>207</v>
      </c>
      <c r="F319" s="56"/>
      <c r="G319" s="19">
        <v>-10</v>
      </c>
      <c r="H319" s="139"/>
      <c r="I319" s="45">
        <v>140620009.31999999</v>
      </c>
      <c r="J319" s="44"/>
      <c r="K319" s="45">
        <v>28891798</v>
      </c>
      <c r="L319" s="45"/>
      <c r="M319" s="200">
        <f t="shared" si="87"/>
        <v>125790212.252</v>
      </c>
      <c r="N319" s="45"/>
      <c r="O319" s="45">
        <f t="shared" si="88"/>
        <v>3336610.4045623341</v>
      </c>
      <c r="P319" s="139"/>
      <c r="Q319" s="116">
        <f t="shared" si="89"/>
        <v>2.37</v>
      </c>
      <c r="S319" s="117">
        <v>37.700000000000003</v>
      </c>
      <c r="T319" s="32"/>
      <c r="U319" s="116">
        <v>2.37</v>
      </c>
      <c r="W319" s="145">
        <f t="shared" si="90"/>
        <v>3332694.220884</v>
      </c>
      <c r="Y319" s="157">
        <f t="shared" si="91"/>
        <v>3916.1836783341132</v>
      </c>
    </row>
    <row r="320" spans="1:25" x14ac:dyDescent="0.2">
      <c r="A320" s="26">
        <v>368</v>
      </c>
      <c r="B320" s="139"/>
      <c r="C320" s="139" t="s">
        <v>79</v>
      </c>
      <c r="D320" s="139"/>
      <c r="E320" s="20" t="s">
        <v>208</v>
      </c>
      <c r="F320" s="56"/>
      <c r="G320" s="19">
        <v>-15</v>
      </c>
      <c r="H320" s="139"/>
      <c r="I320" s="45">
        <v>286070399.06</v>
      </c>
      <c r="J320" s="44"/>
      <c r="K320" s="45">
        <v>117730753</v>
      </c>
      <c r="L320" s="45"/>
      <c r="M320" s="200">
        <f t="shared" si="87"/>
        <v>211250205.91899997</v>
      </c>
      <c r="N320" s="45"/>
      <c r="O320" s="45">
        <f t="shared" si="88"/>
        <v>7018279.2664119592</v>
      </c>
      <c r="P320" s="139"/>
      <c r="Q320" s="116">
        <f t="shared" si="89"/>
        <v>2.4500000000000002</v>
      </c>
      <c r="S320" s="117">
        <v>30.1</v>
      </c>
      <c r="T320" s="32"/>
      <c r="U320" s="116">
        <v>2.4500000000000002</v>
      </c>
      <c r="W320" s="145">
        <f t="shared" si="90"/>
        <v>7008724.7769700009</v>
      </c>
      <c r="Y320" s="157">
        <f t="shared" si="91"/>
        <v>9554.4894419582561</v>
      </c>
    </row>
    <row r="321" spans="1:25" x14ac:dyDescent="0.2">
      <c r="A321" s="26">
        <v>369</v>
      </c>
      <c r="B321" s="139"/>
      <c r="C321" s="139" t="s">
        <v>80</v>
      </c>
      <c r="D321" s="139"/>
      <c r="E321" s="20" t="s">
        <v>148</v>
      </c>
      <c r="F321" s="56"/>
      <c r="G321" s="19">
        <v>-30</v>
      </c>
      <c r="H321" s="139"/>
      <c r="I321" s="45">
        <v>89050180.390000001</v>
      </c>
      <c r="J321" s="44"/>
      <c r="K321" s="45">
        <v>57697779</v>
      </c>
      <c r="L321" s="45"/>
      <c r="M321" s="200">
        <f t="shared" si="87"/>
        <v>58067455.506999999</v>
      </c>
      <c r="N321" s="45"/>
      <c r="O321" s="45">
        <f t="shared" si="88"/>
        <v>1808955.0002180685</v>
      </c>
      <c r="P321" s="139"/>
      <c r="Q321" s="116">
        <f t="shared" si="89"/>
        <v>2.0299999999999998</v>
      </c>
      <c r="S321" s="117">
        <v>32.1</v>
      </c>
      <c r="T321" s="32"/>
      <c r="U321" s="116">
        <v>2.0299999999999998</v>
      </c>
      <c r="W321" s="145">
        <f t="shared" si="90"/>
        <v>1807718.6619169998</v>
      </c>
      <c r="Y321" s="157">
        <f t="shared" si="91"/>
        <v>1236.3383010686375</v>
      </c>
    </row>
    <row r="322" spans="1:25" x14ac:dyDescent="0.2">
      <c r="A322" s="26">
        <v>370</v>
      </c>
      <c r="B322" s="139"/>
      <c r="C322" s="139" t="s">
        <v>81</v>
      </c>
      <c r="D322" s="139"/>
      <c r="E322" s="20" t="s">
        <v>209</v>
      </c>
      <c r="F322" s="56"/>
      <c r="G322" s="19">
        <v>0</v>
      </c>
      <c r="H322" s="139"/>
      <c r="I322" s="45">
        <v>70049355.340000004</v>
      </c>
      <c r="J322" s="44"/>
      <c r="K322" s="45">
        <v>32484596</v>
      </c>
      <c r="L322" s="45"/>
      <c r="M322" s="200">
        <f t="shared" si="87"/>
        <v>37564759.340000004</v>
      </c>
      <c r="N322" s="45"/>
      <c r="O322" s="45">
        <f t="shared" si="88"/>
        <v>1605331.5957264961</v>
      </c>
      <c r="P322" s="139"/>
      <c r="Q322" s="116">
        <f t="shared" si="89"/>
        <v>2.29</v>
      </c>
      <c r="S322" s="117">
        <v>23.4</v>
      </c>
      <c r="T322" s="32"/>
      <c r="U322" s="116">
        <v>2.29</v>
      </c>
      <c r="W322" s="145">
        <f t="shared" si="90"/>
        <v>1604130.2372860003</v>
      </c>
      <c r="Y322" s="157">
        <f t="shared" si="91"/>
        <v>1201.3584404957946</v>
      </c>
    </row>
    <row r="323" spans="1:25" x14ac:dyDescent="0.2">
      <c r="A323" s="26">
        <v>371</v>
      </c>
      <c r="B323" s="139"/>
      <c r="C323" s="139" t="s">
        <v>185</v>
      </c>
      <c r="D323" s="139"/>
      <c r="E323" s="20" t="s">
        <v>210</v>
      </c>
      <c r="F323" s="56"/>
      <c r="G323" s="19">
        <v>-10</v>
      </c>
      <c r="H323" s="139"/>
      <c r="I323" s="45">
        <v>18253214.449999999</v>
      </c>
      <c r="J323" s="44"/>
      <c r="K323" s="45">
        <v>17404873</v>
      </c>
      <c r="L323" s="45"/>
      <c r="M323" s="200">
        <f t="shared" si="87"/>
        <v>2673662.8949999996</v>
      </c>
      <c r="N323" s="45"/>
      <c r="O323" s="45">
        <f t="shared" si="88"/>
        <v>147716.18204419885</v>
      </c>
      <c r="P323" s="139"/>
      <c r="Q323" s="116">
        <f t="shared" si="89"/>
        <v>0.81</v>
      </c>
      <c r="S323" s="117">
        <v>18.100000000000001</v>
      </c>
      <c r="T323" s="32"/>
      <c r="U323" s="116">
        <v>0.81</v>
      </c>
      <c r="W323" s="145">
        <f t="shared" si="90"/>
        <v>147851.037045</v>
      </c>
      <c r="Y323" s="157">
        <f t="shared" si="91"/>
        <v>-134.85500080115162</v>
      </c>
    </row>
    <row r="324" spans="1:25" x14ac:dyDescent="0.2">
      <c r="A324" s="26">
        <v>373</v>
      </c>
      <c r="B324" s="139"/>
      <c r="C324" s="139" t="s">
        <v>82</v>
      </c>
      <c r="D324" s="139"/>
      <c r="E324" s="20" t="s">
        <v>211</v>
      </c>
      <c r="F324" s="56"/>
      <c r="G324" s="19">
        <v>-10</v>
      </c>
      <c r="H324" s="139"/>
      <c r="I324" s="90">
        <v>81534875.549999997</v>
      </c>
      <c r="J324" s="44"/>
      <c r="K324" s="45">
        <v>20703034</v>
      </c>
      <c r="L324" s="45"/>
      <c r="M324" s="200">
        <f t="shared" si="87"/>
        <v>68985329.105000004</v>
      </c>
      <c r="N324" s="45"/>
      <c r="O324" s="45">
        <f t="shared" si="88"/>
        <v>3254024.9577830192</v>
      </c>
      <c r="P324" s="139"/>
      <c r="Q324" s="116">
        <f t="shared" si="89"/>
        <v>3.99</v>
      </c>
      <c r="S324" s="117">
        <v>21.2</v>
      </c>
      <c r="T324" s="32"/>
      <c r="U324" s="116">
        <v>4</v>
      </c>
      <c r="W324" s="145">
        <f t="shared" si="90"/>
        <v>3261395.0219999999</v>
      </c>
      <c r="Y324" s="159">
        <f t="shared" si="91"/>
        <v>-7370.0642169807106</v>
      </c>
    </row>
    <row r="325" spans="1:25" x14ac:dyDescent="0.2">
      <c r="A325" s="26"/>
      <c r="B325" s="139"/>
      <c r="C325" s="139"/>
      <c r="D325" s="139"/>
      <c r="E325" s="20"/>
      <c r="F325" s="56"/>
      <c r="G325" s="19"/>
      <c r="H325" s="139"/>
      <c r="I325" s="45"/>
      <c r="J325" s="139"/>
      <c r="K325" s="49"/>
      <c r="L325" s="34"/>
      <c r="M325" s="49"/>
      <c r="N325" s="34"/>
      <c r="O325" s="49"/>
      <c r="P325" s="139"/>
      <c r="Q325" s="26"/>
      <c r="R325" s="139"/>
      <c r="S325" s="62"/>
      <c r="T325" s="32"/>
      <c r="U325" s="26"/>
    </row>
    <row r="326" spans="1:25" ht="15.75" x14ac:dyDescent="0.25">
      <c r="A326" s="26"/>
      <c r="B326" s="139"/>
      <c r="C326" s="50" t="s">
        <v>45</v>
      </c>
      <c r="D326" s="139"/>
      <c r="E326" s="20"/>
      <c r="F326" s="56"/>
      <c r="G326" s="19"/>
      <c r="H326" s="30"/>
      <c r="I326" s="102">
        <f>SUM(I313:I325)</f>
        <v>1402415431.5</v>
      </c>
      <c r="J326" s="30"/>
      <c r="K326" s="102">
        <f>SUM(K313:K325)</f>
        <v>561155788</v>
      </c>
      <c r="L326" s="31"/>
      <c r="M326" s="102">
        <f>SUM(M313:M325)</f>
        <v>1260068730.0669997</v>
      </c>
      <c r="N326" s="31"/>
      <c r="O326" s="102">
        <f>SUM(O313:O325)</f>
        <v>36208937.742643051</v>
      </c>
      <c r="P326" s="30"/>
      <c r="Q326" s="137">
        <f>+ROUND(O326/I326*100,2)</f>
        <v>2.58</v>
      </c>
      <c r="R326" s="139"/>
      <c r="S326" s="62"/>
      <c r="T326" s="32"/>
      <c r="U326" s="242">
        <f>W326/I326</f>
        <v>2.5821600292639101E-2</v>
      </c>
      <c r="W326" s="102">
        <f>SUM(W313:W325)</f>
        <v>36212610.716421992</v>
      </c>
      <c r="Y326" s="102">
        <f>SUM(Y313:Y325)</f>
        <v>-3672.9737789496048</v>
      </c>
    </row>
    <row r="327" spans="1:25" ht="15.75" x14ac:dyDescent="0.25">
      <c r="A327" s="26"/>
      <c r="B327" s="139"/>
      <c r="C327" s="50"/>
      <c r="D327" s="139"/>
      <c r="E327" s="20"/>
      <c r="F327" s="56"/>
      <c r="G327" s="19"/>
      <c r="H327" s="30"/>
      <c r="I327" s="45"/>
      <c r="J327" s="30"/>
      <c r="K327" s="31"/>
      <c r="L327" s="31"/>
      <c r="M327" s="31"/>
      <c r="N327" s="31"/>
      <c r="O327" s="31"/>
      <c r="P327" s="30"/>
      <c r="Q327" s="26"/>
      <c r="R327" s="139"/>
      <c r="S327" s="62"/>
      <c r="T327" s="32"/>
      <c r="U327" s="26"/>
    </row>
    <row r="328" spans="1:25" x14ac:dyDescent="0.2">
      <c r="A328" s="26"/>
      <c r="B328" s="139"/>
      <c r="C328" s="139"/>
      <c r="D328" s="139"/>
      <c r="E328" s="48"/>
      <c r="F328" s="56"/>
      <c r="G328" s="19"/>
      <c r="H328" s="139"/>
      <c r="I328" s="45"/>
      <c r="J328" s="139"/>
      <c r="K328" s="34"/>
      <c r="L328" s="34"/>
      <c r="M328" s="34"/>
      <c r="N328" s="34"/>
      <c r="O328" s="34"/>
      <c r="P328" s="139"/>
      <c r="Q328" s="26"/>
      <c r="R328" s="139"/>
      <c r="S328" s="62"/>
      <c r="T328" s="32"/>
      <c r="U328" s="26"/>
    </row>
    <row r="329" spans="1:25" ht="15.75" x14ac:dyDescent="0.25">
      <c r="A329" s="26"/>
      <c r="B329" s="139"/>
      <c r="C329" s="53" t="s">
        <v>46</v>
      </c>
      <c r="D329" s="139"/>
      <c r="E329" s="48"/>
      <c r="F329" s="56"/>
      <c r="G329" s="19"/>
      <c r="H329" s="139"/>
      <c r="I329" s="45"/>
      <c r="J329" s="139"/>
      <c r="K329" s="34"/>
      <c r="L329" s="34"/>
      <c r="M329" s="34"/>
      <c r="N329" s="34"/>
      <c r="O329" s="34"/>
      <c r="P329" s="139"/>
      <c r="Q329" s="26"/>
      <c r="R329" s="139"/>
      <c r="S329" s="62"/>
      <c r="T329" s="32"/>
      <c r="U329" s="26"/>
    </row>
    <row r="330" spans="1:25" ht="15.75" x14ac:dyDescent="0.25">
      <c r="A330" s="26"/>
      <c r="B330" s="139"/>
      <c r="C330" s="43"/>
      <c r="D330" s="139"/>
      <c r="E330" s="48"/>
      <c r="F330" s="56"/>
      <c r="G330" s="19"/>
      <c r="H330" s="139"/>
      <c r="I330" s="45"/>
      <c r="J330" s="139"/>
      <c r="K330" s="34"/>
      <c r="L330" s="34"/>
      <c r="M330" s="34"/>
      <c r="N330" s="34"/>
      <c r="O330" s="34"/>
      <c r="P330" s="139"/>
      <c r="Q330" s="26"/>
      <c r="R330" s="139"/>
      <c r="S330" s="62"/>
      <c r="T330" s="32"/>
      <c r="U330" s="26"/>
    </row>
    <row r="331" spans="1:25" x14ac:dyDescent="0.2">
      <c r="A331" s="26">
        <v>390.1</v>
      </c>
      <c r="B331" s="139"/>
      <c r="C331" s="57" t="s">
        <v>129</v>
      </c>
      <c r="D331" s="139"/>
      <c r="E331" s="20" t="s">
        <v>212</v>
      </c>
      <c r="F331" s="56"/>
      <c r="G331" s="19">
        <v>-10</v>
      </c>
      <c r="H331" s="139"/>
      <c r="I331" s="45">
        <v>47011269.520000003</v>
      </c>
      <c r="J331" s="44"/>
      <c r="K331" s="45">
        <v>9650596</v>
      </c>
      <c r="L331" s="45"/>
      <c r="M331" s="200">
        <f t="shared" ref="M331:M343" si="92">+((1-(G331/100))*I331)-K331</f>
        <v>42061800.47200001</v>
      </c>
      <c r="N331" s="45"/>
      <c r="O331" s="45">
        <f t="shared" ref="O331:O342" si="93">M331/S331</f>
        <v>945208.99937078671</v>
      </c>
      <c r="P331" s="139"/>
      <c r="Q331" s="116">
        <f t="shared" ref="Q331:Q342" si="94">IF(O331/I331*100=0,"-     ",ROUND(O331/I331*100,2))</f>
        <v>2.0099999999999998</v>
      </c>
      <c r="S331" s="117">
        <v>44.5</v>
      </c>
      <c r="T331" s="32"/>
      <c r="U331" s="116">
        <v>2.0099999999999998</v>
      </c>
      <c r="W331" s="145">
        <f t="shared" ref="W331:W342" si="95">(I331/100)*U331</f>
        <v>944926.51735199988</v>
      </c>
      <c r="Y331" s="157">
        <f t="shared" ref="Y331:Y343" si="96">O331-W331</f>
        <v>282.48201878683176</v>
      </c>
    </row>
    <row r="332" spans="1:25" x14ac:dyDescent="0.2">
      <c r="A332" s="26">
        <v>390.2</v>
      </c>
      <c r="B332" s="139"/>
      <c r="C332" s="57" t="s">
        <v>184</v>
      </c>
      <c r="D332" s="139"/>
      <c r="E332" s="20" t="s">
        <v>149</v>
      </c>
      <c r="F332" s="56"/>
      <c r="G332" s="19">
        <v>-10</v>
      </c>
      <c r="H332" s="139"/>
      <c r="I332" s="45">
        <v>531973.43999999994</v>
      </c>
      <c r="J332" s="44"/>
      <c r="K332" s="45">
        <v>413480</v>
      </c>
      <c r="L332" s="45"/>
      <c r="M332" s="200">
        <f t="shared" si="92"/>
        <v>171690.78399999999</v>
      </c>
      <c r="N332" s="45"/>
      <c r="O332" s="45">
        <f t="shared" si="93"/>
        <v>9132.4885106382972</v>
      </c>
      <c r="P332" s="139"/>
      <c r="Q332" s="116">
        <f t="shared" si="94"/>
        <v>1.72</v>
      </c>
      <c r="S332" s="117">
        <v>18.8</v>
      </c>
      <c r="T332" s="32"/>
      <c r="U332" s="116">
        <v>1.72</v>
      </c>
      <c r="W332" s="145">
        <f t="shared" si="95"/>
        <v>9149.943167999998</v>
      </c>
      <c r="Y332" s="157">
        <f t="shared" si="96"/>
        <v>-17.454657361700811</v>
      </c>
    </row>
    <row r="333" spans="1:25" x14ac:dyDescent="0.2">
      <c r="A333" s="26">
        <v>391.1</v>
      </c>
      <c r="B333" s="139"/>
      <c r="C333" s="92" t="s">
        <v>83</v>
      </c>
      <c r="D333" s="139"/>
      <c r="E333" s="20" t="s">
        <v>150</v>
      </c>
      <c r="F333" s="56"/>
      <c r="G333" s="19">
        <v>0</v>
      </c>
      <c r="H333" s="139"/>
      <c r="I333" s="45">
        <v>7513787.5599999996</v>
      </c>
      <c r="J333" s="44"/>
      <c r="K333" s="45">
        <v>4161871</v>
      </c>
      <c r="L333" s="45"/>
      <c r="M333" s="200">
        <f t="shared" si="92"/>
        <v>3351916.5599999996</v>
      </c>
      <c r="N333" s="45"/>
      <c r="O333" s="45">
        <f t="shared" si="93"/>
        <v>335191.65599999996</v>
      </c>
      <c r="P333" s="139"/>
      <c r="Q333" s="116">
        <f t="shared" si="94"/>
        <v>4.46</v>
      </c>
      <c r="S333" s="117">
        <v>10</v>
      </c>
      <c r="T333" s="32"/>
      <c r="U333" s="116">
        <v>4.46</v>
      </c>
      <c r="W333" s="145">
        <f t="shared" si="95"/>
        <v>335114.92517599999</v>
      </c>
      <c r="Y333" s="157">
        <f t="shared" si="96"/>
        <v>76.730823999969289</v>
      </c>
    </row>
    <row r="334" spans="1:25" x14ac:dyDescent="0.2">
      <c r="A334" s="26">
        <v>391.2</v>
      </c>
      <c r="B334" s="139"/>
      <c r="C334" s="92" t="s">
        <v>84</v>
      </c>
      <c r="D334" s="139"/>
      <c r="E334" s="20" t="s">
        <v>153</v>
      </c>
      <c r="F334" s="56"/>
      <c r="G334" s="19">
        <v>0</v>
      </c>
      <c r="H334" s="139"/>
      <c r="I334" s="45">
        <v>17256012.350000001</v>
      </c>
      <c r="J334" s="44"/>
      <c r="K334" s="45">
        <v>6803953</v>
      </c>
      <c r="L334" s="45"/>
      <c r="M334" s="200">
        <f t="shared" si="92"/>
        <v>10452059.350000001</v>
      </c>
      <c r="N334" s="45"/>
      <c r="O334" s="45">
        <f t="shared" si="93"/>
        <v>3732878.339285715</v>
      </c>
      <c r="P334" s="139"/>
      <c r="Q334" s="116">
        <f t="shared" si="94"/>
        <v>21.63</v>
      </c>
      <c r="S334" s="117">
        <v>2.8</v>
      </c>
      <c r="T334" s="32"/>
      <c r="U334" s="116">
        <v>21.58</v>
      </c>
      <c r="W334" s="145">
        <f t="shared" si="95"/>
        <v>3723847.4651299999</v>
      </c>
      <c r="Y334" s="157">
        <f t="shared" si="96"/>
        <v>9030.8741557151079</v>
      </c>
    </row>
    <row r="335" spans="1:25" x14ac:dyDescent="0.2">
      <c r="A335" s="26">
        <v>391.31</v>
      </c>
      <c r="B335" s="139"/>
      <c r="C335" s="57" t="s">
        <v>128</v>
      </c>
      <c r="D335" s="139"/>
      <c r="E335" s="20" t="s">
        <v>213</v>
      </c>
      <c r="F335" s="56"/>
      <c r="G335" s="19">
        <v>0</v>
      </c>
      <c r="H335" s="139"/>
      <c r="I335" s="45">
        <v>6398371.6500000004</v>
      </c>
      <c r="J335" s="44"/>
      <c r="K335" s="45">
        <v>4572023</v>
      </c>
      <c r="L335" s="45"/>
      <c r="M335" s="200">
        <f t="shared" si="92"/>
        <v>1826348.6500000004</v>
      </c>
      <c r="N335" s="45"/>
      <c r="O335" s="45">
        <f t="shared" si="93"/>
        <v>570733.95312500012</v>
      </c>
      <c r="P335" s="139"/>
      <c r="Q335" s="116">
        <f t="shared" si="94"/>
        <v>8.92</v>
      </c>
      <c r="S335" s="117">
        <v>3.2</v>
      </c>
      <c r="T335" s="32"/>
      <c r="U335" s="116">
        <v>8.93</v>
      </c>
      <c r="W335" s="145">
        <f t="shared" si="95"/>
        <v>571374.58834500005</v>
      </c>
      <c r="Y335" s="157">
        <f t="shared" si="96"/>
        <v>-640.63521999993827</v>
      </c>
    </row>
    <row r="336" spans="1:25" x14ac:dyDescent="0.2">
      <c r="A336" s="26">
        <v>392.1</v>
      </c>
      <c r="B336" s="139"/>
      <c r="C336" s="59" t="s">
        <v>164</v>
      </c>
      <c r="D336" s="139"/>
      <c r="E336" s="20" t="s">
        <v>214</v>
      </c>
      <c r="F336" s="56"/>
      <c r="G336" s="19">
        <v>0</v>
      </c>
      <c r="H336" s="139"/>
      <c r="I336" s="45">
        <v>1865090.97</v>
      </c>
      <c r="J336" s="44"/>
      <c r="K336" s="45">
        <v>1578423</v>
      </c>
      <c r="L336" s="45"/>
      <c r="M336" s="200">
        <f t="shared" si="92"/>
        <v>286667.96999999997</v>
      </c>
      <c r="N336" s="45"/>
      <c r="O336" s="45">
        <f t="shared" si="93"/>
        <v>45502.852380952376</v>
      </c>
      <c r="P336" s="139"/>
      <c r="Q336" s="116">
        <f t="shared" si="94"/>
        <v>2.44</v>
      </c>
      <c r="S336" s="117">
        <v>6.3</v>
      </c>
      <c r="T336" s="32"/>
      <c r="U336" s="116">
        <v>2.44</v>
      </c>
      <c r="W336" s="145">
        <f t="shared" si="95"/>
        <v>45508.219667999998</v>
      </c>
      <c r="Y336" s="157">
        <f t="shared" si="96"/>
        <v>-5.3672870476220851</v>
      </c>
    </row>
    <row r="337" spans="1:25" x14ac:dyDescent="0.2">
      <c r="A337" s="26">
        <v>392.3</v>
      </c>
      <c r="B337" s="139"/>
      <c r="C337" s="59" t="s">
        <v>165</v>
      </c>
      <c r="D337" s="139"/>
      <c r="E337" s="20" t="s">
        <v>215</v>
      </c>
      <c r="F337" s="56"/>
      <c r="G337" s="19">
        <v>0</v>
      </c>
      <c r="H337" s="139"/>
      <c r="I337" s="45">
        <v>14101987.630000001</v>
      </c>
      <c r="J337" s="44"/>
      <c r="K337" s="45">
        <v>13160795</v>
      </c>
      <c r="L337" s="45"/>
      <c r="M337" s="200">
        <f t="shared" si="92"/>
        <v>941192.63000000082</v>
      </c>
      <c r="N337" s="45"/>
      <c r="O337" s="45">
        <f t="shared" si="93"/>
        <v>76519.726016260218</v>
      </c>
      <c r="P337" s="139"/>
      <c r="Q337" s="116">
        <f t="shared" si="94"/>
        <v>0.54</v>
      </c>
      <c r="S337" s="117">
        <v>12.3</v>
      </c>
      <c r="T337" s="32"/>
      <c r="U337" s="116">
        <v>0.54</v>
      </c>
      <c r="W337" s="145">
        <f t="shared" si="95"/>
        <v>76150.733202000003</v>
      </c>
      <c r="Y337" s="157">
        <f t="shared" si="96"/>
        <v>368.9928142602148</v>
      </c>
    </row>
    <row r="338" spans="1:25" x14ac:dyDescent="0.2">
      <c r="A338" s="26">
        <v>393</v>
      </c>
      <c r="B338" s="139"/>
      <c r="C338" s="46" t="s">
        <v>85</v>
      </c>
      <c r="D338" s="139"/>
      <c r="E338" s="20" t="s">
        <v>151</v>
      </c>
      <c r="F338" s="56"/>
      <c r="G338" s="19">
        <v>0</v>
      </c>
      <c r="H338" s="139"/>
      <c r="I338" s="45">
        <v>551794.27</v>
      </c>
      <c r="J338" s="44"/>
      <c r="K338" s="45">
        <v>164539</v>
      </c>
      <c r="L338" s="45"/>
      <c r="M338" s="200">
        <f t="shared" si="92"/>
        <v>387255.27</v>
      </c>
      <c r="N338" s="45"/>
      <c r="O338" s="45">
        <f t="shared" si="93"/>
        <v>27860.091366906476</v>
      </c>
      <c r="P338" s="139"/>
      <c r="Q338" s="116">
        <f t="shared" si="94"/>
        <v>5.05</v>
      </c>
      <c r="S338" s="117">
        <v>13.9</v>
      </c>
      <c r="T338" s="32"/>
      <c r="U338" s="116">
        <v>5.07</v>
      </c>
      <c r="W338" s="145">
        <f t="shared" si="95"/>
        <v>27975.969489000003</v>
      </c>
      <c r="Y338" s="157">
        <f t="shared" si="96"/>
        <v>-115.87812209352705</v>
      </c>
    </row>
    <row r="339" spans="1:25" x14ac:dyDescent="0.2">
      <c r="A339" s="26">
        <v>394</v>
      </c>
      <c r="B339" s="139"/>
      <c r="C339" s="93" t="s">
        <v>86</v>
      </c>
      <c r="D339" s="139"/>
      <c r="E339" s="20" t="s">
        <v>151</v>
      </c>
      <c r="F339" s="56"/>
      <c r="G339" s="19">
        <v>0</v>
      </c>
      <c r="H339" s="139"/>
      <c r="I339" s="45">
        <v>7648755.4400000004</v>
      </c>
      <c r="J339" s="44"/>
      <c r="K339" s="45">
        <v>1767311</v>
      </c>
      <c r="L339" s="45"/>
      <c r="M339" s="200">
        <f t="shared" si="92"/>
        <v>5881444.4400000004</v>
      </c>
      <c r="N339" s="45"/>
      <c r="O339" s="45">
        <f t="shared" si="93"/>
        <v>326746.91333333333</v>
      </c>
      <c r="P339" s="139"/>
      <c r="Q339" s="116">
        <f t="shared" si="94"/>
        <v>4.2699999999999996</v>
      </c>
      <c r="S339" s="117">
        <v>18</v>
      </c>
      <c r="T339" s="32"/>
      <c r="U339" s="116">
        <v>4.2699999999999996</v>
      </c>
      <c r="W339" s="145">
        <f t="shared" si="95"/>
        <v>326601.857288</v>
      </c>
      <c r="Y339" s="157">
        <f t="shared" si="96"/>
        <v>145.05604533333099</v>
      </c>
    </row>
    <row r="340" spans="1:25" x14ac:dyDescent="0.2">
      <c r="A340" s="26">
        <v>396.3</v>
      </c>
      <c r="B340" s="139"/>
      <c r="C340" s="57" t="s">
        <v>166</v>
      </c>
      <c r="D340" s="139"/>
      <c r="E340" s="20" t="s">
        <v>216</v>
      </c>
      <c r="F340" s="56"/>
      <c r="G340" s="19">
        <v>0</v>
      </c>
      <c r="H340" s="139"/>
      <c r="I340" s="45">
        <v>1174225.44</v>
      </c>
      <c r="J340" s="44"/>
      <c r="K340" s="45">
        <v>139927</v>
      </c>
      <c r="L340" s="45"/>
      <c r="M340" s="200">
        <f t="shared" si="92"/>
        <v>1034298.44</v>
      </c>
      <c r="N340" s="45"/>
      <c r="O340" s="45">
        <f t="shared" si="93"/>
        <v>104474.58989898989</v>
      </c>
      <c r="P340" s="139"/>
      <c r="Q340" s="116">
        <f t="shared" si="94"/>
        <v>8.9</v>
      </c>
      <c r="S340" s="117">
        <v>9.9</v>
      </c>
      <c r="T340" s="32"/>
      <c r="U340" s="116">
        <v>8.89</v>
      </c>
      <c r="W340" s="145">
        <f t="shared" si="95"/>
        <v>104388.64161600001</v>
      </c>
      <c r="Y340" s="157">
        <f t="shared" si="96"/>
        <v>85.948282989877043</v>
      </c>
    </row>
    <row r="341" spans="1:25" x14ac:dyDescent="0.2">
      <c r="A341" s="26">
        <v>397.1</v>
      </c>
      <c r="B341" s="139"/>
      <c r="C341" s="63" t="s">
        <v>167</v>
      </c>
      <c r="D341" s="139"/>
      <c r="E341" s="20" t="s">
        <v>152</v>
      </c>
      <c r="F341" s="56"/>
      <c r="G341" s="19">
        <v>0</v>
      </c>
      <c r="H341" s="139"/>
      <c r="I341" s="45">
        <v>10171295.9</v>
      </c>
      <c r="J341" s="44"/>
      <c r="K341" s="45">
        <v>5248935</v>
      </c>
      <c r="L341" s="45"/>
      <c r="M341" s="200">
        <f t="shared" si="92"/>
        <v>4922360.9000000004</v>
      </c>
      <c r="N341" s="45"/>
      <c r="O341" s="45">
        <f t="shared" si="93"/>
        <v>579101.28235294123</v>
      </c>
      <c r="P341" s="139"/>
      <c r="Q341" s="116">
        <f t="shared" si="94"/>
        <v>5.69</v>
      </c>
      <c r="S341" s="117">
        <v>8.5</v>
      </c>
      <c r="T341" s="32"/>
      <c r="U341" s="116">
        <v>5.7</v>
      </c>
      <c r="W341" s="145">
        <f t="shared" si="95"/>
        <v>579763.86629999999</v>
      </c>
      <c r="Y341" s="157">
        <f t="shared" si="96"/>
        <v>-662.58394705876708</v>
      </c>
    </row>
    <row r="342" spans="1:25" x14ac:dyDescent="0.2">
      <c r="A342" s="26">
        <v>397.2</v>
      </c>
      <c r="B342" s="139"/>
      <c r="C342" s="63" t="s">
        <v>168</v>
      </c>
      <c r="D342" s="139"/>
      <c r="E342" s="20" t="s">
        <v>217</v>
      </c>
      <c r="F342" s="56"/>
      <c r="G342" s="19">
        <v>0</v>
      </c>
      <c r="H342" s="139"/>
      <c r="I342" s="45">
        <v>19915035.899999999</v>
      </c>
      <c r="J342" s="44"/>
      <c r="K342" s="45">
        <v>5655027</v>
      </c>
      <c r="L342" s="45"/>
      <c r="M342" s="200">
        <f t="shared" si="92"/>
        <v>14260008.899999999</v>
      </c>
      <c r="N342" s="45"/>
      <c r="O342" s="45">
        <f t="shared" si="93"/>
        <v>746597.32460732968</v>
      </c>
      <c r="P342" s="139"/>
      <c r="Q342" s="116">
        <f t="shared" si="94"/>
        <v>3.75</v>
      </c>
      <c r="S342" s="117">
        <v>19.100000000000001</v>
      </c>
      <c r="T342" s="32"/>
      <c r="U342" s="116">
        <v>3.75</v>
      </c>
      <c r="W342" s="145">
        <f t="shared" si="95"/>
        <v>746813.84624999994</v>
      </c>
      <c r="Y342" s="157">
        <f t="shared" si="96"/>
        <v>-216.52164267026819</v>
      </c>
    </row>
    <row r="343" spans="1:25" x14ac:dyDescent="0.2">
      <c r="A343" s="26">
        <v>397.3</v>
      </c>
      <c r="B343" s="139"/>
      <c r="C343" s="63" t="s">
        <v>169</v>
      </c>
      <c r="D343" s="139"/>
      <c r="E343" s="20" t="s">
        <v>159</v>
      </c>
      <c r="F343" s="56"/>
      <c r="G343" s="19">
        <v>0</v>
      </c>
      <c r="H343" s="139"/>
      <c r="I343" s="90">
        <v>786233.2</v>
      </c>
      <c r="J343" s="44"/>
      <c r="K343" s="45">
        <v>786233</v>
      </c>
      <c r="L343" s="45"/>
      <c r="M343" s="200">
        <f t="shared" si="92"/>
        <v>0.19999999995343387</v>
      </c>
      <c r="N343" s="45"/>
      <c r="O343" s="45">
        <v>0</v>
      </c>
      <c r="P343" s="139"/>
      <c r="Q343" s="116" t="str">
        <f>IF(O343/I343*100=0,"-     ",O343/I343*100)</f>
        <v xml:space="preserve">-     </v>
      </c>
      <c r="S343" s="117" t="s">
        <v>297</v>
      </c>
      <c r="T343" s="32"/>
      <c r="U343" s="116" t="s">
        <v>297</v>
      </c>
      <c r="W343" s="145">
        <v>0</v>
      </c>
      <c r="Y343" s="159">
        <f t="shared" si="96"/>
        <v>0</v>
      </c>
    </row>
    <row r="344" spans="1:25" x14ac:dyDescent="0.2">
      <c r="A344" s="26"/>
      <c r="B344" s="139"/>
      <c r="C344" s="139"/>
      <c r="D344" s="139"/>
      <c r="E344" s="20"/>
      <c r="F344" s="56"/>
      <c r="G344" s="19"/>
      <c r="H344" s="139"/>
      <c r="I344" s="45"/>
      <c r="J344" s="139"/>
      <c r="K344" s="49"/>
      <c r="L344" s="34"/>
      <c r="M344" s="49"/>
      <c r="N344" s="34"/>
      <c r="O344" s="49"/>
      <c r="P344" s="139"/>
      <c r="Q344" s="26"/>
      <c r="R344" s="139"/>
      <c r="S344" s="62"/>
      <c r="T344" s="32"/>
      <c r="U344" s="26"/>
    </row>
    <row r="345" spans="1:25" ht="15.75" x14ac:dyDescent="0.25">
      <c r="A345" s="32"/>
      <c r="B345" s="139"/>
      <c r="C345" s="50" t="s">
        <v>47</v>
      </c>
      <c r="D345" s="139"/>
      <c r="E345" s="48"/>
      <c r="F345" s="56"/>
      <c r="G345" s="19"/>
      <c r="H345" s="139"/>
      <c r="I345" s="239">
        <f>SUM(I331:I343)</f>
        <v>134925833.26999998</v>
      </c>
      <c r="J345" s="30"/>
      <c r="K345" s="218">
        <f>SUM(K331:K343)</f>
        <v>54103113</v>
      </c>
      <c r="L345" s="31"/>
      <c r="M345" s="218">
        <f>SUM(M331:M343)</f>
        <v>85577044.566000029</v>
      </c>
      <c r="N345" s="31"/>
      <c r="O345" s="218">
        <f>SUM(O331:O343)</f>
        <v>7499948.2162488522</v>
      </c>
      <c r="P345" s="30"/>
      <c r="Q345" s="137">
        <f>+ROUND(O345/I345*100,2)</f>
        <v>5.56</v>
      </c>
      <c r="R345" s="139"/>
      <c r="S345" s="113"/>
      <c r="T345" s="32"/>
      <c r="U345" s="242">
        <f>W345/I345</f>
        <v>5.552396002619106E-2</v>
      </c>
      <c r="W345" s="218">
        <f>SUM(W331:W343)</f>
        <v>7491616.5729839988</v>
      </c>
      <c r="Y345" s="218">
        <f>SUM(Y331:Y343)</f>
        <v>8331.6432648535083</v>
      </c>
    </row>
    <row r="346" spans="1:25" ht="15.75" x14ac:dyDescent="0.25">
      <c r="A346" s="32"/>
      <c r="B346" s="139"/>
      <c r="C346" s="30"/>
      <c r="D346" s="139"/>
      <c r="E346" s="48"/>
      <c r="F346" s="56"/>
      <c r="G346" s="19"/>
      <c r="H346" s="139"/>
      <c r="I346" s="102"/>
      <c r="J346" s="30"/>
      <c r="K346" s="31"/>
      <c r="L346" s="31"/>
      <c r="M346" s="31"/>
      <c r="N346" s="31"/>
      <c r="O346" s="31"/>
      <c r="P346" s="30"/>
      <c r="Q346" s="26"/>
      <c r="R346" s="139"/>
      <c r="S346" s="113"/>
      <c r="T346" s="32"/>
      <c r="U346" s="26"/>
      <c r="Y346" s="154"/>
    </row>
    <row r="347" spans="1:25" ht="16.5" thickBot="1" x14ac:dyDescent="0.3">
      <c r="A347" s="32"/>
      <c r="B347" s="139"/>
      <c r="C347" s="50" t="s">
        <v>55</v>
      </c>
      <c r="D347" s="139"/>
      <c r="E347" s="48"/>
      <c r="F347" s="56"/>
      <c r="G347" s="19"/>
      <c r="H347" s="139"/>
      <c r="I347" s="97">
        <f>SUM(I345,I326,I308,I292,I168,I129,I20)</f>
        <v>6365236955.6800013</v>
      </c>
      <c r="J347" s="30"/>
      <c r="K347" s="97">
        <f>SUM(K345,K326,K308,K292,K168,K129,K20)</f>
        <v>2412555355</v>
      </c>
      <c r="L347" s="31"/>
      <c r="M347" s="97">
        <f>SUM(M345,M326,M308,M292,M168,M129,M20)</f>
        <v>4747593446.3165007</v>
      </c>
      <c r="N347" s="31"/>
      <c r="O347" s="97">
        <f>SUM(O345,O326,O308,O292,O168,O129,O20)</f>
        <v>174835623.81044313</v>
      </c>
      <c r="P347" s="30"/>
      <c r="Q347" s="137">
        <f>+ROUND(O347/I347*100,2)</f>
        <v>2.75</v>
      </c>
      <c r="R347" s="139"/>
      <c r="S347" s="113"/>
      <c r="T347" s="32"/>
      <c r="U347" s="242">
        <f>W347/I347</f>
        <v>2.9745434643760258E-2</v>
      </c>
      <c r="W347" s="97">
        <f>SUM(W345,W326,W308,W292,W168,W129,W20)</f>
        <v>189336739.857227</v>
      </c>
      <c r="Y347" s="97">
        <f>SUM(Y345,Y326,Y308,Y292,Y168,Y129,Y20)</f>
        <v>-14501116.046783853</v>
      </c>
    </row>
    <row r="348" spans="1:25" ht="16.5" thickTop="1" x14ac:dyDescent="0.25">
      <c r="A348" s="32"/>
      <c r="B348" s="139"/>
      <c r="C348" s="50"/>
      <c r="D348" s="139"/>
      <c r="E348" s="48"/>
      <c r="F348" s="56"/>
      <c r="G348" s="19"/>
      <c r="H348" s="139"/>
      <c r="I348" s="99"/>
      <c r="J348" s="30"/>
      <c r="K348" s="99"/>
      <c r="L348" s="31"/>
      <c r="M348" s="99"/>
      <c r="N348" s="31"/>
      <c r="O348" s="99"/>
      <c r="P348" s="30"/>
      <c r="Q348" s="26"/>
      <c r="R348" s="139"/>
      <c r="S348" s="113"/>
      <c r="T348" s="32"/>
      <c r="U348" s="242"/>
    </row>
    <row r="349" spans="1:25" ht="15.75" x14ac:dyDescent="0.25">
      <c r="A349" s="32"/>
      <c r="B349" s="139"/>
      <c r="C349" s="50"/>
      <c r="D349" s="139"/>
      <c r="E349" s="48"/>
      <c r="F349" s="56"/>
      <c r="G349" s="19"/>
      <c r="H349" s="139"/>
      <c r="I349" s="45"/>
      <c r="J349" s="30"/>
      <c r="K349" s="31"/>
      <c r="L349" s="31"/>
      <c r="M349" s="31"/>
      <c r="N349" s="31"/>
      <c r="O349" s="31"/>
      <c r="P349" s="30"/>
      <c r="Q349" s="26"/>
      <c r="R349" s="139"/>
      <c r="S349" s="113"/>
      <c r="T349" s="32"/>
      <c r="W349" s="142"/>
      <c r="X349" s="141"/>
      <c r="Y349" s="155"/>
    </row>
    <row r="350" spans="1:25" ht="15.75" x14ac:dyDescent="0.25">
      <c r="A350" s="32"/>
      <c r="B350" s="139"/>
      <c r="C350" s="53" t="s">
        <v>49</v>
      </c>
      <c r="D350" s="139"/>
      <c r="E350" s="48"/>
      <c r="F350" s="56"/>
      <c r="G350" s="19"/>
      <c r="H350" s="139"/>
      <c r="I350" s="45"/>
      <c r="J350" s="100"/>
      <c r="K350" s="34"/>
      <c r="L350" s="34"/>
      <c r="M350" s="34"/>
      <c r="N350" s="34"/>
      <c r="O350" s="34"/>
      <c r="P350" s="100"/>
      <c r="Q350" s="100"/>
      <c r="R350" s="139"/>
      <c r="S350" s="139"/>
      <c r="T350" s="32"/>
      <c r="W350" s="143"/>
      <c r="X350" s="137"/>
      <c r="Y350" s="155"/>
    </row>
    <row r="351" spans="1:25" ht="15.75" x14ac:dyDescent="0.25">
      <c r="A351" s="32"/>
      <c r="B351" s="139"/>
      <c r="C351" s="139"/>
      <c r="D351" s="139"/>
      <c r="E351" s="48"/>
      <c r="F351" s="56"/>
      <c r="G351" s="19"/>
      <c r="H351" s="139"/>
      <c r="I351" s="45"/>
      <c r="J351" s="100"/>
      <c r="K351" s="34"/>
      <c r="L351" s="34"/>
      <c r="M351" s="34"/>
      <c r="N351" s="34"/>
      <c r="O351" s="34"/>
      <c r="P351" s="100"/>
      <c r="Q351" s="100"/>
      <c r="R351" s="139"/>
      <c r="S351" s="139"/>
      <c r="T351" s="32"/>
      <c r="W351" s="143"/>
      <c r="X351" s="137"/>
      <c r="Y351" s="155"/>
    </row>
    <row r="352" spans="1:25" x14ac:dyDescent="0.2">
      <c r="A352" s="26">
        <v>301</v>
      </c>
      <c r="B352" s="139"/>
      <c r="C352" s="139" t="s">
        <v>87</v>
      </c>
      <c r="D352" s="139"/>
      <c r="E352" s="48"/>
      <c r="F352" s="56"/>
      <c r="G352" s="19"/>
      <c r="H352" s="139"/>
      <c r="I352" s="45">
        <v>44455.58</v>
      </c>
      <c r="J352" s="100"/>
      <c r="K352" s="34"/>
      <c r="L352" s="34"/>
      <c r="M352" s="34"/>
      <c r="N352" s="34"/>
      <c r="O352" s="34"/>
      <c r="P352" s="100"/>
      <c r="Q352" s="100"/>
      <c r="R352" s="139"/>
      <c r="S352" s="139"/>
      <c r="T352" s="32"/>
    </row>
    <row r="353" spans="1:25" x14ac:dyDescent="0.2">
      <c r="A353" s="26">
        <v>310.2</v>
      </c>
      <c r="B353" s="139"/>
      <c r="C353" s="139" t="s">
        <v>51</v>
      </c>
      <c r="D353" s="139"/>
      <c r="E353" s="48"/>
      <c r="F353" s="56"/>
      <c r="G353" s="19"/>
      <c r="H353" s="139"/>
      <c r="I353" s="45">
        <v>10881103.859999999</v>
      </c>
      <c r="J353" s="100"/>
      <c r="K353" s="34"/>
      <c r="L353" s="34"/>
      <c r="M353" s="34"/>
      <c r="N353" s="34"/>
      <c r="O353" s="34"/>
      <c r="P353" s="100"/>
      <c r="Q353" s="100"/>
      <c r="R353" s="139"/>
      <c r="S353" s="139"/>
      <c r="T353" s="32"/>
    </row>
    <row r="354" spans="1:25" x14ac:dyDescent="0.2">
      <c r="A354" s="26">
        <v>340.2</v>
      </c>
      <c r="B354" s="139"/>
      <c r="C354" s="139" t="s">
        <v>51</v>
      </c>
      <c r="D354" s="139"/>
      <c r="E354" s="48"/>
      <c r="F354" s="56"/>
      <c r="G354" s="19"/>
      <c r="H354" s="139"/>
      <c r="I354" s="45">
        <v>118514.41</v>
      </c>
      <c r="J354" s="100"/>
      <c r="K354" s="34"/>
      <c r="L354" s="34"/>
      <c r="M354" s="34"/>
      <c r="N354" s="34"/>
      <c r="O354" s="34"/>
      <c r="P354" s="100"/>
      <c r="Q354" s="100"/>
      <c r="R354" s="139"/>
      <c r="S354" s="139"/>
      <c r="T354" s="32"/>
    </row>
    <row r="355" spans="1:25" x14ac:dyDescent="0.2">
      <c r="A355" s="26">
        <v>350.2</v>
      </c>
      <c r="B355" s="139"/>
      <c r="C355" s="139" t="s">
        <v>51</v>
      </c>
      <c r="D355" s="139"/>
      <c r="E355" s="48"/>
      <c r="F355" s="56"/>
      <c r="G355" s="19"/>
      <c r="H355" s="139"/>
      <c r="I355" s="45">
        <v>2199383.04</v>
      </c>
      <c r="J355" s="100"/>
      <c r="K355" s="34"/>
      <c r="L355" s="34"/>
      <c r="M355" s="34"/>
      <c r="N355" s="34"/>
      <c r="O355" s="34"/>
      <c r="P355" s="100"/>
      <c r="Q355" s="100"/>
      <c r="R355" s="139"/>
      <c r="S355" s="139"/>
      <c r="T355" s="32"/>
    </row>
    <row r="356" spans="1:25" x14ac:dyDescent="0.2">
      <c r="A356" s="26">
        <v>360.2</v>
      </c>
      <c r="B356" s="139"/>
      <c r="C356" s="139" t="s">
        <v>52</v>
      </c>
      <c r="D356" s="139"/>
      <c r="E356" s="48"/>
      <c r="F356" s="56"/>
      <c r="G356" s="19"/>
      <c r="H356" s="139"/>
      <c r="I356" s="45">
        <v>3271807.48</v>
      </c>
      <c r="J356" s="100"/>
      <c r="K356" s="34"/>
      <c r="L356" s="34"/>
      <c r="M356" s="34"/>
      <c r="N356" s="34"/>
      <c r="O356" s="34"/>
      <c r="P356" s="100"/>
      <c r="Q356" s="100"/>
      <c r="R356" s="139"/>
      <c r="S356" s="139"/>
      <c r="T356" s="32"/>
    </row>
    <row r="357" spans="1:25" x14ac:dyDescent="0.2">
      <c r="A357" s="26">
        <v>389.2</v>
      </c>
      <c r="B357" s="139"/>
      <c r="C357" s="139" t="s">
        <v>52</v>
      </c>
      <c r="D357" s="139"/>
      <c r="E357" s="48"/>
      <c r="F357" s="56"/>
      <c r="G357" s="19"/>
      <c r="H357" s="139"/>
      <c r="I357" s="90">
        <v>2567847.4</v>
      </c>
      <c r="J357" s="100"/>
      <c r="K357" s="41"/>
      <c r="L357" s="34"/>
      <c r="M357" s="34"/>
      <c r="N357" s="34"/>
      <c r="O357" s="34"/>
      <c r="P357" s="100"/>
      <c r="Q357" s="100"/>
      <c r="R357" s="139"/>
      <c r="S357" s="139"/>
      <c r="T357" s="32"/>
    </row>
    <row r="358" spans="1:25" x14ac:dyDescent="0.2">
      <c r="A358" s="26"/>
      <c r="B358" s="139"/>
      <c r="C358" s="139"/>
      <c r="D358" s="139"/>
      <c r="E358" s="48"/>
      <c r="F358" s="56"/>
      <c r="G358" s="19"/>
      <c r="H358" s="139"/>
      <c r="I358" s="45"/>
      <c r="J358" s="100"/>
      <c r="K358" s="41"/>
      <c r="L358" s="34"/>
      <c r="M358" s="34"/>
      <c r="N358" s="34"/>
      <c r="O358" s="34"/>
      <c r="P358" s="100"/>
      <c r="Q358" s="100"/>
      <c r="R358" s="139"/>
      <c r="S358" s="139"/>
      <c r="T358" s="32"/>
    </row>
    <row r="359" spans="1:25" ht="15.75" x14ac:dyDescent="0.25">
      <c r="A359" s="32"/>
      <c r="B359" s="139"/>
      <c r="C359" s="50" t="s">
        <v>53</v>
      </c>
      <c r="D359" s="139"/>
      <c r="E359" s="56"/>
      <c r="F359" s="56"/>
      <c r="G359" s="19"/>
      <c r="H359" s="139"/>
      <c r="I359" s="239">
        <f>+SUBTOTAL(9,I352:I358)</f>
        <v>19083111.77</v>
      </c>
      <c r="J359" s="101"/>
      <c r="K359" s="102"/>
      <c r="L359" s="31"/>
      <c r="M359" s="31"/>
      <c r="N359" s="31"/>
      <c r="O359" s="31"/>
      <c r="P359" s="101"/>
      <c r="Q359" s="100"/>
      <c r="R359" s="139"/>
      <c r="S359" s="139"/>
      <c r="T359" s="32"/>
      <c r="U359" s="25"/>
      <c r="W359" s="161"/>
      <c r="X359" s="25"/>
      <c r="Y359" s="162"/>
    </row>
    <row r="360" spans="1:25" s="25" customFormat="1" x14ac:dyDescent="0.2">
      <c r="A360" s="54"/>
      <c r="B360" s="72"/>
      <c r="C360" s="28"/>
      <c r="D360" s="72"/>
      <c r="E360" s="105"/>
      <c r="F360" s="105"/>
      <c r="G360" s="81"/>
      <c r="H360" s="72"/>
      <c r="I360" s="104"/>
      <c r="J360" s="103"/>
      <c r="K360" s="104"/>
      <c r="L360" s="75"/>
      <c r="M360" s="75"/>
      <c r="N360" s="75"/>
      <c r="O360" s="75"/>
      <c r="P360" s="103"/>
      <c r="Q360" s="106"/>
      <c r="R360" s="72"/>
      <c r="S360" s="72"/>
      <c r="T360" s="54"/>
      <c r="U360" s="135"/>
      <c r="W360" s="145"/>
      <c r="X360" s="135"/>
      <c r="Y360" s="144"/>
    </row>
    <row r="361" spans="1:25" ht="16.5" thickBot="1" x14ac:dyDescent="0.3">
      <c r="A361" s="32"/>
      <c r="B361" s="139"/>
      <c r="C361" s="50" t="s">
        <v>48</v>
      </c>
      <c r="D361" s="139"/>
      <c r="E361" s="56"/>
      <c r="F361" s="56"/>
      <c r="G361" s="19"/>
      <c r="H361" s="139"/>
      <c r="I361" s="102">
        <f>+SUBTOTAL(9,I16:I360)</f>
        <v>23229938983.300014</v>
      </c>
      <c r="J361" s="101"/>
      <c r="K361" s="102">
        <f>+SUBTOTAL(9,K16:K360)</f>
        <v>8682628765</v>
      </c>
      <c r="L361" s="31"/>
      <c r="M361" s="102">
        <f>+SUBTOTAL(9,M16:M360)</f>
        <v>17067739853.041908</v>
      </c>
      <c r="N361" s="31"/>
      <c r="O361" s="102">
        <f>+SUBTOTAL(9,O16:O360)</f>
        <v>636971171.27918553</v>
      </c>
      <c r="P361" s="101"/>
      <c r="Q361" s="100"/>
      <c r="R361" s="139"/>
      <c r="S361" s="139"/>
      <c r="T361" s="32"/>
    </row>
    <row r="362" spans="1:25" ht="16.5" thickTop="1" x14ac:dyDescent="0.25">
      <c r="A362" s="32"/>
      <c r="B362" s="139"/>
      <c r="C362" s="50"/>
      <c r="D362" s="139"/>
      <c r="E362" s="56"/>
      <c r="F362" s="56"/>
      <c r="G362" s="19"/>
      <c r="H362" s="139"/>
      <c r="I362" s="107"/>
      <c r="J362" s="101"/>
      <c r="K362" s="108"/>
      <c r="L362" s="31"/>
      <c r="M362" s="108"/>
      <c r="N362" s="31"/>
      <c r="O362" s="108"/>
      <c r="P362" s="101"/>
      <c r="Q362" s="100"/>
      <c r="R362" s="139"/>
      <c r="S362" s="139"/>
      <c r="T362" s="32"/>
    </row>
    <row r="363" spans="1:25" ht="15.75" x14ac:dyDescent="0.25">
      <c r="A363" s="32"/>
      <c r="B363" s="139"/>
      <c r="C363" s="50"/>
      <c r="D363" s="139"/>
      <c r="E363" s="56"/>
      <c r="F363" s="56"/>
      <c r="G363" s="19"/>
      <c r="H363" s="139"/>
      <c r="I363" s="109"/>
      <c r="J363" s="101"/>
      <c r="K363" s="31"/>
      <c r="L363" s="31"/>
      <c r="M363" s="31"/>
      <c r="N363" s="31"/>
      <c r="O363" s="31"/>
      <c r="P363" s="101"/>
      <c r="Q363" s="100"/>
      <c r="R363" s="139"/>
      <c r="S363" s="139"/>
      <c r="T363" s="32"/>
    </row>
    <row r="364" spans="1:25" ht="15.75" x14ac:dyDescent="0.25">
      <c r="B364" s="67" t="s">
        <v>54</v>
      </c>
      <c r="C364" s="50"/>
      <c r="D364" s="139"/>
      <c r="E364" s="56"/>
      <c r="F364" s="56"/>
      <c r="G364" s="19"/>
      <c r="H364" s="139"/>
      <c r="I364" s="110"/>
      <c r="J364" s="101"/>
      <c r="K364" s="110"/>
      <c r="L364" s="31"/>
      <c r="M364" s="31"/>
      <c r="N364" s="31"/>
      <c r="O364" s="31"/>
      <c r="P364" s="101"/>
      <c r="Q364" s="100"/>
      <c r="R364" s="139"/>
      <c r="S364" s="139"/>
      <c r="T364" s="32"/>
    </row>
    <row r="365" spans="1:25" x14ac:dyDescent="0.2">
      <c r="B365" s="32"/>
      <c r="C365" s="139"/>
      <c r="D365" s="139"/>
      <c r="E365" s="56"/>
      <c r="F365" s="56"/>
      <c r="G365" s="19"/>
      <c r="H365" s="139"/>
      <c r="I365" s="26"/>
      <c r="J365" s="100"/>
      <c r="K365" s="34"/>
      <c r="L365" s="34"/>
      <c r="M365" s="34"/>
      <c r="N365" s="34"/>
      <c r="O365" s="34"/>
      <c r="P365" s="100"/>
      <c r="Q365" s="100"/>
      <c r="R365" s="139"/>
      <c r="S365" s="139"/>
      <c r="T365" s="32"/>
    </row>
    <row r="369" s="135" customFormat="1" x14ac:dyDescent="0.2"/>
    <row r="370" s="135" customFormat="1" x14ac:dyDescent="0.2"/>
    <row r="371" s="135" customFormat="1" x14ac:dyDescent="0.2"/>
    <row r="372" s="135" customFormat="1" x14ac:dyDescent="0.2"/>
    <row r="373" s="135" customFormat="1" x14ac:dyDescent="0.2"/>
    <row r="374" s="135" customFormat="1" x14ac:dyDescent="0.2"/>
    <row r="375" s="135" customFormat="1" x14ac:dyDescent="0.2"/>
    <row r="376" s="135" customFormat="1" x14ac:dyDescent="0.2"/>
    <row r="377" s="135" customFormat="1" x14ac:dyDescent="0.2"/>
    <row r="378" s="135" customFormat="1" x14ac:dyDescent="0.2"/>
    <row r="379" s="135" customFormat="1" x14ac:dyDescent="0.2"/>
    <row r="380" s="135" customFormat="1" x14ac:dyDescent="0.2"/>
    <row r="381" s="135" customFormat="1" x14ac:dyDescent="0.2"/>
    <row r="382" s="135" customFormat="1" x14ac:dyDescent="0.2"/>
    <row r="383" s="135" customFormat="1" x14ac:dyDescent="0.2"/>
    <row r="384" s="135" customFormat="1" x14ac:dyDescent="0.2"/>
    <row r="385" s="135" customFormat="1" x14ac:dyDescent="0.2"/>
  </sheetData>
  <mergeCells count="3">
    <mergeCell ref="O7:Q7"/>
    <mergeCell ref="U7:W7"/>
    <mergeCell ref="A3:S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5"/>
  <sheetViews>
    <sheetView topLeftCell="T267" workbookViewId="0">
      <selection activeCell="Z294" sqref="Z294"/>
    </sheetView>
  </sheetViews>
  <sheetFormatPr defaultColWidth="9.77734375" defaultRowHeight="15" x14ac:dyDescent="0.2"/>
  <cols>
    <col min="1" max="1" width="9.77734375" style="135" customWidth="1"/>
    <col min="2" max="2" width="1.5546875" style="135" bestFit="1" customWidth="1"/>
    <col min="3" max="3" width="51.77734375" style="135" customWidth="1"/>
    <col min="4" max="4" width="5.6640625" style="135" bestFit="1" customWidth="1"/>
    <col min="5" max="5" width="16.21875" style="243" customWidth="1"/>
    <col min="6" max="6" width="3.77734375" style="243" customWidth="1"/>
    <col min="7" max="7" width="9.77734375" style="248" customWidth="1"/>
    <col min="8" max="8" width="3.77734375" style="135" customWidth="1"/>
    <col min="9" max="9" width="16.44140625" style="135" customWidth="1"/>
    <col min="10" max="10" width="3.77734375" style="135" customWidth="1"/>
    <col min="11" max="11" width="16.6640625" style="16" customWidth="1"/>
    <col min="12" max="12" width="3.77734375" style="16" customWidth="1"/>
    <col min="13" max="13" width="16" style="16" bestFit="1" customWidth="1"/>
    <col min="14" max="14" width="3.77734375" style="16" customWidth="1"/>
    <col min="15" max="15" width="14" style="16" bestFit="1" customWidth="1"/>
    <col min="16" max="16" width="3.77734375" style="135" customWidth="1"/>
    <col min="17" max="17" width="11.77734375" style="135" customWidth="1"/>
    <col min="18" max="18" width="3.77734375" style="135" customWidth="1"/>
    <col min="19" max="19" width="12.77734375" style="135" customWidth="1"/>
    <col min="20" max="20" width="3.77734375" style="135" customWidth="1"/>
    <col min="21" max="21" width="9.77734375" style="135"/>
    <col min="22" max="22" width="3.77734375" style="135" customWidth="1"/>
    <col min="23" max="23" width="12.77734375" style="145" customWidth="1"/>
    <col min="24" max="24" width="3.77734375" style="135" customWidth="1"/>
    <col min="25" max="25" width="12.44140625" style="144" bestFit="1" customWidth="1"/>
    <col min="26" max="26" width="11.21875" style="135" bestFit="1" customWidth="1"/>
    <col min="27" max="16384" width="9.77734375" style="135"/>
  </cols>
  <sheetData>
    <row r="1" spans="1:25" x14ac:dyDescent="0.2">
      <c r="A1" s="9"/>
      <c r="B1" s="9"/>
      <c r="C1" s="9"/>
      <c r="D1" s="9"/>
      <c r="H1" s="9"/>
      <c r="I1" s="9"/>
      <c r="J1" s="9"/>
      <c r="K1" s="14"/>
      <c r="L1" s="14"/>
      <c r="M1" s="14"/>
      <c r="N1" s="14"/>
      <c r="O1" s="14"/>
      <c r="P1" s="9"/>
      <c r="Q1" s="9"/>
      <c r="R1" s="9"/>
      <c r="S1" s="9"/>
      <c r="T1" s="9"/>
    </row>
    <row r="2" spans="1:25" ht="15.75" x14ac:dyDescent="0.25">
      <c r="A2" s="60" t="s">
        <v>131</v>
      </c>
      <c r="B2" s="18"/>
      <c r="C2" s="18"/>
      <c r="D2" s="18"/>
      <c r="E2" s="18"/>
      <c r="F2" s="18"/>
      <c r="G2" s="249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9"/>
    </row>
    <row r="3" spans="1:25" ht="15.75" x14ac:dyDescent="0.25">
      <c r="A3" s="298" t="s">
        <v>296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9"/>
    </row>
    <row r="4" spans="1:25" ht="15.75" x14ac:dyDescent="0.25">
      <c r="A4" s="18" t="s">
        <v>0</v>
      </c>
      <c r="B4" s="18"/>
      <c r="C4" s="18"/>
      <c r="D4" s="18"/>
      <c r="E4" s="18"/>
      <c r="F4" s="18"/>
      <c r="G4" s="249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9"/>
    </row>
    <row r="5" spans="1:25" ht="15.75" x14ac:dyDescent="0.25">
      <c r="A5" s="60" t="s">
        <v>161</v>
      </c>
      <c r="B5" s="60"/>
      <c r="C5" s="60"/>
      <c r="D5" s="60"/>
      <c r="E5" s="60"/>
      <c r="F5" s="60"/>
      <c r="G5" s="25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9"/>
    </row>
    <row r="6" spans="1:25" ht="16.5" thickBot="1" x14ac:dyDescent="0.3">
      <c r="A6" s="4"/>
      <c r="B6" s="10"/>
      <c r="C6" s="10"/>
      <c r="D6" s="10"/>
      <c r="E6" s="55"/>
      <c r="F6" s="55"/>
      <c r="H6" s="10"/>
      <c r="I6" s="10"/>
      <c r="J6" s="10"/>
      <c r="K6" s="15"/>
      <c r="L6" s="15"/>
      <c r="M6" s="15"/>
      <c r="N6" s="15"/>
      <c r="T6" s="9"/>
    </row>
    <row r="7" spans="1:25" ht="16.5" thickBot="1" x14ac:dyDescent="0.3">
      <c r="A7" s="9"/>
      <c r="B7" s="7"/>
      <c r="C7" s="2"/>
      <c r="D7" s="128"/>
      <c r="E7" s="128"/>
      <c r="F7" s="128"/>
      <c r="G7" s="251" t="s">
        <v>2</v>
      </c>
      <c r="H7" s="128"/>
      <c r="I7" s="128"/>
      <c r="J7" s="128"/>
      <c r="K7" s="17" t="s">
        <v>3</v>
      </c>
      <c r="L7" s="17"/>
      <c r="M7" s="17"/>
      <c r="N7" s="17"/>
      <c r="O7" s="295" t="s">
        <v>283</v>
      </c>
      <c r="P7" s="296"/>
      <c r="Q7" s="297"/>
      <c r="R7" s="1"/>
      <c r="S7" s="128" t="s">
        <v>4</v>
      </c>
      <c r="T7" s="9"/>
      <c r="U7" s="292" t="s">
        <v>300</v>
      </c>
      <c r="V7" s="293"/>
      <c r="W7" s="294"/>
      <c r="X7" s="129"/>
    </row>
    <row r="8" spans="1:25" ht="15.75" x14ac:dyDescent="0.25">
      <c r="A8" s="9"/>
      <c r="B8" s="7"/>
      <c r="C8" s="128"/>
      <c r="D8" s="128"/>
      <c r="E8" s="128" t="s">
        <v>5</v>
      </c>
      <c r="F8" s="128"/>
      <c r="G8" s="251" t="s">
        <v>6</v>
      </c>
      <c r="H8" s="128"/>
      <c r="I8" s="128" t="s">
        <v>7</v>
      </c>
      <c r="J8" s="128"/>
      <c r="K8" s="17" t="s">
        <v>8</v>
      </c>
      <c r="L8" s="17"/>
      <c r="M8" s="17" t="s">
        <v>9</v>
      </c>
      <c r="N8" s="17"/>
      <c r="O8" s="172" t="s">
        <v>10</v>
      </c>
      <c r="P8" s="171"/>
      <c r="Q8" s="173" t="s">
        <v>11</v>
      </c>
      <c r="R8" s="1"/>
      <c r="S8" s="128" t="s">
        <v>12</v>
      </c>
      <c r="T8" s="9"/>
      <c r="U8" s="130"/>
    </row>
    <row r="9" spans="1:25" ht="15.75" x14ac:dyDescent="0.25">
      <c r="A9" s="9"/>
      <c r="B9" s="7"/>
      <c r="C9" s="128" t="s">
        <v>13</v>
      </c>
      <c r="D9" s="128"/>
      <c r="E9" s="128" t="s">
        <v>14</v>
      </c>
      <c r="F9" s="128"/>
      <c r="G9" s="251" t="s">
        <v>15</v>
      </c>
      <c r="H9" s="128"/>
      <c r="I9" s="128" t="s">
        <v>16</v>
      </c>
      <c r="J9" s="128"/>
      <c r="K9" s="17" t="s">
        <v>17</v>
      </c>
      <c r="L9" s="17"/>
      <c r="M9" s="17" t="s">
        <v>18</v>
      </c>
      <c r="N9" s="17"/>
      <c r="O9" s="17" t="s">
        <v>19</v>
      </c>
      <c r="P9" s="128"/>
      <c r="Q9" s="2" t="s">
        <v>20</v>
      </c>
      <c r="R9" s="1"/>
      <c r="S9" s="128" t="s">
        <v>21</v>
      </c>
      <c r="T9" s="9"/>
      <c r="U9" s="131" t="s">
        <v>219</v>
      </c>
      <c r="V9" s="128"/>
      <c r="W9" s="146" t="s">
        <v>220</v>
      </c>
      <c r="X9" s="128"/>
      <c r="Y9" s="147" t="s">
        <v>221</v>
      </c>
    </row>
    <row r="10" spans="1:25" ht="15.75" x14ac:dyDescent="0.25">
      <c r="A10" s="9"/>
      <c r="B10" s="7"/>
      <c r="C10" s="11">
        <v>-1</v>
      </c>
      <c r="D10" s="148"/>
      <c r="E10" s="11">
        <v>-2</v>
      </c>
      <c r="F10" s="148"/>
      <c r="G10" s="252">
        <v>-3</v>
      </c>
      <c r="H10" s="148"/>
      <c r="I10" s="11">
        <v>-4</v>
      </c>
      <c r="J10" s="148"/>
      <c r="K10" s="11">
        <v>-5</v>
      </c>
      <c r="L10" s="17"/>
      <c r="M10" s="11" t="s">
        <v>231</v>
      </c>
      <c r="N10" s="17"/>
      <c r="O10" s="238" t="s">
        <v>299</v>
      </c>
      <c r="P10" s="148"/>
      <c r="Q10" s="3" t="s">
        <v>22</v>
      </c>
      <c r="S10" s="238" t="s">
        <v>298</v>
      </c>
      <c r="T10" s="9"/>
      <c r="U10" s="127">
        <v>-10</v>
      </c>
      <c r="V10" s="128"/>
      <c r="W10" s="148" t="s">
        <v>222</v>
      </c>
      <c r="X10" s="128"/>
      <c r="Y10" s="149" t="s">
        <v>223</v>
      </c>
    </row>
    <row r="11" spans="1:25" ht="15.75" x14ac:dyDescent="0.25">
      <c r="A11" s="9"/>
      <c r="B11" s="7"/>
      <c r="C11" s="148"/>
      <c r="D11" s="148"/>
      <c r="E11" s="148"/>
      <c r="F11" s="148"/>
      <c r="G11" s="251"/>
      <c r="H11" s="148"/>
      <c r="I11" s="148"/>
      <c r="J11" s="148"/>
      <c r="K11" s="17"/>
      <c r="L11" s="17"/>
      <c r="M11" s="17"/>
      <c r="N11" s="17"/>
      <c r="O11" s="17"/>
      <c r="P11" s="148"/>
      <c r="Q11" s="148" t="s">
        <v>241</v>
      </c>
      <c r="S11" s="148"/>
      <c r="T11" s="9"/>
    </row>
    <row r="12" spans="1:25" ht="15.75" x14ac:dyDescent="0.25">
      <c r="A12" s="9"/>
      <c r="C12" s="8" t="s">
        <v>56</v>
      </c>
      <c r="K12" s="14"/>
      <c r="L12" s="14"/>
      <c r="M12" s="14"/>
      <c r="N12" s="14"/>
      <c r="O12" s="14"/>
      <c r="T12" s="9"/>
    </row>
    <row r="13" spans="1:25" x14ac:dyDescent="0.2">
      <c r="A13" s="9"/>
      <c r="K13" s="14"/>
      <c r="L13" s="14"/>
      <c r="M13" s="14"/>
      <c r="N13" s="14"/>
      <c r="O13" s="14"/>
      <c r="T13" s="9"/>
    </row>
    <row r="14" spans="1:25" ht="15.75" x14ac:dyDescent="0.25">
      <c r="A14" s="9"/>
      <c r="C14" s="70" t="s">
        <v>157</v>
      </c>
      <c r="K14" s="14"/>
      <c r="L14" s="14"/>
      <c r="M14" s="14"/>
      <c r="N14" s="14"/>
      <c r="O14" s="14"/>
      <c r="T14" s="9"/>
    </row>
    <row r="15" spans="1:25" x14ac:dyDescent="0.2">
      <c r="A15" s="9"/>
      <c r="K15" s="14"/>
      <c r="L15" s="14"/>
      <c r="M15" s="14"/>
      <c r="N15" s="14"/>
      <c r="O15" s="14"/>
      <c r="T15" s="9"/>
    </row>
    <row r="16" spans="1:25" x14ac:dyDescent="0.2">
      <c r="A16" s="26">
        <v>302</v>
      </c>
      <c r="B16" s="139"/>
      <c r="C16" s="59" t="s">
        <v>156</v>
      </c>
      <c r="D16" s="139"/>
      <c r="E16" s="20" t="s">
        <v>150</v>
      </c>
      <c r="F16" s="20"/>
      <c r="G16" s="253">
        <v>0</v>
      </c>
      <c r="H16" s="139"/>
      <c r="I16" s="45">
        <v>55918.83</v>
      </c>
      <c r="J16" s="100"/>
      <c r="K16" s="45">
        <v>21074</v>
      </c>
      <c r="L16" s="34"/>
      <c r="M16" s="200">
        <f>+((1-G16)*I16)-K16</f>
        <v>34844.83</v>
      </c>
      <c r="N16" s="45"/>
      <c r="O16" s="45">
        <f>M16/S16</f>
        <v>10559.039393939394</v>
      </c>
      <c r="P16" s="139"/>
      <c r="Q16" s="116">
        <f>IF(O16/I16*100=0,"-     ",ROUND(O16/I16*100,2))</f>
        <v>18.88</v>
      </c>
      <c r="S16" s="117">
        <v>3.3</v>
      </c>
      <c r="T16" s="32"/>
      <c r="U16" s="116">
        <v>18.78</v>
      </c>
      <c r="W16" s="145">
        <f>(I16/100)*U16</f>
        <v>10501.556274</v>
      </c>
      <c r="Y16" s="144">
        <f>O16-W16</f>
        <v>57.483119939393873</v>
      </c>
    </row>
    <row r="17" spans="1:25" x14ac:dyDescent="0.2">
      <c r="A17" s="26">
        <v>303</v>
      </c>
      <c r="B17" s="139"/>
      <c r="C17" s="139" t="s">
        <v>50</v>
      </c>
      <c r="D17" s="139"/>
      <c r="E17" s="20" t="s">
        <v>153</v>
      </c>
      <c r="F17" s="20"/>
      <c r="G17" s="253">
        <v>0</v>
      </c>
      <c r="H17" s="139"/>
      <c r="I17" s="45">
        <v>18338712.02</v>
      </c>
      <c r="J17" s="100"/>
      <c r="K17" s="45">
        <v>7484852</v>
      </c>
      <c r="L17" s="34"/>
      <c r="M17" s="200">
        <f t="shared" ref="M17:M18" si="0">+((1-(G17/100))*I17)-K17</f>
        <v>10853860.02</v>
      </c>
      <c r="N17" s="45"/>
      <c r="O17" s="45">
        <f t="shared" ref="O17:O18" si="1">M17/S17</f>
        <v>2783041.0307692308</v>
      </c>
      <c r="P17" s="139"/>
      <c r="Q17" s="116">
        <f>IF(O17/I17*100=0,"-     ",ROUND(O17/I17*100,2))</f>
        <v>15.18</v>
      </c>
      <c r="S17" s="117">
        <v>3.9</v>
      </c>
      <c r="T17" s="32"/>
      <c r="U17" s="116">
        <v>15.28</v>
      </c>
      <c r="W17" s="145">
        <f t="shared" ref="W17:W18" si="2">(I17/100)*U17</f>
        <v>2802155.1966559999</v>
      </c>
      <c r="Y17" s="144">
        <f t="shared" ref="Y17:Y18" si="3">O17-W17</f>
        <v>-19114.165886769071</v>
      </c>
    </row>
    <row r="18" spans="1:25" x14ac:dyDescent="0.2">
      <c r="A18" s="26">
        <v>303.10000000000002</v>
      </c>
      <c r="B18" s="139"/>
      <c r="C18" s="139" t="s">
        <v>92</v>
      </c>
      <c r="D18" s="139"/>
      <c r="E18" s="20" t="s">
        <v>132</v>
      </c>
      <c r="F18" s="20" t="s">
        <v>64</v>
      </c>
      <c r="G18" s="253">
        <v>0</v>
      </c>
      <c r="H18" s="139"/>
      <c r="I18" s="90">
        <v>40210208.289999999</v>
      </c>
      <c r="J18" s="100"/>
      <c r="K18" s="90">
        <v>10240838</v>
      </c>
      <c r="L18" s="34"/>
      <c r="M18" s="200">
        <f t="shared" si="0"/>
        <v>29969370.289999999</v>
      </c>
      <c r="N18" s="45"/>
      <c r="O18" s="45">
        <f t="shared" si="1"/>
        <v>3995916.0386666665</v>
      </c>
      <c r="P18" s="139"/>
      <c r="Q18" s="116">
        <f>IF(O18/I18*100=0,"-     ",ROUND(O18/I18*100,2))</f>
        <v>9.94</v>
      </c>
      <c r="S18" s="117">
        <v>7.5</v>
      </c>
      <c r="T18" s="32"/>
      <c r="U18" s="116">
        <v>9.94</v>
      </c>
      <c r="W18" s="145">
        <f t="shared" si="2"/>
        <v>3996894.7040259996</v>
      </c>
      <c r="Y18" s="144">
        <f t="shared" si="3"/>
        <v>-978.66535933315754</v>
      </c>
    </row>
    <row r="19" spans="1:25" x14ac:dyDescent="0.2">
      <c r="A19" s="9"/>
      <c r="I19" s="16"/>
      <c r="K19" s="14"/>
      <c r="L19" s="14"/>
      <c r="M19" s="14"/>
      <c r="N19" s="14"/>
      <c r="O19" s="14"/>
      <c r="T19" s="9"/>
    </row>
    <row r="20" spans="1:25" ht="15.75" x14ac:dyDescent="0.25">
      <c r="A20" s="9"/>
      <c r="C20" s="64" t="s">
        <v>158</v>
      </c>
      <c r="I20" s="102">
        <f>SUM(I16:I19)</f>
        <v>58604839.140000001</v>
      </c>
      <c r="J20" s="30"/>
      <c r="K20" s="102">
        <f>SUM(K16:K19)</f>
        <v>17746764</v>
      </c>
      <c r="L20" s="31"/>
      <c r="M20" s="102">
        <f>SUM(M16:M19)</f>
        <v>40858075.140000001</v>
      </c>
      <c r="N20" s="31"/>
      <c r="O20" s="102">
        <f>SUM(O16:O19)</f>
        <v>6789516.1088298373</v>
      </c>
      <c r="Q20" s="137">
        <f>+ROUND(O20/I20*100,2)</f>
        <v>11.59</v>
      </c>
      <c r="T20" s="9"/>
      <c r="U20" s="242">
        <f>W20/I20</f>
        <v>0.11619435454278425</v>
      </c>
      <c r="W20" s="102">
        <f>SUM(W16:W19)</f>
        <v>6809551.4569559991</v>
      </c>
      <c r="Y20" s="102">
        <f>SUM(Y16:Y19)</f>
        <v>-20035.348126162833</v>
      </c>
    </row>
    <row r="21" spans="1:25" ht="15.75" x14ac:dyDescent="0.25">
      <c r="A21" s="9"/>
      <c r="C21" s="50"/>
      <c r="I21" s="16"/>
      <c r="K21" s="14"/>
      <c r="L21" s="14"/>
      <c r="M21" s="14"/>
      <c r="N21" s="14"/>
      <c r="O21" s="14"/>
      <c r="T21" s="9"/>
      <c r="W21" s="143"/>
      <c r="Y21" s="102"/>
    </row>
    <row r="22" spans="1:25" ht="15.75" x14ac:dyDescent="0.25">
      <c r="A22" s="9"/>
      <c r="I22" s="16"/>
      <c r="K22" s="14"/>
      <c r="L22" s="14"/>
      <c r="M22" s="14"/>
      <c r="N22" s="14"/>
      <c r="O22" s="14"/>
      <c r="T22" s="9"/>
      <c r="W22" s="143"/>
      <c r="Y22" s="155"/>
    </row>
    <row r="23" spans="1:25" ht="15.75" x14ac:dyDescent="0.25">
      <c r="A23" s="32"/>
      <c r="B23" s="139"/>
      <c r="C23" s="53" t="s">
        <v>24</v>
      </c>
      <c r="D23" s="139"/>
      <c r="E23" s="56"/>
      <c r="F23" s="56"/>
      <c r="G23" s="254"/>
      <c r="H23" s="139"/>
      <c r="I23" s="240"/>
      <c r="J23" s="139"/>
      <c r="K23" s="34"/>
      <c r="L23" s="34"/>
      <c r="M23" s="34"/>
      <c r="N23" s="34"/>
      <c r="O23" s="34"/>
      <c r="P23" s="139"/>
      <c r="Q23" s="62"/>
      <c r="R23" s="139"/>
      <c r="S23" s="26"/>
      <c r="T23" s="32"/>
      <c r="U23" s="62"/>
    </row>
    <row r="24" spans="1:25" ht="15.75" x14ac:dyDescent="0.25">
      <c r="A24" s="32"/>
      <c r="B24" s="139"/>
      <c r="C24" s="43"/>
      <c r="D24" s="139"/>
      <c r="E24" s="56"/>
      <c r="F24" s="56"/>
      <c r="G24" s="254"/>
      <c r="H24" s="139"/>
      <c r="I24" s="240"/>
      <c r="J24" s="139"/>
      <c r="K24" s="34"/>
      <c r="L24" s="34"/>
      <c r="M24" s="34"/>
      <c r="N24" s="34"/>
      <c r="O24" s="34"/>
      <c r="P24" s="139"/>
      <c r="Q24" s="62"/>
      <c r="R24" s="139"/>
      <c r="S24" s="26"/>
      <c r="T24" s="32"/>
      <c r="U24" s="62"/>
    </row>
    <row r="25" spans="1:25" x14ac:dyDescent="0.2">
      <c r="A25" s="26">
        <v>311</v>
      </c>
      <c r="B25" s="139"/>
      <c r="C25" s="139" t="s">
        <v>25</v>
      </c>
      <c r="D25" s="139"/>
      <c r="E25" s="20"/>
      <c r="F25" s="20"/>
      <c r="G25" s="253"/>
      <c r="H25" s="139"/>
      <c r="I25" s="45"/>
      <c r="J25" s="44"/>
      <c r="K25" s="45"/>
      <c r="L25" s="45"/>
      <c r="M25" s="45"/>
      <c r="N25" s="45"/>
      <c r="O25" s="45"/>
      <c r="P25" s="139"/>
      <c r="Q25" s="26"/>
      <c r="R25" s="139"/>
      <c r="S25" s="62"/>
      <c r="T25" s="32"/>
      <c r="U25" s="26"/>
    </row>
    <row r="26" spans="1:25" x14ac:dyDescent="0.2">
      <c r="A26" s="26"/>
      <c r="B26" s="139"/>
      <c r="C26" s="59" t="s">
        <v>93</v>
      </c>
      <c r="D26" s="139"/>
      <c r="E26" s="20" t="s">
        <v>191</v>
      </c>
      <c r="F26" s="20" t="s">
        <v>64</v>
      </c>
      <c r="G26" s="222">
        <f>'SKM Prod NS Weighting'!Q$9</f>
        <v>-7.7499999999999999E-3</v>
      </c>
      <c r="H26" s="139"/>
      <c r="I26" s="45">
        <v>106290580.94</v>
      </c>
      <c r="J26" s="44"/>
      <c r="K26" s="45">
        <v>18699136</v>
      </c>
      <c r="L26" s="45"/>
      <c r="M26" s="200">
        <f>+((1-G26)*I26)-K26</f>
        <v>88415196.942284986</v>
      </c>
      <c r="N26" s="45"/>
      <c r="O26" s="45">
        <f>M26/S26</f>
        <v>1726859.3152790035</v>
      </c>
      <c r="P26" s="139"/>
      <c r="Q26" s="116">
        <f t="shared" ref="Q26:Q44" si="4">IF(O26/I26*100=0,"-     ",ROUND(O26/I26*100,2))</f>
        <v>1.62</v>
      </c>
      <c r="S26" s="117">
        <v>51.2</v>
      </c>
      <c r="T26" s="32"/>
      <c r="U26" s="116">
        <v>1.9</v>
      </c>
      <c r="W26" s="145">
        <f t="shared" ref="W26:W44" si="5">(I26/100)*U26</f>
        <v>2019521.0378599998</v>
      </c>
      <c r="Y26" s="144">
        <f t="shared" ref="Y26:Y44" si="6">O26-W26</f>
        <v>-292661.72258099634</v>
      </c>
    </row>
    <row r="27" spans="1:25" x14ac:dyDescent="0.2">
      <c r="A27" s="26"/>
      <c r="B27" s="139"/>
      <c r="C27" s="59" t="s">
        <v>94</v>
      </c>
      <c r="D27" s="139"/>
      <c r="E27" s="20" t="s">
        <v>191</v>
      </c>
      <c r="F27" s="20" t="s">
        <v>64</v>
      </c>
      <c r="G27" s="222">
        <f>'SKM Prod NS Weighting'!Q$9</f>
        <v>-7.7499999999999999E-3</v>
      </c>
      <c r="H27" s="139"/>
      <c r="I27" s="45">
        <v>5522306.9800000004</v>
      </c>
      <c r="J27" s="44"/>
      <c r="K27" s="45">
        <v>2689746</v>
      </c>
      <c r="L27" s="45"/>
      <c r="M27" s="200">
        <f t="shared" ref="M27:M44" si="7">+((1-G27)*I27)-K27</f>
        <v>2875358.8590949997</v>
      </c>
      <c r="N27" s="45"/>
      <c r="O27" s="45">
        <f t="shared" ref="O27:O44" si="8">M27/S27</f>
        <v>59163.762532818924</v>
      </c>
      <c r="P27" s="139"/>
      <c r="Q27" s="116">
        <f t="shared" si="4"/>
        <v>1.07</v>
      </c>
      <c r="S27" s="117">
        <v>48.6</v>
      </c>
      <c r="T27" s="32"/>
      <c r="U27" s="116">
        <v>1.36</v>
      </c>
      <c r="W27" s="145">
        <f t="shared" si="5"/>
        <v>75103.374928000005</v>
      </c>
      <c r="Y27" s="144">
        <f t="shared" si="6"/>
        <v>-15939.612395181081</v>
      </c>
    </row>
    <row r="28" spans="1:25" x14ac:dyDescent="0.2">
      <c r="A28" s="26"/>
      <c r="B28" s="139"/>
      <c r="C28" s="59" t="s">
        <v>95</v>
      </c>
      <c r="D28" s="139"/>
      <c r="E28" s="20" t="s">
        <v>191</v>
      </c>
      <c r="F28" s="20" t="s">
        <v>64</v>
      </c>
      <c r="G28" s="222">
        <f>'SKM Prod NS Weighting'!Q$9</f>
        <v>-7.7499999999999999E-3</v>
      </c>
      <c r="H28" s="139"/>
      <c r="I28" s="45">
        <v>824968.82</v>
      </c>
      <c r="J28" s="44"/>
      <c r="K28" s="45">
        <v>609422</v>
      </c>
      <c r="L28" s="45"/>
      <c r="M28" s="200">
        <f t="shared" si="7"/>
        <v>221940.32835499989</v>
      </c>
      <c r="N28" s="45"/>
      <c r="O28" s="45">
        <f t="shared" si="8"/>
        <v>8100.0119837591201</v>
      </c>
      <c r="P28" s="139"/>
      <c r="Q28" s="116">
        <f t="shared" si="4"/>
        <v>0.98</v>
      </c>
      <c r="S28" s="117">
        <v>27.4</v>
      </c>
      <c r="T28" s="32"/>
      <c r="U28" s="116">
        <v>0.99</v>
      </c>
      <c r="W28" s="145">
        <f t="shared" si="5"/>
        <v>8167.1913179999983</v>
      </c>
      <c r="Y28" s="144">
        <f t="shared" si="6"/>
        <v>-67.179334240878234</v>
      </c>
    </row>
    <row r="29" spans="1:25" x14ac:dyDescent="0.2">
      <c r="A29" s="26"/>
      <c r="B29" s="139"/>
      <c r="C29" s="59" t="s">
        <v>96</v>
      </c>
      <c r="D29" s="139"/>
      <c r="E29" s="20" t="s">
        <v>191</v>
      </c>
      <c r="F29" s="20" t="s">
        <v>64</v>
      </c>
      <c r="G29" s="222">
        <f>'SKM Prod NS Weighting'!Q$9</f>
        <v>-7.7499999999999999E-3</v>
      </c>
      <c r="H29" s="139"/>
      <c r="I29" s="45">
        <v>5608825.0700000003</v>
      </c>
      <c r="J29" s="44"/>
      <c r="K29" s="45">
        <v>6169708</v>
      </c>
      <c r="L29" s="45"/>
      <c r="M29" s="200">
        <f t="shared" si="7"/>
        <v>-517414.53570749983</v>
      </c>
      <c r="N29" s="45"/>
      <c r="O29" s="45">
        <v>0</v>
      </c>
      <c r="P29" s="139"/>
      <c r="Q29" s="116" t="str">
        <f t="shared" si="4"/>
        <v xml:space="preserve">-     </v>
      </c>
      <c r="S29" s="117" t="s">
        <v>297</v>
      </c>
      <c r="T29" s="32"/>
      <c r="U29" s="116" t="s">
        <v>297</v>
      </c>
      <c r="W29" s="145">
        <v>0</v>
      </c>
      <c r="Y29" s="144">
        <f t="shared" si="6"/>
        <v>0</v>
      </c>
    </row>
    <row r="30" spans="1:25" x14ac:dyDescent="0.2">
      <c r="A30" s="26"/>
      <c r="B30" s="139"/>
      <c r="C30" s="59" t="s">
        <v>97</v>
      </c>
      <c r="D30" s="139"/>
      <c r="E30" s="20" t="s">
        <v>159</v>
      </c>
      <c r="F30" s="20" t="s">
        <v>64</v>
      </c>
      <c r="G30" s="222">
        <f>'SKM Prod NS Weighting'!Q$9</f>
        <v>-7.7499999999999999E-3</v>
      </c>
      <c r="H30" s="139"/>
      <c r="I30" s="45">
        <v>583381.43999999994</v>
      </c>
      <c r="J30" s="44"/>
      <c r="K30" s="45">
        <v>641720</v>
      </c>
      <c r="L30" s="45"/>
      <c r="M30" s="200">
        <f t="shared" si="7"/>
        <v>-53817.353840000113</v>
      </c>
      <c r="N30" s="45"/>
      <c r="O30" s="45">
        <v>0</v>
      </c>
      <c r="P30" s="139"/>
      <c r="Q30" s="116" t="str">
        <f t="shared" si="4"/>
        <v xml:space="preserve">-     </v>
      </c>
      <c r="S30" s="117" t="s">
        <v>297</v>
      </c>
      <c r="T30" s="32"/>
      <c r="U30" s="116" t="s">
        <v>297</v>
      </c>
      <c r="W30" s="145">
        <v>0</v>
      </c>
      <c r="Y30" s="144">
        <f t="shared" si="6"/>
        <v>0</v>
      </c>
    </row>
    <row r="31" spans="1:25" x14ac:dyDescent="0.2">
      <c r="A31" s="26"/>
      <c r="B31" s="139"/>
      <c r="C31" s="63" t="s">
        <v>98</v>
      </c>
      <c r="D31" s="139"/>
      <c r="E31" s="20" t="s">
        <v>191</v>
      </c>
      <c r="F31" s="20" t="s">
        <v>64</v>
      </c>
      <c r="G31" s="222">
        <f>'SKM Prod NS Weighting'!Q$9</f>
        <v>-7.7499999999999999E-3</v>
      </c>
      <c r="H31" s="139"/>
      <c r="I31" s="45">
        <v>2821436.66</v>
      </c>
      <c r="J31" s="44"/>
      <c r="K31" s="45">
        <v>3103580</v>
      </c>
      <c r="L31" s="45"/>
      <c r="M31" s="200">
        <f t="shared" si="7"/>
        <v>-260277.20588500006</v>
      </c>
      <c r="N31" s="45"/>
      <c r="O31" s="45">
        <v>0</v>
      </c>
      <c r="P31" s="139"/>
      <c r="Q31" s="116" t="str">
        <f t="shared" si="4"/>
        <v xml:space="preserve">-     </v>
      </c>
      <c r="S31" s="117" t="s">
        <v>297</v>
      </c>
      <c r="T31" s="32"/>
      <c r="U31" s="116" t="s">
        <v>297</v>
      </c>
      <c r="W31" s="145">
        <v>0</v>
      </c>
      <c r="Y31" s="144">
        <f t="shared" si="6"/>
        <v>0</v>
      </c>
    </row>
    <row r="32" spans="1:25" x14ac:dyDescent="0.2">
      <c r="A32" s="26"/>
      <c r="B32" s="139"/>
      <c r="C32" s="63" t="s">
        <v>99</v>
      </c>
      <c r="D32" s="139"/>
      <c r="E32" s="20" t="s">
        <v>191</v>
      </c>
      <c r="F32" s="20" t="s">
        <v>64</v>
      </c>
      <c r="G32" s="222">
        <f>'SKM Prod NS Weighting'!Q$9</f>
        <v>-7.7499999999999999E-3</v>
      </c>
      <c r="H32" s="139"/>
      <c r="I32" s="45">
        <v>5476054.2999999998</v>
      </c>
      <c r="J32" s="44"/>
      <c r="K32" s="45">
        <v>4320817</v>
      </c>
      <c r="L32" s="45"/>
      <c r="M32" s="200">
        <f t="shared" si="7"/>
        <v>1197676.7208249997</v>
      </c>
      <c r="N32" s="45"/>
      <c r="O32" s="45">
        <f t="shared" si="8"/>
        <v>299419.18020624993</v>
      </c>
      <c r="P32" s="139"/>
      <c r="Q32" s="116">
        <f t="shared" si="4"/>
        <v>5.47</v>
      </c>
      <c r="S32" s="117">
        <v>4</v>
      </c>
      <c r="T32" s="32"/>
      <c r="U32" s="116">
        <v>7.8</v>
      </c>
      <c r="W32" s="145">
        <f t="shared" si="5"/>
        <v>427132.23539999995</v>
      </c>
      <c r="Y32" s="144">
        <f t="shared" si="6"/>
        <v>-127713.05519375001</v>
      </c>
    </row>
    <row r="33" spans="1:25" x14ac:dyDescent="0.2">
      <c r="A33" s="26"/>
      <c r="B33" s="139"/>
      <c r="C33" s="63" t="s">
        <v>100</v>
      </c>
      <c r="D33" s="139"/>
      <c r="E33" s="20" t="s">
        <v>159</v>
      </c>
      <c r="F33" s="20" t="s">
        <v>64</v>
      </c>
      <c r="G33" s="222">
        <f>'SKM Prod NS Weighting'!Q$9</f>
        <v>-7.7499999999999999E-3</v>
      </c>
      <c r="H33" s="139"/>
      <c r="I33" s="45">
        <v>2560764.1800000002</v>
      </c>
      <c r="J33" s="44"/>
      <c r="K33" s="45">
        <v>2816841</v>
      </c>
      <c r="L33" s="45"/>
      <c r="M33" s="200">
        <f t="shared" si="7"/>
        <v>-236230.89760500006</v>
      </c>
      <c r="N33" s="45"/>
      <c r="O33" s="45">
        <v>0</v>
      </c>
      <c r="P33" s="139"/>
      <c r="Q33" s="116" t="str">
        <f t="shared" si="4"/>
        <v xml:space="preserve">-     </v>
      </c>
      <c r="S33" s="117" t="s">
        <v>297</v>
      </c>
      <c r="T33" s="32"/>
      <c r="U33" s="116" t="s">
        <v>297</v>
      </c>
      <c r="W33" s="145">
        <v>0</v>
      </c>
      <c r="Y33" s="144">
        <f t="shared" si="6"/>
        <v>0</v>
      </c>
    </row>
    <row r="34" spans="1:25" x14ac:dyDescent="0.2">
      <c r="A34" s="26"/>
      <c r="B34" s="139"/>
      <c r="C34" s="63" t="s">
        <v>101</v>
      </c>
      <c r="D34" s="139"/>
      <c r="E34" s="20" t="s">
        <v>191</v>
      </c>
      <c r="F34" s="20" t="s">
        <v>64</v>
      </c>
      <c r="G34" s="222">
        <f>'SKM Prod NS Weighting'!Q$9</f>
        <v>-7.7499999999999999E-3</v>
      </c>
      <c r="H34" s="139"/>
      <c r="I34" s="45">
        <v>4703189.76</v>
      </c>
      <c r="J34" s="44"/>
      <c r="K34" s="45">
        <v>4861747</v>
      </c>
      <c r="L34" s="45"/>
      <c r="M34" s="200">
        <f t="shared" si="7"/>
        <v>-122107.51936000027</v>
      </c>
      <c r="N34" s="45"/>
      <c r="O34" s="45">
        <f t="shared" si="8"/>
        <v>-7445.5804487805044</v>
      </c>
      <c r="P34" s="139"/>
      <c r="Q34" s="116">
        <f t="shared" si="4"/>
        <v>-0.16</v>
      </c>
      <c r="S34" s="117">
        <v>16.399999999999999</v>
      </c>
      <c r="T34" s="32"/>
      <c r="U34" s="116">
        <v>0.46</v>
      </c>
      <c r="W34" s="145">
        <f t="shared" si="5"/>
        <v>21634.672896</v>
      </c>
      <c r="Y34" s="144">
        <f t="shared" si="6"/>
        <v>-29080.253344780504</v>
      </c>
    </row>
    <row r="35" spans="1:25" x14ac:dyDescent="0.2">
      <c r="A35" s="26"/>
      <c r="B35" s="139"/>
      <c r="C35" s="63" t="s">
        <v>102</v>
      </c>
      <c r="D35" s="139"/>
      <c r="E35" s="20" t="s">
        <v>191</v>
      </c>
      <c r="F35" s="20" t="s">
        <v>64</v>
      </c>
      <c r="G35" s="222">
        <f>'SKM Prod NS Weighting'!Q$9</f>
        <v>-7.7499999999999999E-3</v>
      </c>
      <c r="H35" s="139"/>
      <c r="I35" s="45">
        <v>2232100.04</v>
      </c>
      <c r="J35" s="44"/>
      <c r="K35" s="45">
        <v>2028873</v>
      </c>
      <c r="L35" s="45"/>
      <c r="M35" s="200">
        <f t="shared" si="7"/>
        <v>220525.81530999998</v>
      </c>
      <c r="N35" s="45"/>
      <c r="O35" s="45">
        <f t="shared" si="8"/>
        <v>9844.9024691964278</v>
      </c>
      <c r="P35" s="139"/>
      <c r="Q35" s="116">
        <f t="shared" si="4"/>
        <v>0.44</v>
      </c>
      <c r="S35" s="117">
        <v>22.4</v>
      </c>
      <c r="T35" s="32"/>
      <c r="U35" s="116">
        <v>0.9</v>
      </c>
      <c r="W35" s="145">
        <f t="shared" si="5"/>
        <v>20088.90036</v>
      </c>
      <c r="Y35" s="144">
        <f t="shared" si="6"/>
        <v>-10243.997890803572</v>
      </c>
    </row>
    <row r="36" spans="1:25" x14ac:dyDescent="0.2">
      <c r="A36" s="26"/>
      <c r="B36" s="139"/>
      <c r="C36" s="63" t="s">
        <v>103</v>
      </c>
      <c r="D36" s="139"/>
      <c r="E36" s="20" t="s">
        <v>191</v>
      </c>
      <c r="F36" s="20" t="s">
        <v>64</v>
      </c>
      <c r="G36" s="222">
        <f>'SKM Prod NS Weighting'!Q$9</f>
        <v>-7.7499999999999999E-3</v>
      </c>
      <c r="H36" s="139"/>
      <c r="I36" s="45">
        <v>21039674.359999999</v>
      </c>
      <c r="J36" s="44"/>
      <c r="K36" s="45">
        <v>14064263</v>
      </c>
      <c r="L36" s="45"/>
      <c r="M36" s="200">
        <f t="shared" si="7"/>
        <v>7138468.8362899981</v>
      </c>
      <c r="N36" s="45"/>
      <c r="O36" s="45">
        <f t="shared" si="8"/>
        <v>307692.62225387926</v>
      </c>
      <c r="P36" s="139"/>
      <c r="Q36" s="116">
        <f t="shared" si="4"/>
        <v>1.46</v>
      </c>
      <c r="S36" s="117">
        <v>23.2</v>
      </c>
      <c r="T36" s="32"/>
      <c r="U36" s="116">
        <v>1.9</v>
      </c>
      <c r="W36" s="145">
        <f t="shared" si="5"/>
        <v>399753.81283999997</v>
      </c>
      <c r="Y36" s="144">
        <f t="shared" si="6"/>
        <v>-92061.190586120705</v>
      </c>
    </row>
    <row r="37" spans="1:25" x14ac:dyDescent="0.2">
      <c r="A37" s="26"/>
      <c r="B37" s="139"/>
      <c r="C37" s="63" t="s">
        <v>186</v>
      </c>
      <c r="D37" s="139"/>
      <c r="E37" s="20" t="s">
        <v>191</v>
      </c>
      <c r="F37" s="20" t="s">
        <v>64</v>
      </c>
      <c r="G37" s="222">
        <f>'SKM Prod NS Weighting'!Q$9</f>
        <v>-7.7499999999999999E-3</v>
      </c>
      <c r="H37" s="139"/>
      <c r="I37" s="45">
        <v>43917221.149999999</v>
      </c>
      <c r="J37" s="44"/>
      <c r="K37" s="45">
        <v>1760616</v>
      </c>
      <c r="L37" s="45"/>
      <c r="M37" s="200">
        <f t="shared" si="7"/>
        <v>42496963.613912493</v>
      </c>
      <c r="N37" s="45"/>
      <c r="O37" s="45">
        <f t="shared" si="8"/>
        <v>1816109.5561501067</v>
      </c>
      <c r="P37" s="139"/>
      <c r="Q37" s="116">
        <f t="shared" si="4"/>
        <v>4.1399999999999997</v>
      </c>
      <c r="S37" s="117">
        <v>23.4</v>
      </c>
      <c r="T37" s="32"/>
      <c r="U37" s="116">
        <v>4.58</v>
      </c>
      <c r="W37" s="145">
        <f t="shared" si="5"/>
        <v>2011408.7286699999</v>
      </c>
      <c r="Y37" s="144">
        <f t="shared" si="6"/>
        <v>-195299.17251989315</v>
      </c>
    </row>
    <row r="38" spans="1:25" x14ac:dyDescent="0.2">
      <c r="A38" s="26"/>
      <c r="B38" s="139"/>
      <c r="C38" s="63" t="s">
        <v>104</v>
      </c>
      <c r="D38" s="139"/>
      <c r="E38" s="20" t="s">
        <v>159</v>
      </c>
      <c r="F38" s="20" t="s">
        <v>64</v>
      </c>
      <c r="G38" s="222">
        <f>'SKM Prod NS Weighting'!Q$9</f>
        <v>-7.7499999999999999E-3</v>
      </c>
      <c r="H38" s="139"/>
      <c r="I38" s="45">
        <v>16204.29</v>
      </c>
      <c r="J38" s="44"/>
      <c r="K38" s="45">
        <v>17825</v>
      </c>
      <c r="L38" s="45"/>
      <c r="M38" s="200">
        <f t="shared" si="7"/>
        <v>-1495.1267525000003</v>
      </c>
      <c r="N38" s="45"/>
      <c r="O38" s="45">
        <v>0</v>
      </c>
      <c r="P38" s="139"/>
      <c r="Q38" s="116" t="str">
        <f t="shared" si="4"/>
        <v xml:space="preserve">-     </v>
      </c>
      <c r="S38" s="117" t="s">
        <v>297</v>
      </c>
      <c r="T38" s="32"/>
      <c r="U38" s="116" t="s">
        <v>297</v>
      </c>
      <c r="W38" s="145">
        <v>0</v>
      </c>
      <c r="Y38" s="144">
        <f t="shared" si="6"/>
        <v>0</v>
      </c>
    </row>
    <row r="39" spans="1:25" x14ac:dyDescent="0.2">
      <c r="A39" s="26"/>
      <c r="B39" s="139"/>
      <c r="C39" s="63" t="s">
        <v>105</v>
      </c>
      <c r="D39" s="139"/>
      <c r="E39" s="20" t="s">
        <v>191</v>
      </c>
      <c r="F39" s="20" t="s">
        <v>64</v>
      </c>
      <c r="G39" s="222">
        <f>'SKM Prod NS Weighting'!Q$9</f>
        <v>-7.7499999999999999E-3</v>
      </c>
      <c r="H39" s="139"/>
      <c r="I39" s="45">
        <v>8483789.2300000004</v>
      </c>
      <c r="J39" s="44"/>
      <c r="K39" s="45">
        <v>6985454</v>
      </c>
      <c r="L39" s="45"/>
      <c r="M39" s="200">
        <f t="shared" si="7"/>
        <v>1564084.5965324994</v>
      </c>
      <c r="N39" s="45"/>
      <c r="O39" s="45">
        <f t="shared" si="8"/>
        <v>70773.058666628931</v>
      </c>
      <c r="P39" s="139"/>
      <c r="Q39" s="116">
        <f t="shared" si="4"/>
        <v>0.83</v>
      </c>
      <c r="S39" s="117">
        <v>22.1</v>
      </c>
      <c r="T39" s="32"/>
      <c r="U39" s="116">
        <v>1.34</v>
      </c>
      <c r="W39" s="145">
        <f t="shared" si="5"/>
        <v>113682.77568200002</v>
      </c>
      <c r="Y39" s="144">
        <f t="shared" si="6"/>
        <v>-42909.71701537109</v>
      </c>
    </row>
    <row r="40" spans="1:25" x14ac:dyDescent="0.2">
      <c r="A40" s="26"/>
      <c r="B40" s="139"/>
      <c r="C40" s="63" t="s">
        <v>106</v>
      </c>
      <c r="D40" s="139"/>
      <c r="E40" s="20" t="s">
        <v>191</v>
      </c>
      <c r="F40" s="20" t="s">
        <v>64</v>
      </c>
      <c r="G40" s="222">
        <f>'SKM Prod NS Weighting'!Q$9</f>
        <v>-7.7499999999999999E-3</v>
      </c>
      <c r="H40" s="139"/>
      <c r="I40" s="45">
        <v>18842151.210000001</v>
      </c>
      <c r="J40" s="44"/>
      <c r="K40" s="45">
        <v>18621064</v>
      </c>
      <c r="L40" s="45"/>
      <c r="M40" s="200">
        <f t="shared" si="7"/>
        <v>367113.88187750056</v>
      </c>
      <c r="N40" s="45"/>
      <c r="O40" s="45">
        <f t="shared" si="8"/>
        <v>16462.505913789264</v>
      </c>
      <c r="P40" s="139"/>
      <c r="Q40" s="116">
        <f t="shared" si="4"/>
        <v>0.09</v>
      </c>
      <c r="S40" s="117">
        <v>22.3</v>
      </c>
      <c r="T40" s="32"/>
      <c r="U40" s="116">
        <v>0.59</v>
      </c>
      <c r="W40" s="145">
        <f t="shared" si="5"/>
        <v>111168.69213900001</v>
      </c>
      <c r="Y40" s="144">
        <f t="shared" si="6"/>
        <v>-94706.186225210738</v>
      </c>
    </row>
    <row r="41" spans="1:25" x14ac:dyDescent="0.2">
      <c r="A41" s="26"/>
      <c r="B41" s="139"/>
      <c r="C41" s="63" t="s">
        <v>107</v>
      </c>
      <c r="D41" s="139"/>
      <c r="E41" s="20" t="s">
        <v>191</v>
      </c>
      <c r="F41" s="20" t="s">
        <v>64</v>
      </c>
      <c r="G41" s="222">
        <f>'SKM Prod NS Weighting'!Q$9</f>
        <v>-7.7499999999999999E-3</v>
      </c>
      <c r="H41" s="139"/>
      <c r="I41" s="45">
        <v>16011012.98</v>
      </c>
      <c r="J41" s="44"/>
      <c r="K41" s="45">
        <v>14142566</v>
      </c>
      <c r="L41" s="45"/>
      <c r="M41" s="200">
        <f t="shared" si="7"/>
        <v>1992532.3305949997</v>
      </c>
      <c r="N41" s="45"/>
      <c r="O41" s="45">
        <f t="shared" si="8"/>
        <v>93108.987410981295</v>
      </c>
      <c r="P41" s="139"/>
      <c r="Q41" s="116">
        <f t="shared" si="4"/>
        <v>0.57999999999999996</v>
      </c>
      <c r="S41" s="117">
        <v>21.4</v>
      </c>
      <c r="T41" s="32"/>
      <c r="U41" s="116">
        <v>1.1000000000000001</v>
      </c>
      <c r="W41" s="145">
        <f t="shared" si="5"/>
        <v>176121.14277999999</v>
      </c>
      <c r="Y41" s="144">
        <f t="shared" si="6"/>
        <v>-83012.155369018699</v>
      </c>
    </row>
    <row r="42" spans="1:25" x14ac:dyDescent="0.2">
      <c r="A42" s="26"/>
      <c r="B42" s="139"/>
      <c r="C42" s="63" t="s">
        <v>108</v>
      </c>
      <c r="D42" s="139"/>
      <c r="E42" s="20" t="s">
        <v>191</v>
      </c>
      <c r="F42" s="20" t="s">
        <v>64</v>
      </c>
      <c r="G42" s="222">
        <f>'SKM Prod NS Weighting'!Q$9</f>
        <v>-7.7499999999999999E-3</v>
      </c>
      <c r="H42" s="139"/>
      <c r="I42" s="45">
        <v>42177125.670000002</v>
      </c>
      <c r="J42" s="44"/>
      <c r="K42" s="45">
        <v>30851643</v>
      </c>
      <c r="L42" s="45"/>
      <c r="M42" s="200">
        <f t="shared" si="7"/>
        <v>11652355.393942498</v>
      </c>
      <c r="N42" s="45"/>
      <c r="O42" s="45">
        <f t="shared" si="8"/>
        <v>477555.54893206962</v>
      </c>
      <c r="P42" s="139"/>
      <c r="Q42" s="116">
        <f t="shared" si="4"/>
        <v>1.1299999999999999</v>
      </c>
      <c r="S42" s="117">
        <v>24.4</v>
      </c>
      <c r="T42" s="32"/>
      <c r="U42" s="116">
        <v>1.59</v>
      </c>
      <c r="W42" s="145">
        <f t="shared" si="5"/>
        <v>670616.29815300007</v>
      </c>
      <c r="Y42" s="144">
        <f t="shared" si="6"/>
        <v>-193060.74922093045</v>
      </c>
    </row>
    <row r="43" spans="1:25" x14ac:dyDescent="0.2">
      <c r="A43" s="26"/>
      <c r="B43" s="139"/>
      <c r="C43" s="63" t="s">
        <v>109</v>
      </c>
      <c r="D43" s="139"/>
      <c r="E43" s="20" t="s">
        <v>191</v>
      </c>
      <c r="F43" s="20" t="s">
        <v>64</v>
      </c>
      <c r="G43" s="222">
        <f>'SKM Prod NS Weighting'!Q$9</f>
        <v>-7.7499999999999999E-3</v>
      </c>
      <c r="H43" s="139"/>
      <c r="I43" s="45">
        <v>31022090.5</v>
      </c>
      <c r="J43" s="44"/>
      <c r="K43" s="45">
        <v>14920226</v>
      </c>
      <c r="L43" s="45"/>
      <c r="M43" s="200">
        <f t="shared" si="7"/>
        <v>16342285.701374996</v>
      </c>
      <c r="N43" s="45"/>
      <c r="O43" s="45">
        <f t="shared" si="8"/>
        <v>635886.60316634225</v>
      </c>
      <c r="P43" s="139"/>
      <c r="Q43" s="116">
        <f t="shared" si="4"/>
        <v>2.0499999999999998</v>
      </c>
      <c r="S43" s="117">
        <v>25.7</v>
      </c>
      <c r="T43" s="32"/>
      <c r="U43" s="116">
        <v>2.48</v>
      </c>
      <c r="W43" s="145">
        <f t="shared" si="5"/>
        <v>769347.84440000006</v>
      </c>
      <c r="Y43" s="144">
        <f t="shared" si="6"/>
        <v>-133461.24123365781</v>
      </c>
    </row>
    <row r="44" spans="1:25" x14ac:dyDescent="0.2">
      <c r="A44" s="26"/>
      <c r="B44" s="139"/>
      <c r="C44" s="63" t="s">
        <v>110</v>
      </c>
      <c r="D44" s="139"/>
      <c r="E44" s="20" t="s">
        <v>191</v>
      </c>
      <c r="F44" s="20" t="s">
        <v>64</v>
      </c>
      <c r="G44" s="222">
        <f>'SKM Prod NS Weighting'!Q$9</f>
        <v>-7.7499999999999999E-3</v>
      </c>
      <c r="H44" s="139"/>
      <c r="I44" s="90">
        <v>15817337.720000001</v>
      </c>
      <c r="J44" s="44"/>
      <c r="K44" s="45">
        <v>12919945</v>
      </c>
      <c r="L44" s="45"/>
      <c r="M44" s="200">
        <f t="shared" si="7"/>
        <v>3019977.0873299986</v>
      </c>
      <c r="N44" s="45"/>
      <c r="O44" s="45">
        <f t="shared" si="8"/>
        <v>137271.68578772721</v>
      </c>
      <c r="P44" s="139"/>
      <c r="Q44" s="116">
        <f t="shared" si="4"/>
        <v>0.87</v>
      </c>
      <c r="S44" s="117">
        <v>22</v>
      </c>
      <c r="T44" s="32"/>
      <c r="U44" s="116">
        <v>1.38</v>
      </c>
      <c r="W44" s="145">
        <f t="shared" si="5"/>
        <v>218279.26053600002</v>
      </c>
      <c r="Y44" s="144">
        <f t="shared" si="6"/>
        <v>-81007.574748272804</v>
      </c>
    </row>
    <row r="45" spans="1:25" x14ac:dyDescent="0.2">
      <c r="A45" s="26"/>
      <c r="B45" s="139"/>
      <c r="C45" s="139"/>
      <c r="D45" s="139"/>
      <c r="E45" s="20"/>
      <c r="F45" s="20"/>
      <c r="G45" s="222"/>
      <c r="H45" s="139"/>
      <c r="I45" s="45"/>
      <c r="J45" s="139"/>
      <c r="K45" s="49"/>
      <c r="L45" s="34"/>
      <c r="M45" s="49"/>
      <c r="N45" s="34"/>
      <c r="O45" s="49"/>
      <c r="P45" s="139"/>
      <c r="Q45" s="26"/>
      <c r="R45" s="139"/>
      <c r="S45" s="62"/>
      <c r="T45" s="32"/>
      <c r="U45" s="26"/>
    </row>
    <row r="46" spans="1:25" ht="15.75" x14ac:dyDescent="0.25">
      <c r="A46" s="26"/>
      <c r="B46" s="139"/>
      <c r="C46" s="65" t="s">
        <v>26</v>
      </c>
      <c r="D46" s="139"/>
      <c r="E46" s="20"/>
      <c r="F46" s="20"/>
      <c r="G46" s="222"/>
      <c r="H46" s="139"/>
      <c r="I46" s="45">
        <f>SUM(I26:I45)</f>
        <v>333950215.30000001</v>
      </c>
      <c r="J46" s="139"/>
      <c r="K46" s="45">
        <f>SUM(K26:K45)</f>
        <v>160225192</v>
      </c>
      <c r="L46" s="34"/>
      <c r="M46" s="45">
        <f>SUM(M26:M45)</f>
        <v>176313137.468575</v>
      </c>
      <c r="N46" s="34"/>
      <c r="O46" s="45">
        <f>SUM(O26:O45)</f>
        <v>5650802.1603037724</v>
      </c>
      <c r="P46" s="139"/>
      <c r="Q46" s="116">
        <f>IF(O46/I46*100=0,"-     ",ROUND(O46/I46*100,2))</f>
        <v>1.69</v>
      </c>
      <c r="S46" s="117">
        <v>30.7</v>
      </c>
      <c r="T46" s="32"/>
      <c r="U46" s="242">
        <f>W46/I46</f>
        <v>2.1087053235273059E-2</v>
      </c>
      <c r="W46" s="45">
        <f>SUM(W26:W45)</f>
        <v>7042025.9679619996</v>
      </c>
      <c r="Y46" s="45">
        <f>SUM(Y26:Y45)</f>
        <v>-1391223.8076582276</v>
      </c>
    </row>
    <row r="47" spans="1:25" x14ac:dyDescent="0.2">
      <c r="A47" s="26"/>
      <c r="B47" s="139"/>
      <c r="C47" s="139"/>
      <c r="D47" s="139"/>
      <c r="E47" s="20"/>
      <c r="F47" s="20"/>
      <c r="G47" s="222"/>
      <c r="H47" s="139"/>
      <c r="I47" s="45"/>
      <c r="J47" s="139"/>
      <c r="K47" s="34"/>
      <c r="L47" s="34"/>
      <c r="M47" s="34"/>
      <c r="N47" s="34"/>
      <c r="O47" s="34"/>
      <c r="P47" s="139"/>
      <c r="Q47" s="26"/>
      <c r="R47" s="139"/>
      <c r="S47" s="62"/>
      <c r="T47" s="32"/>
      <c r="U47" s="26"/>
    </row>
    <row r="48" spans="1:25" x14ac:dyDescent="0.2">
      <c r="A48" s="26">
        <v>312</v>
      </c>
      <c r="B48" s="139"/>
      <c r="C48" s="139" t="s">
        <v>27</v>
      </c>
      <c r="D48" s="139"/>
      <c r="E48" s="56"/>
      <c r="F48" s="56"/>
      <c r="G48" s="224"/>
      <c r="H48" s="139"/>
      <c r="I48" s="45"/>
      <c r="J48" s="139"/>
      <c r="K48" s="34"/>
      <c r="L48" s="34"/>
      <c r="M48" s="34"/>
      <c r="N48" s="34"/>
      <c r="O48" s="34"/>
      <c r="P48" s="139"/>
      <c r="Q48" s="26"/>
      <c r="R48" s="139"/>
      <c r="S48" s="62"/>
      <c r="T48" s="32"/>
      <c r="U48" s="26"/>
    </row>
    <row r="49" spans="1:25" x14ac:dyDescent="0.2">
      <c r="A49" s="26"/>
      <c r="B49" s="139"/>
      <c r="C49" s="59" t="s">
        <v>93</v>
      </c>
      <c r="D49" s="139"/>
      <c r="E49" s="56" t="s">
        <v>134</v>
      </c>
      <c r="F49" s="56" t="s">
        <v>64</v>
      </c>
      <c r="G49" s="222">
        <f>'SKM Prod NS Weighting'!Q$10</f>
        <v>-2.7299999999999998E-2</v>
      </c>
      <c r="H49" s="139"/>
      <c r="I49" s="45">
        <v>505158968.56999999</v>
      </c>
      <c r="J49" s="139"/>
      <c r="K49" s="34">
        <v>44042332</v>
      </c>
      <c r="L49" s="34"/>
      <c r="M49" s="200">
        <f t="shared" ref="M49:M68" si="9">+((1-G49)*I49)-K49</f>
        <v>474907476.41196102</v>
      </c>
      <c r="N49" s="34"/>
      <c r="O49" s="45">
        <f t="shared" ref="O49:O68" si="10">M49/S49</f>
        <v>9771758.7739086635</v>
      </c>
      <c r="P49" s="139"/>
      <c r="Q49" s="116">
        <f t="shared" ref="Q49:Q68" si="11">IF(O49/I49*100=0,"-     ",ROUND(O49/I49*100,2))</f>
        <v>1.93</v>
      </c>
      <c r="S49" s="117">
        <v>48.6</v>
      </c>
      <c r="T49" s="32"/>
      <c r="U49" s="116">
        <v>2.19</v>
      </c>
      <c r="W49" s="145">
        <f t="shared" ref="W49:W68" si="12">(I49/100)*U49</f>
        <v>11062981.411683001</v>
      </c>
      <c r="Y49" s="144">
        <f t="shared" ref="Y49:Y68" si="13">O49-W49</f>
        <v>-1291222.6377743371</v>
      </c>
    </row>
    <row r="50" spans="1:25" x14ac:dyDescent="0.2">
      <c r="A50" s="26"/>
      <c r="B50" s="139"/>
      <c r="C50" s="59" t="s">
        <v>94</v>
      </c>
      <c r="D50" s="139"/>
      <c r="E50" s="56" t="s">
        <v>134</v>
      </c>
      <c r="F50" s="56" t="s">
        <v>64</v>
      </c>
      <c r="G50" s="222">
        <f>'SKM Prod NS Weighting'!Q$10</f>
        <v>-2.7299999999999998E-2</v>
      </c>
      <c r="H50" s="139"/>
      <c r="I50" s="45">
        <v>70735319.609999999</v>
      </c>
      <c r="J50" s="139"/>
      <c r="K50" s="34">
        <v>11271211</v>
      </c>
      <c r="L50" s="34"/>
      <c r="M50" s="200">
        <f t="shared" si="9"/>
        <v>61395182.835353002</v>
      </c>
      <c r="N50" s="34"/>
      <c r="O50" s="45">
        <f t="shared" si="10"/>
        <v>1273758.9799865768</v>
      </c>
      <c r="P50" s="139"/>
      <c r="Q50" s="116">
        <f t="shared" si="11"/>
        <v>1.8</v>
      </c>
      <c r="S50" s="117">
        <v>48.2</v>
      </c>
      <c r="T50" s="32"/>
      <c r="U50" s="116">
        <v>2.06</v>
      </c>
      <c r="W50" s="145">
        <f t="shared" si="12"/>
        <v>1457147.583966</v>
      </c>
      <c r="Y50" s="144">
        <f t="shared" si="13"/>
        <v>-183388.60397942318</v>
      </c>
    </row>
    <row r="51" spans="1:25" x14ac:dyDescent="0.2">
      <c r="A51" s="26"/>
      <c r="B51" s="139"/>
      <c r="C51" s="59" t="s">
        <v>96</v>
      </c>
      <c r="D51" s="139"/>
      <c r="E51" s="56" t="s">
        <v>134</v>
      </c>
      <c r="F51" s="56" t="s">
        <v>64</v>
      </c>
      <c r="G51" s="222">
        <f>'SKM Prod NS Weighting'!Q$10</f>
        <v>-2.7299999999999998E-2</v>
      </c>
      <c r="H51" s="139"/>
      <c r="I51" s="45">
        <v>13993285.779999999</v>
      </c>
      <c r="J51" s="139"/>
      <c r="K51" s="34">
        <v>11103677</v>
      </c>
      <c r="L51" s="34"/>
      <c r="M51" s="200">
        <f t="shared" si="9"/>
        <v>3271625.4817940015</v>
      </c>
      <c r="N51" s="34"/>
      <c r="O51" s="45">
        <f t="shared" si="10"/>
        <v>817906.37044850038</v>
      </c>
      <c r="P51" s="139"/>
      <c r="Q51" s="116">
        <f t="shared" si="11"/>
        <v>5.84</v>
      </c>
      <c r="S51" s="117">
        <v>4</v>
      </c>
      <c r="T51" s="32"/>
      <c r="U51" s="116">
        <v>7.74</v>
      </c>
      <c r="W51" s="145">
        <f t="shared" si="12"/>
        <v>1083080.3193719999</v>
      </c>
      <c r="Y51" s="144">
        <f t="shared" si="13"/>
        <v>-265173.94892349956</v>
      </c>
    </row>
    <row r="52" spans="1:25" x14ac:dyDescent="0.2">
      <c r="A52" s="26"/>
      <c r="B52" s="139"/>
      <c r="C52" s="59" t="s">
        <v>97</v>
      </c>
      <c r="D52" s="139"/>
      <c r="E52" s="20" t="s">
        <v>159</v>
      </c>
      <c r="F52" s="56" t="s">
        <v>64</v>
      </c>
      <c r="G52" s="222">
        <f>'SKM Prod NS Weighting'!Q$10</f>
        <v>-2.7299999999999998E-2</v>
      </c>
      <c r="H52" s="139"/>
      <c r="I52" s="45">
        <v>421899.96</v>
      </c>
      <c r="J52" s="139"/>
      <c r="K52" s="34">
        <v>464090</v>
      </c>
      <c r="L52" s="34"/>
      <c r="M52" s="200">
        <f t="shared" si="9"/>
        <v>-30672.171091999917</v>
      </c>
      <c r="N52" s="34"/>
      <c r="O52" s="45">
        <v>0</v>
      </c>
      <c r="P52" s="139"/>
      <c r="Q52" s="116" t="str">
        <f t="shared" si="11"/>
        <v xml:space="preserve">-     </v>
      </c>
      <c r="S52" s="117" t="s">
        <v>297</v>
      </c>
      <c r="T52" s="32"/>
      <c r="U52" s="116" t="s">
        <v>297</v>
      </c>
      <c r="W52" s="145">
        <v>0</v>
      </c>
      <c r="Y52" s="144">
        <f t="shared" si="13"/>
        <v>0</v>
      </c>
    </row>
    <row r="53" spans="1:25" x14ac:dyDescent="0.2">
      <c r="B53" s="139"/>
      <c r="C53" s="63" t="s">
        <v>98</v>
      </c>
      <c r="D53" s="139"/>
      <c r="E53" s="56" t="s">
        <v>134</v>
      </c>
      <c r="F53" s="56" t="s">
        <v>64</v>
      </c>
      <c r="G53" s="222">
        <f>'SKM Prod NS Weighting'!Q$10</f>
        <v>-2.7299999999999998E-2</v>
      </c>
      <c r="H53" s="139"/>
      <c r="I53" s="45">
        <v>12145770.439999999</v>
      </c>
      <c r="J53" s="139"/>
      <c r="K53" s="34">
        <v>9725542</v>
      </c>
      <c r="L53" s="34"/>
      <c r="M53" s="200">
        <f t="shared" si="9"/>
        <v>2751807.9730120003</v>
      </c>
      <c r="N53" s="34"/>
      <c r="O53" s="45">
        <f t="shared" si="10"/>
        <v>705591.78795179492</v>
      </c>
      <c r="P53" s="139"/>
      <c r="Q53" s="116">
        <f t="shared" si="11"/>
        <v>5.81</v>
      </c>
      <c r="S53" s="117">
        <v>3.9</v>
      </c>
      <c r="T53" s="32"/>
      <c r="U53" s="116">
        <v>7.59</v>
      </c>
      <c r="W53" s="145">
        <f t="shared" si="12"/>
        <v>921863.9763959999</v>
      </c>
      <c r="Y53" s="144">
        <f t="shared" si="13"/>
        <v>-216272.18844420498</v>
      </c>
    </row>
    <row r="54" spans="1:25" x14ac:dyDescent="0.2">
      <c r="A54" s="26"/>
      <c r="B54" s="139"/>
      <c r="C54" s="63" t="s">
        <v>99</v>
      </c>
      <c r="D54" s="139"/>
      <c r="E54" s="20" t="s">
        <v>134</v>
      </c>
      <c r="F54" s="20" t="s">
        <v>64</v>
      </c>
      <c r="G54" s="222">
        <f>'SKM Prod NS Weighting'!Q$10</f>
        <v>-2.7299999999999998E-2</v>
      </c>
      <c r="H54" s="139"/>
      <c r="I54" s="45">
        <v>25165914.239999998</v>
      </c>
      <c r="J54" s="44"/>
      <c r="K54" s="45">
        <v>20127163</v>
      </c>
      <c r="L54" s="45"/>
      <c r="M54" s="200">
        <f t="shared" si="9"/>
        <v>5725780.6987520009</v>
      </c>
      <c r="N54" s="45"/>
      <c r="O54" s="45">
        <f t="shared" si="10"/>
        <v>1431445.1746880002</v>
      </c>
      <c r="P54" s="139"/>
      <c r="Q54" s="116">
        <f t="shared" si="11"/>
        <v>5.69</v>
      </c>
      <c r="S54" s="117">
        <v>4</v>
      </c>
      <c r="T54" s="32"/>
      <c r="U54" s="116">
        <v>7.57</v>
      </c>
      <c r="W54" s="145">
        <f t="shared" si="12"/>
        <v>1905059.7079679999</v>
      </c>
      <c r="Y54" s="144">
        <f t="shared" si="13"/>
        <v>-473614.53327999962</v>
      </c>
    </row>
    <row r="55" spans="1:25" x14ac:dyDescent="0.2">
      <c r="A55" s="26"/>
      <c r="B55" s="139"/>
      <c r="C55" s="63" t="s">
        <v>100</v>
      </c>
      <c r="D55" s="139"/>
      <c r="E55" s="20" t="s">
        <v>159</v>
      </c>
      <c r="F55" s="20" t="s">
        <v>64</v>
      </c>
      <c r="G55" s="222">
        <f>'SKM Prod NS Weighting'!Q$10</f>
        <v>-2.7299999999999998E-2</v>
      </c>
      <c r="H55" s="139"/>
      <c r="I55" s="45">
        <v>349297.88</v>
      </c>
      <c r="J55" s="44"/>
      <c r="K55" s="45">
        <v>384228</v>
      </c>
      <c r="L55" s="45"/>
      <c r="M55" s="200">
        <f t="shared" si="9"/>
        <v>-25394.287875999988</v>
      </c>
      <c r="N55" s="45"/>
      <c r="O55" s="45">
        <v>0</v>
      </c>
      <c r="P55" s="139"/>
      <c r="Q55" s="116" t="str">
        <f t="shared" si="11"/>
        <v xml:space="preserve">-     </v>
      </c>
      <c r="S55" s="117" t="s">
        <v>297</v>
      </c>
      <c r="T55" s="32"/>
      <c r="U55" s="116" t="s">
        <v>297</v>
      </c>
      <c r="W55" s="145">
        <v>0</v>
      </c>
      <c r="Y55" s="144">
        <f t="shared" si="13"/>
        <v>0</v>
      </c>
    </row>
    <row r="56" spans="1:25" x14ac:dyDescent="0.2">
      <c r="A56" s="26"/>
      <c r="B56" s="139"/>
      <c r="C56" s="63" t="s">
        <v>101</v>
      </c>
      <c r="D56" s="139"/>
      <c r="E56" s="20" t="s">
        <v>134</v>
      </c>
      <c r="F56" s="20" t="s">
        <v>64</v>
      </c>
      <c r="G56" s="222">
        <f>'SKM Prod NS Weighting'!Q$10</f>
        <v>-2.7299999999999998E-2</v>
      </c>
      <c r="H56" s="139"/>
      <c r="I56" s="45">
        <v>45302489.090000004</v>
      </c>
      <c r="J56" s="44"/>
      <c r="K56" s="45">
        <v>26739197</v>
      </c>
      <c r="L56" s="45"/>
      <c r="M56" s="200">
        <f t="shared" si="9"/>
        <v>19800050.042157009</v>
      </c>
      <c r="N56" s="45"/>
      <c r="O56" s="45">
        <f t="shared" si="10"/>
        <v>1237503.1276348131</v>
      </c>
      <c r="P56" s="139"/>
      <c r="Q56" s="116">
        <f t="shared" si="11"/>
        <v>2.73</v>
      </c>
      <c r="S56" s="117">
        <v>16</v>
      </c>
      <c r="T56" s="32"/>
      <c r="U56" s="116">
        <v>3.25</v>
      </c>
      <c r="W56" s="145">
        <f t="shared" si="12"/>
        <v>1472330.8954250002</v>
      </c>
      <c r="Y56" s="144">
        <f t="shared" si="13"/>
        <v>-234827.76779018715</v>
      </c>
    </row>
    <row r="57" spans="1:25" x14ac:dyDescent="0.2">
      <c r="A57" s="26"/>
      <c r="B57" s="139"/>
      <c r="C57" s="63" t="s">
        <v>102</v>
      </c>
      <c r="D57" s="139"/>
      <c r="E57" s="20" t="s">
        <v>134</v>
      </c>
      <c r="F57" s="20" t="s">
        <v>64</v>
      </c>
      <c r="G57" s="222">
        <f>'SKM Prod NS Weighting'!Q$10</f>
        <v>-2.7299999999999998E-2</v>
      </c>
      <c r="H57" s="139"/>
      <c r="I57" s="45">
        <v>41956868.140000001</v>
      </c>
      <c r="J57" s="44"/>
      <c r="K57" s="45">
        <v>19641359</v>
      </c>
      <c r="L57" s="45"/>
      <c r="M57" s="200">
        <f t="shared" si="9"/>
        <v>23460931.640222006</v>
      </c>
      <c r="N57" s="45"/>
      <c r="O57" s="45">
        <f t="shared" si="10"/>
        <v>1091206.1228010235</v>
      </c>
      <c r="P57" s="139"/>
      <c r="Q57" s="116">
        <f t="shared" si="11"/>
        <v>2.6</v>
      </c>
      <c r="S57" s="117">
        <v>21.5</v>
      </c>
      <c r="T57" s="32"/>
      <c r="U57" s="116">
        <v>2.98</v>
      </c>
      <c r="W57" s="145">
        <f t="shared" si="12"/>
        <v>1250314.6705720001</v>
      </c>
      <c r="Y57" s="144">
        <f t="shared" si="13"/>
        <v>-159108.54777097655</v>
      </c>
    </row>
    <row r="58" spans="1:25" x14ac:dyDescent="0.2">
      <c r="A58" s="26"/>
      <c r="B58" s="139"/>
      <c r="C58" s="63" t="s">
        <v>103</v>
      </c>
      <c r="D58" s="139"/>
      <c r="E58" s="20" t="s">
        <v>134</v>
      </c>
      <c r="F58" s="20" t="s">
        <v>64</v>
      </c>
      <c r="G58" s="222">
        <f>'SKM Prod NS Weighting'!Q$10</f>
        <v>-2.7299999999999998E-2</v>
      </c>
      <c r="H58" s="139"/>
      <c r="I58" s="45">
        <v>142628390.37</v>
      </c>
      <c r="J58" s="44"/>
      <c r="K58" s="45">
        <v>71929055</v>
      </c>
      <c r="L58" s="45"/>
      <c r="M58" s="200">
        <f t="shared" si="9"/>
        <v>74593090.427101016</v>
      </c>
      <c r="N58" s="45"/>
      <c r="O58" s="45">
        <f t="shared" si="10"/>
        <v>3286039.2258634809</v>
      </c>
      <c r="P58" s="139"/>
      <c r="Q58" s="116">
        <f t="shared" si="11"/>
        <v>2.2999999999999998</v>
      </c>
      <c r="S58" s="117">
        <v>22.7</v>
      </c>
      <c r="T58" s="32"/>
      <c r="U58" s="116">
        <v>2.67</v>
      </c>
      <c r="W58" s="145">
        <f t="shared" si="12"/>
        <v>3808178.0228790003</v>
      </c>
      <c r="Y58" s="144">
        <f t="shared" si="13"/>
        <v>-522138.79701551935</v>
      </c>
    </row>
    <row r="59" spans="1:25" x14ac:dyDescent="0.2">
      <c r="A59" s="26"/>
      <c r="B59" s="139"/>
      <c r="C59" s="63" t="s">
        <v>186</v>
      </c>
      <c r="D59" s="139"/>
      <c r="E59" s="20" t="s">
        <v>134</v>
      </c>
      <c r="F59" s="20" t="s">
        <v>64</v>
      </c>
      <c r="G59" s="222">
        <f>'SKM Prod NS Weighting'!Q$10</f>
        <v>-2.7299999999999998E-2</v>
      </c>
      <c r="H59" s="139"/>
      <c r="I59" s="45">
        <v>323725098.68000001</v>
      </c>
      <c r="J59" s="44"/>
      <c r="K59" s="45">
        <v>18469817</v>
      </c>
      <c r="L59" s="45"/>
      <c r="M59" s="200">
        <f t="shared" si="9"/>
        <v>314092976.87396401</v>
      </c>
      <c r="N59" s="45"/>
      <c r="O59" s="45">
        <f t="shared" si="10"/>
        <v>13656216.385824522</v>
      </c>
      <c r="P59" s="139"/>
      <c r="Q59" s="116">
        <f t="shared" si="11"/>
        <v>4.22</v>
      </c>
      <c r="S59" s="117">
        <v>23</v>
      </c>
      <c r="T59" s="32"/>
      <c r="U59" s="116">
        <v>4.58</v>
      </c>
      <c r="W59" s="145">
        <f t="shared" si="12"/>
        <v>14826609.519544</v>
      </c>
      <c r="Y59" s="144">
        <f t="shared" si="13"/>
        <v>-1170393.1337194778</v>
      </c>
    </row>
    <row r="60" spans="1:25" x14ac:dyDescent="0.2">
      <c r="A60" s="26"/>
      <c r="B60" s="139"/>
      <c r="C60" s="63" t="s">
        <v>104</v>
      </c>
      <c r="D60" s="139"/>
      <c r="E60" s="20" t="s">
        <v>159</v>
      </c>
      <c r="F60" s="20" t="s">
        <v>64</v>
      </c>
      <c r="G60" s="222">
        <f>'SKM Prod NS Weighting'!Q$10</f>
        <v>-2.7299999999999998E-2</v>
      </c>
      <c r="H60" s="139"/>
      <c r="I60" s="45">
        <v>236470.42</v>
      </c>
      <c r="J60" s="44"/>
      <c r="K60" s="45">
        <v>260117</v>
      </c>
      <c r="L60" s="45"/>
      <c r="M60" s="200">
        <f t="shared" si="9"/>
        <v>-17190.937533999968</v>
      </c>
      <c r="N60" s="45"/>
      <c r="O60" s="45">
        <v>0</v>
      </c>
      <c r="P60" s="139"/>
      <c r="Q60" s="116" t="str">
        <f t="shared" si="11"/>
        <v xml:space="preserve">-     </v>
      </c>
      <c r="S60" s="117" t="s">
        <v>297</v>
      </c>
      <c r="T60" s="32"/>
      <c r="U60" s="116" t="s">
        <v>297</v>
      </c>
      <c r="W60" s="145">
        <v>0</v>
      </c>
      <c r="Y60" s="144">
        <f t="shared" si="13"/>
        <v>0</v>
      </c>
    </row>
    <row r="61" spans="1:25" x14ac:dyDescent="0.2">
      <c r="A61" s="26"/>
      <c r="B61" s="139"/>
      <c r="C61" s="63" t="s">
        <v>105</v>
      </c>
      <c r="D61" s="139"/>
      <c r="E61" s="20" t="s">
        <v>134</v>
      </c>
      <c r="F61" s="20" t="s">
        <v>64</v>
      </c>
      <c r="G61" s="222">
        <f>'SKM Prod NS Weighting'!Q$10</f>
        <v>-2.7299999999999998E-2</v>
      </c>
      <c r="H61" s="139"/>
      <c r="I61" s="45">
        <v>144202759.28</v>
      </c>
      <c r="J61" s="44"/>
      <c r="K61" s="45">
        <v>34075530</v>
      </c>
      <c r="L61" s="45"/>
      <c r="M61" s="200">
        <f t="shared" si="9"/>
        <v>114063964.60834402</v>
      </c>
      <c r="N61" s="45"/>
      <c r="O61" s="45">
        <f t="shared" si="10"/>
        <v>5184725.6640156368</v>
      </c>
      <c r="P61" s="139"/>
      <c r="Q61" s="116">
        <f t="shared" si="11"/>
        <v>3.6</v>
      </c>
      <c r="S61" s="117">
        <v>22</v>
      </c>
      <c r="T61" s="32"/>
      <c r="U61" s="116">
        <v>4.0199999999999996</v>
      </c>
      <c r="W61" s="145">
        <f t="shared" si="12"/>
        <v>5796950.923055999</v>
      </c>
      <c r="Y61" s="144">
        <f t="shared" si="13"/>
        <v>-612225.2590403622</v>
      </c>
    </row>
    <row r="62" spans="1:25" x14ac:dyDescent="0.2">
      <c r="A62" s="26"/>
      <c r="B62" s="139"/>
      <c r="C62" s="63" t="s">
        <v>106</v>
      </c>
      <c r="D62" s="139"/>
      <c r="E62" s="20" t="s">
        <v>134</v>
      </c>
      <c r="F62" s="20" t="s">
        <v>64</v>
      </c>
      <c r="G62" s="222">
        <f>'SKM Prod NS Weighting'!Q$10</f>
        <v>-2.7299999999999998E-2</v>
      </c>
      <c r="H62" s="139"/>
      <c r="I62" s="45">
        <v>198785055.46000001</v>
      </c>
      <c r="J62" s="44"/>
      <c r="K62" s="45">
        <v>96800340</v>
      </c>
      <c r="L62" s="45"/>
      <c r="M62" s="200">
        <f t="shared" si="9"/>
        <v>107411547.47405803</v>
      </c>
      <c r="N62" s="45"/>
      <c r="O62" s="45">
        <f t="shared" si="10"/>
        <v>4972756.8275026865</v>
      </c>
      <c r="P62" s="139"/>
      <c r="Q62" s="116">
        <f t="shared" si="11"/>
        <v>2.5</v>
      </c>
      <c r="S62" s="117">
        <v>21.6</v>
      </c>
      <c r="T62" s="32"/>
      <c r="U62" s="116">
        <v>2.93</v>
      </c>
      <c r="W62" s="145">
        <f t="shared" si="12"/>
        <v>5824402.1249780003</v>
      </c>
      <c r="Y62" s="144">
        <f t="shared" si="13"/>
        <v>-851645.29747531377</v>
      </c>
    </row>
    <row r="63" spans="1:25" x14ac:dyDescent="0.2">
      <c r="A63" s="26"/>
      <c r="B63" s="139"/>
      <c r="C63" s="63" t="s">
        <v>107</v>
      </c>
      <c r="D63" s="139"/>
      <c r="E63" s="20" t="s">
        <v>134</v>
      </c>
      <c r="F63" s="20" t="s">
        <v>64</v>
      </c>
      <c r="G63" s="222">
        <f>'SKM Prod NS Weighting'!Q$10</f>
        <v>-2.7299999999999998E-2</v>
      </c>
      <c r="H63" s="139"/>
      <c r="I63" s="45">
        <v>98446686.349999994</v>
      </c>
      <c r="J63" s="44"/>
      <c r="K63" s="45">
        <v>73285978</v>
      </c>
      <c r="L63" s="45"/>
      <c r="M63" s="200">
        <f t="shared" si="9"/>
        <v>27848302.887355</v>
      </c>
      <c r="N63" s="45"/>
      <c r="O63" s="45">
        <f t="shared" si="10"/>
        <v>1338860.7157382211</v>
      </c>
      <c r="P63" s="139"/>
      <c r="Q63" s="116">
        <f t="shared" si="11"/>
        <v>1.36</v>
      </c>
      <c r="S63" s="117">
        <v>20.8</v>
      </c>
      <c r="T63" s="32"/>
      <c r="U63" s="116">
        <v>1.81</v>
      </c>
      <c r="W63" s="145">
        <f t="shared" si="12"/>
        <v>1781885.022935</v>
      </c>
      <c r="Y63" s="144">
        <f t="shared" si="13"/>
        <v>-443024.30719677894</v>
      </c>
    </row>
    <row r="64" spans="1:25" x14ac:dyDescent="0.2">
      <c r="A64" s="26"/>
      <c r="B64" s="139"/>
      <c r="C64" s="63" t="s">
        <v>108</v>
      </c>
      <c r="D64" s="139"/>
      <c r="E64" s="20" t="s">
        <v>134</v>
      </c>
      <c r="F64" s="20" t="s">
        <v>64</v>
      </c>
      <c r="G64" s="222">
        <f>'SKM Prod NS Weighting'!Q$10</f>
        <v>-2.7299999999999998E-2</v>
      </c>
      <c r="H64" s="139"/>
      <c r="I64" s="45">
        <v>254967909.72</v>
      </c>
      <c r="J64" s="44"/>
      <c r="K64" s="45">
        <v>146662379</v>
      </c>
      <c r="L64" s="45"/>
      <c r="M64" s="200">
        <f t="shared" si="9"/>
        <v>115266154.65535602</v>
      </c>
      <c r="N64" s="45"/>
      <c r="O64" s="45">
        <f t="shared" si="10"/>
        <v>4884159.0955659328</v>
      </c>
      <c r="P64" s="139"/>
      <c r="Q64" s="116">
        <f t="shared" si="11"/>
        <v>1.92</v>
      </c>
      <c r="S64" s="117">
        <v>23.6</v>
      </c>
      <c r="T64" s="32"/>
      <c r="U64" s="116">
        <v>2.31</v>
      </c>
      <c r="W64" s="145">
        <f t="shared" si="12"/>
        <v>5889758.7145320009</v>
      </c>
      <c r="Y64" s="144">
        <f t="shared" si="13"/>
        <v>-1005599.6189660681</v>
      </c>
    </row>
    <row r="65" spans="1:25" x14ac:dyDescent="0.2">
      <c r="A65" s="26"/>
      <c r="B65" s="139"/>
      <c r="C65" s="63" t="s">
        <v>109</v>
      </c>
      <c r="D65" s="139"/>
      <c r="E65" s="20" t="s">
        <v>134</v>
      </c>
      <c r="F65" s="20" t="s">
        <v>64</v>
      </c>
      <c r="G65" s="222">
        <f>'SKM Prod NS Weighting'!Q$10</f>
        <v>-2.7299999999999998E-2</v>
      </c>
      <c r="H65" s="139"/>
      <c r="I65" s="45">
        <v>267856280.18000001</v>
      </c>
      <c r="J65" s="44"/>
      <c r="K65" s="45">
        <v>128461343</v>
      </c>
      <c r="L65" s="45"/>
      <c r="M65" s="200">
        <f t="shared" si="9"/>
        <v>146707413.62891406</v>
      </c>
      <c r="N65" s="45"/>
      <c r="O65" s="45">
        <f t="shared" si="10"/>
        <v>5939571.4019803265</v>
      </c>
      <c r="P65" s="139"/>
      <c r="Q65" s="116">
        <f t="shared" si="11"/>
        <v>2.2200000000000002</v>
      </c>
      <c r="S65" s="117">
        <v>24.7</v>
      </c>
      <c r="T65" s="32"/>
      <c r="U65" s="116">
        <v>2.6</v>
      </c>
      <c r="W65" s="145">
        <f t="shared" si="12"/>
        <v>6964263.2846800005</v>
      </c>
      <c r="Y65" s="144">
        <f t="shared" si="13"/>
        <v>-1024691.882699674</v>
      </c>
    </row>
    <row r="66" spans="1:25" x14ac:dyDescent="0.2">
      <c r="A66" s="114" t="s">
        <v>160</v>
      </c>
      <c r="B66" s="139"/>
      <c r="C66" s="63" t="s">
        <v>110</v>
      </c>
      <c r="D66" s="139"/>
      <c r="E66" s="20" t="s">
        <v>134</v>
      </c>
      <c r="F66" s="20" t="s">
        <v>64</v>
      </c>
      <c r="G66" s="222">
        <f>'SKM Prod NS Weighting'!Q$10</f>
        <v>-2.7299999999999998E-2</v>
      </c>
      <c r="H66" s="139"/>
      <c r="I66" s="45">
        <v>93278511.280000001</v>
      </c>
      <c r="J66" s="44"/>
      <c r="K66" s="45">
        <v>55024079</v>
      </c>
      <c r="L66" s="45"/>
      <c r="M66" s="200">
        <f t="shared" si="9"/>
        <v>40800935.637944013</v>
      </c>
      <c r="N66" s="45"/>
      <c r="O66" s="45">
        <f t="shared" si="10"/>
        <v>1871602.5521992666</v>
      </c>
      <c r="P66" s="139"/>
      <c r="Q66" s="116">
        <f t="shared" si="11"/>
        <v>2.0099999999999998</v>
      </c>
      <c r="S66" s="117">
        <v>21.8</v>
      </c>
      <c r="T66" s="32"/>
      <c r="U66" s="116">
        <v>2.4300000000000002</v>
      </c>
      <c r="W66" s="145">
        <f t="shared" si="12"/>
        <v>2266667.8241040003</v>
      </c>
      <c r="Y66" s="144">
        <f t="shared" si="13"/>
        <v>-395065.27190473373</v>
      </c>
    </row>
    <row r="67" spans="1:25" x14ac:dyDescent="0.2">
      <c r="A67" s="26"/>
      <c r="B67" s="139"/>
      <c r="C67" s="63" t="s">
        <v>111</v>
      </c>
      <c r="D67" s="139"/>
      <c r="E67" s="20" t="s">
        <v>134</v>
      </c>
      <c r="F67" s="20" t="s">
        <v>64</v>
      </c>
      <c r="G67" s="222">
        <f>'SKM Prod NS Weighting'!Q$10</f>
        <v>-2.7299999999999998E-2</v>
      </c>
      <c r="H67" s="139"/>
      <c r="I67" s="176">
        <v>127988949.01000001</v>
      </c>
      <c r="J67" s="44"/>
      <c r="K67" s="45">
        <v>24898056</v>
      </c>
      <c r="L67" s="45"/>
      <c r="M67" s="200">
        <f t="shared" si="9"/>
        <v>106584991.31797302</v>
      </c>
      <c r="N67" s="45"/>
      <c r="O67" s="45">
        <f t="shared" si="10"/>
        <v>4297781.9079827825</v>
      </c>
      <c r="P67" s="139"/>
      <c r="Q67" s="116">
        <f t="shared" si="11"/>
        <v>3.36</v>
      </c>
      <c r="S67" s="117">
        <v>24.8</v>
      </c>
      <c r="T67" s="32"/>
      <c r="U67" s="116">
        <v>3.74</v>
      </c>
      <c r="W67" s="145">
        <f t="shared" si="12"/>
        <v>4786786.6929740002</v>
      </c>
      <c r="Y67" s="144">
        <f t="shared" si="13"/>
        <v>-489004.78499121778</v>
      </c>
    </row>
    <row r="68" spans="1:25" x14ac:dyDescent="0.2">
      <c r="A68" s="26"/>
      <c r="B68" s="139"/>
      <c r="C68" s="63" t="s">
        <v>112</v>
      </c>
      <c r="D68" s="139"/>
      <c r="E68" s="20" t="s">
        <v>134</v>
      </c>
      <c r="F68" s="20" t="s">
        <v>64</v>
      </c>
      <c r="G68" s="222">
        <f>'SKM Prod NS Weighting'!Q$10</f>
        <v>-2.7299999999999998E-2</v>
      </c>
      <c r="H68" s="139"/>
      <c r="I68" s="90">
        <v>307100358.5</v>
      </c>
      <c r="J68" s="44"/>
      <c r="K68" s="45">
        <v>41271827</v>
      </c>
      <c r="L68" s="45"/>
      <c r="M68" s="200">
        <f t="shared" si="9"/>
        <v>274212371.28705001</v>
      </c>
      <c r="N68" s="45"/>
      <c r="O68" s="45">
        <f t="shared" si="10"/>
        <v>10669742.073426072</v>
      </c>
      <c r="P68" s="139"/>
      <c r="Q68" s="116">
        <f t="shared" si="11"/>
        <v>3.47</v>
      </c>
      <c r="S68" s="117">
        <v>25.7</v>
      </c>
      <c r="T68" s="32"/>
      <c r="U68" s="116">
        <v>3.83</v>
      </c>
      <c r="W68" s="145">
        <f t="shared" si="12"/>
        <v>11761943.73055</v>
      </c>
      <c r="Y68" s="144">
        <f t="shared" si="13"/>
        <v>-1092201.6571239289</v>
      </c>
    </row>
    <row r="69" spans="1:25" x14ac:dyDescent="0.2">
      <c r="A69" s="26"/>
      <c r="B69" s="139"/>
      <c r="C69" s="139"/>
      <c r="D69" s="139"/>
      <c r="E69" s="20"/>
      <c r="F69" s="20"/>
      <c r="G69" s="222"/>
      <c r="H69" s="139"/>
      <c r="I69" s="45"/>
      <c r="J69" s="139"/>
      <c r="K69" s="49"/>
      <c r="L69" s="34"/>
      <c r="M69" s="49"/>
      <c r="N69" s="34"/>
      <c r="O69" s="49"/>
      <c r="P69" s="139"/>
      <c r="Q69" s="26"/>
      <c r="R69" s="139"/>
      <c r="S69" s="62"/>
      <c r="T69" s="32"/>
      <c r="U69" s="26"/>
    </row>
    <row r="70" spans="1:25" ht="15.75" x14ac:dyDescent="0.25">
      <c r="A70" s="26"/>
      <c r="B70" s="139"/>
      <c r="C70" s="65" t="s">
        <v>28</v>
      </c>
      <c r="D70" s="139"/>
      <c r="E70" s="20"/>
      <c r="F70" s="20"/>
      <c r="G70" s="222"/>
      <c r="H70" s="139"/>
      <c r="I70" s="45">
        <f>SUM(I49:I69)</f>
        <v>2674446282.9600005</v>
      </c>
      <c r="J70" s="139"/>
      <c r="K70" s="45">
        <f>SUM(K49:K69)</f>
        <v>834637320</v>
      </c>
      <c r="L70" s="34"/>
      <c r="M70" s="45">
        <f>SUM(M49:M69)</f>
        <v>1912821346.4848082</v>
      </c>
      <c r="N70" s="34"/>
      <c r="O70" s="45">
        <f>SUM(O49:O69)</f>
        <v>72430626.187518299</v>
      </c>
      <c r="P70" s="139"/>
      <c r="Q70" s="116">
        <f>IF(O70/I70*100=0,"-     ",ROUND(O70/I70*100,2))</f>
        <v>2.71</v>
      </c>
      <c r="S70" s="117">
        <v>26.2</v>
      </c>
      <c r="T70" s="32"/>
      <c r="U70" s="242">
        <f>W70/I70</f>
        <v>3.0982198054808823E-2</v>
      </c>
      <c r="W70" s="45">
        <f>SUM(W49:W69)</f>
        <v>82860224.425614014</v>
      </c>
      <c r="Y70" s="45">
        <f>SUM(Y49:Y69)</f>
        <v>-10429598.238095703</v>
      </c>
    </row>
    <row r="71" spans="1:25" x14ac:dyDescent="0.2">
      <c r="A71" s="26"/>
      <c r="B71" s="139"/>
      <c r="C71" s="65"/>
      <c r="D71" s="139"/>
      <c r="E71" s="20"/>
      <c r="F71" s="20"/>
      <c r="G71" s="222"/>
      <c r="H71" s="139"/>
      <c r="I71" s="45"/>
      <c r="J71" s="139"/>
      <c r="K71" s="34"/>
      <c r="L71" s="34"/>
      <c r="M71" s="34"/>
      <c r="N71" s="34"/>
      <c r="O71" s="34"/>
      <c r="P71" s="139"/>
      <c r="Q71" s="26"/>
      <c r="R71" s="139"/>
      <c r="S71" s="62"/>
      <c r="T71" s="32"/>
      <c r="U71" s="26"/>
    </row>
    <row r="72" spans="1:25" x14ac:dyDescent="0.2">
      <c r="A72" s="26">
        <v>314</v>
      </c>
      <c r="B72" s="139"/>
      <c r="C72" s="139" t="s">
        <v>29</v>
      </c>
      <c r="D72" s="139"/>
      <c r="E72" s="56"/>
      <c r="F72" s="56"/>
      <c r="G72" s="224"/>
      <c r="H72" s="139"/>
      <c r="I72" s="45"/>
      <c r="J72" s="139"/>
      <c r="K72" s="34"/>
      <c r="L72" s="34"/>
      <c r="M72" s="34"/>
      <c r="N72" s="34"/>
      <c r="O72" s="34"/>
      <c r="P72" s="139"/>
      <c r="Q72" s="26"/>
      <c r="R72" s="139"/>
      <c r="S72" s="62"/>
      <c r="T72" s="32"/>
      <c r="U72" s="26"/>
    </row>
    <row r="73" spans="1:25" x14ac:dyDescent="0.2">
      <c r="A73" s="26"/>
      <c r="B73" s="139"/>
      <c r="C73" s="63" t="s">
        <v>93</v>
      </c>
      <c r="D73" s="139"/>
      <c r="E73" s="20" t="s">
        <v>192</v>
      </c>
      <c r="F73" s="20" t="s">
        <v>64</v>
      </c>
      <c r="G73" s="222">
        <f>'SKM Prod NS Weighting'!Q$13</f>
        <v>-1.95E-2</v>
      </c>
      <c r="H73" s="139"/>
      <c r="I73" s="45">
        <v>83994732.760000005</v>
      </c>
      <c r="J73" s="44"/>
      <c r="K73" s="45">
        <v>12471959</v>
      </c>
      <c r="L73" s="45"/>
      <c r="M73" s="200">
        <f t="shared" ref="M73:M84" si="14">+((1-G73)*I73)-K73</f>
        <v>73160671.048820019</v>
      </c>
      <c r="N73" s="45"/>
      <c r="O73" s="45">
        <f t="shared" ref="O73:O84" si="15">M73/S73</f>
        <v>1597394.5643847166</v>
      </c>
      <c r="P73" s="139"/>
      <c r="Q73" s="116">
        <f t="shared" ref="Q73:Q84" si="16">IF(O73/I73*100=0,"-     ",ROUND(O73/I73*100,2))</f>
        <v>1.9</v>
      </c>
      <c r="S73" s="117">
        <v>45.8</v>
      </c>
      <c r="T73" s="32"/>
      <c r="U73" s="116">
        <v>2.19</v>
      </c>
      <c r="W73" s="145">
        <f t="shared" ref="W73:W84" si="17">(I73/100)*U73</f>
        <v>1839484.6474440002</v>
      </c>
      <c r="Y73" s="144">
        <f t="shared" ref="Y73:Y84" si="18">O73-W73</f>
        <v>-242090.08305928367</v>
      </c>
    </row>
    <row r="74" spans="1:25" x14ac:dyDescent="0.2">
      <c r="A74" s="26"/>
      <c r="B74" s="139"/>
      <c r="C74" s="59" t="s">
        <v>96</v>
      </c>
      <c r="D74" s="139"/>
      <c r="E74" s="20" t="s">
        <v>192</v>
      </c>
      <c r="F74" s="20" t="s">
        <v>64</v>
      </c>
      <c r="G74" s="222">
        <f>'SKM Prod NS Weighting'!Q$13</f>
        <v>-1.95E-2</v>
      </c>
      <c r="H74" s="139"/>
      <c r="I74" s="45">
        <v>4805513.66</v>
      </c>
      <c r="J74" s="44"/>
      <c r="K74" s="45">
        <v>3825756</v>
      </c>
      <c r="L74" s="45"/>
      <c r="M74" s="200">
        <f t="shared" si="14"/>
        <v>1073465.1763700005</v>
      </c>
      <c r="N74" s="45"/>
      <c r="O74" s="45">
        <f t="shared" si="15"/>
        <v>275247.48112051294</v>
      </c>
      <c r="P74" s="139"/>
      <c r="Q74" s="116">
        <f t="shared" si="16"/>
        <v>5.73</v>
      </c>
      <c r="S74" s="117">
        <v>3.9</v>
      </c>
      <c r="T74" s="32"/>
      <c r="U74" s="116">
        <v>7.71</v>
      </c>
      <c r="W74" s="145">
        <f t="shared" si="17"/>
        <v>370505.10318599996</v>
      </c>
      <c r="Y74" s="144">
        <f t="shared" si="18"/>
        <v>-95257.622065487027</v>
      </c>
    </row>
    <row r="75" spans="1:25" x14ac:dyDescent="0.2">
      <c r="A75" s="26"/>
      <c r="B75" s="139"/>
      <c r="C75" s="59" t="s">
        <v>97</v>
      </c>
      <c r="D75" s="139"/>
      <c r="E75" s="20" t="s">
        <v>159</v>
      </c>
      <c r="F75" s="20" t="s">
        <v>64</v>
      </c>
      <c r="G75" s="222">
        <f>'SKM Prod NS Weighting'!Q$13</f>
        <v>-1.95E-2</v>
      </c>
      <c r="H75" s="139"/>
      <c r="I75" s="45">
        <v>68205.72</v>
      </c>
      <c r="J75" s="44"/>
      <c r="K75" s="45">
        <v>75026</v>
      </c>
      <c r="L75" s="45"/>
      <c r="M75" s="200">
        <f t="shared" si="14"/>
        <v>-5490.268459999992</v>
      </c>
      <c r="N75" s="45"/>
      <c r="O75" s="45">
        <v>0</v>
      </c>
      <c r="P75" s="139"/>
      <c r="Q75" s="116" t="str">
        <f t="shared" si="16"/>
        <v xml:space="preserve">-     </v>
      </c>
      <c r="S75" s="117" t="s">
        <v>297</v>
      </c>
      <c r="T75" s="32"/>
      <c r="U75" s="116" t="s">
        <v>297</v>
      </c>
      <c r="W75" s="145">
        <v>0</v>
      </c>
      <c r="Y75" s="144">
        <f t="shared" si="18"/>
        <v>0</v>
      </c>
    </row>
    <row r="76" spans="1:25" x14ac:dyDescent="0.2">
      <c r="A76" s="26"/>
      <c r="B76" s="139"/>
      <c r="C76" s="63" t="s">
        <v>98</v>
      </c>
      <c r="D76" s="139"/>
      <c r="E76" s="20" t="s">
        <v>192</v>
      </c>
      <c r="F76" s="20" t="s">
        <v>64</v>
      </c>
      <c r="G76" s="222">
        <f>'SKM Prod NS Weighting'!Q$13</f>
        <v>-1.95E-2</v>
      </c>
      <c r="H76" s="139"/>
      <c r="I76" s="45">
        <v>4562193.51</v>
      </c>
      <c r="J76" s="44"/>
      <c r="K76" s="45">
        <v>4064201</v>
      </c>
      <c r="L76" s="45"/>
      <c r="M76" s="200">
        <f t="shared" si="14"/>
        <v>586955.28344499972</v>
      </c>
      <c r="N76" s="45"/>
      <c r="O76" s="45">
        <f t="shared" si="15"/>
        <v>146738.82086124993</v>
      </c>
      <c r="P76" s="139"/>
      <c r="Q76" s="116">
        <f t="shared" si="16"/>
        <v>3.22</v>
      </c>
      <c r="S76" s="117">
        <v>4</v>
      </c>
      <c r="T76" s="32"/>
      <c r="U76" s="116">
        <v>5.29</v>
      </c>
      <c r="W76" s="145">
        <f t="shared" si="17"/>
        <v>241340.03667899998</v>
      </c>
      <c r="Y76" s="144">
        <f t="shared" si="18"/>
        <v>-94601.215817750053</v>
      </c>
    </row>
    <row r="77" spans="1:25" x14ac:dyDescent="0.2">
      <c r="A77" s="26"/>
      <c r="B77" s="139"/>
      <c r="C77" s="63" t="s">
        <v>99</v>
      </c>
      <c r="D77" s="139"/>
      <c r="E77" s="20" t="s">
        <v>192</v>
      </c>
      <c r="F77" s="20" t="s">
        <v>64</v>
      </c>
      <c r="G77" s="222">
        <f>'SKM Prod NS Weighting'!Q$13</f>
        <v>-1.95E-2</v>
      </c>
      <c r="H77" s="139"/>
      <c r="I77" s="45">
        <v>10390485.9</v>
      </c>
      <c r="J77" s="44"/>
      <c r="K77" s="45">
        <v>9545563</v>
      </c>
      <c r="L77" s="45"/>
      <c r="M77" s="200">
        <f t="shared" si="14"/>
        <v>1047537.3750500008</v>
      </c>
      <c r="N77" s="45"/>
      <c r="O77" s="45">
        <f t="shared" si="15"/>
        <v>261884.34376250021</v>
      </c>
      <c r="P77" s="139"/>
      <c r="Q77" s="116">
        <f t="shared" si="16"/>
        <v>2.52</v>
      </c>
      <c r="S77" s="117">
        <v>4</v>
      </c>
      <c r="T77" s="32"/>
      <c r="U77" s="116">
        <v>4.55</v>
      </c>
      <c r="W77" s="145">
        <f t="shared" si="17"/>
        <v>472767.10844999994</v>
      </c>
      <c r="Y77" s="144">
        <f t="shared" si="18"/>
        <v>-210882.76468749973</v>
      </c>
    </row>
    <row r="78" spans="1:25" x14ac:dyDescent="0.2">
      <c r="A78" s="26"/>
      <c r="B78" s="139"/>
      <c r="C78" s="63" t="s">
        <v>101</v>
      </c>
      <c r="D78" s="139"/>
      <c r="E78" s="20" t="s">
        <v>192</v>
      </c>
      <c r="F78" s="20" t="s">
        <v>64</v>
      </c>
      <c r="G78" s="222">
        <f>'SKM Prod NS Weighting'!Q$13</f>
        <v>-1.95E-2</v>
      </c>
      <c r="H78" s="139"/>
      <c r="I78" s="45">
        <v>7512824.9500000002</v>
      </c>
      <c r="J78" s="44"/>
      <c r="K78" s="45">
        <v>4893897</v>
      </c>
      <c r="L78" s="45"/>
      <c r="M78" s="200">
        <f t="shared" si="14"/>
        <v>2765428.0365250008</v>
      </c>
      <c r="N78" s="45"/>
      <c r="O78" s="45">
        <f t="shared" si="15"/>
        <v>172839.25228281255</v>
      </c>
      <c r="P78" s="139"/>
      <c r="Q78" s="116">
        <f t="shared" si="16"/>
        <v>2.2999999999999998</v>
      </c>
      <c r="S78" s="117">
        <v>16</v>
      </c>
      <c r="T78" s="32"/>
      <c r="U78" s="116">
        <v>2.87</v>
      </c>
      <c r="W78" s="145">
        <f t="shared" si="17"/>
        <v>215618.07606500003</v>
      </c>
      <c r="Y78" s="144">
        <f t="shared" si="18"/>
        <v>-42778.823782187479</v>
      </c>
    </row>
    <row r="79" spans="1:25" x14ac:dyDescent="0.2">
      <c r="A79" s="26"/>
      <c r="B79" s="139"/>
      <c r="C79" s="63" t="s">
        <v>102</v>
      </c>
      <c r="D79" s="139"/>
      <c r="E79" s="20" t="s">
        <v>192</v>
      </c>
      <c r="F79" s="20" t="s">
        <v>64</v>
      </c>
      <c r="G79" s="222">
        <f>'SKM Prod NS Weighting'!Q$13</f>
        <v>-1.95E-2</v>
      </c>
      <c r="H79" s="139"/>
      <c r="I79" s="45">
        <v>12299721.869999999</v>
      </c>
      <c r="J79" s="44"/>
      <c r="K79" s="45">
        <v>8687176</v>
      </c>
      <c r="L79" s="45"/>
      <c r="M79" s="200">
        <f t="shared" si="14"/>
        <v>3852390.4464650005</v>
      </c>
      <c r="N79" s="45"/>
      <c r="O79" s="45">
        <f t="shared" si="15"/>
        <v>177529.51366198159</v>
      </c>
      <c r="P79" s="139"/>
      <c r="Q79" s="116">
        <f t="shared" si="16"/>
        <v>1.44</v>
      </c>
      <c r="S79" s="117">
        <v>21.7</v>
      </c>
      <c r="T79" s="32"/>
      <c r="U79" s="116">
        <v>1.86</v>
      </c>
      <c r="W79" s="145">
        <f t="shared" si="17"/>
        <v>228774.82678200002</v>
      </c>
      <c r="Y79" s="144">
        <f t="shared" si="18"/>
        <v>-51245.313120018429</v>
      </c>
    </row>
    <row r="80" spans="1:25" x14ac:dyDescent="0.2">
      <c r="A80" s="26"/>
      <c r="B80" s="139"/>
      <c r="C80" s="63" t="s">
        <v>103</v>
      </c>
      <c r="D80" s="139"/>
      <c r="E80" s="20" t="s">
        <v>192</v>
      </c>
      <c r="F80" s="20" t="s">
        <v>64</v>
      </c>
      <c r="G80" s="222">
        <f>'SKM Prod NS Weighting'!Q$13</f>
        <v>-1.95E-2</v>
      </c>
      <c r="H80" s="139"/>
      <c r="I80" s="45">
        <v>29293398.16</v>
      </c>
      <c r="J80" s="44"/>
      <c r="K80" s="45">
        <v>20414202</v>
      </c>
      <c r="L80" s="45"/>
      <c r="M80" s="200">
        <f t="shared" si="14"/>
        <v>9450417.4241200015</v>
      </c>
      <c r="N80" s="45"/>
      <c r="O80" s="45">
        <f t="shared" si="15"/>
        <v>423785.5347139014</v>
      </c>
      <c r="P80" s="139"/>
      <c r="Q80" s="116">
        <f t="shared" si="16"/>
        <v>1.45</v>
      </c>
      <c r="S80" s="117">
        <v>22.3</v>
      </c>
      <c r="T80" s="32"/>
      <c r="U80" s="116">
        <v>1.86</v>
      </c>
      <c r="W80" s="145">
        <f t="shared" si="17"/>
        <v>544857.20577600005</v>
      </c>
      <c r="Y80" s="144">
        <f t="shared" si="18"/>
        <v>-121071.67106209864</v>
      </c>
    </row>
    <row r="81" spans="1:25" x14ac:dyDescent="0.2">
      <c r="A81" s="26"/>
      <c r="B81" s="139"/>
      <c r="C81" s="63" t="s">
        <v>106</v>
      </c>
      <c r="D81" s="139"/>
      <c r="E81" s="20" t="s">
        <v>192</v>
      </c>
      <c r="F81" s="20" t="s">
        <v>64</v>
      </c>
      <c r="G81" s="222">
        <f>'SKM Prod NS Weighting'!Q$13</f>
        <v>-1.95E-2</v>
      </c>
      <c r="H81" s="139"/>
      <c r="I81" s="45">
        <v>36687321.399999999</v>
      </c>
      <c r="J81" s="44"/>
      <c r="K81" s="45">
        <v>20194109</v>
      </c>
      <c r="L81" s="45"/>
      <c r="M81" s="200">
        <f t="shared" si="14"/>
        <v>17208615.167300001</v>
      </c>
      <c r="N81" s="45"/>
      <c r="O81" s="45">
        <f t="shared" si="15"/>
        <v>807916.20503755868</v>
      </c>
      <c r="P81" s="139"/>
      <c r="Q81" s="116">
        <f t="shared" si="16"/>
        <v>2.2000000000000002</v>
      </c>
      <c r="S81" s="117">
        <v>21.3</v>
      </c>
      <c r="T81" s="32"/>
      <c r="U81" s="116">
        <v>2.67</v>
      </c>
      <c r="W81" s="145">
        <f t="shared" si="17"/>
        <v>979551.4813799999</v>
      </c>
      <c r="Y81" s="144">
        <f t="shared" si="18"/>
        <v>-171635.27634244121</v>
      </c>
    </row>
    <row r="82" spans="1:25" x14ac:dyDescent="0.2">
      <c r="A82" s="26"/>
      <c r="B82" s="67"/>
      <c r="C82" s="63" t="s">
        <v>107</v>
      </c>
      <c r="D82" s="32"/>
      <c r="E82" s="20" t="s">
        <v>192</v>
      </c>
      <c r="F82" s="20" t="s">
        <v>64</v>
      </c>
      <c r="G82" s="222">
        <f>'SKM Prod NS Weighting'!Q$13</f>
        <v>-1.95E-2</v>
      </c>
      <c r="H82" s="32"/>
      <c r="I82" s="45">
        <v>30417591.789999999</v>
      </c>
      <c r="J82" s="44"/>
      <c r="K82" s="45">
        <v>20815737</v>
      </c>
      <c r="L82" s="45"/>
      <c r="M82" s="200">
        <f t="shared" si="14"/>
        <v>10194997.829905</v>
      </c>
      <c r="N82" s="45"/>
      <c r="O82" s="45">
        <f t="shared" si="15"/>
        <v>525515.35205695883</v>
      </c>
      <c r="P82" s="32"/>
      <c r="Q82" s="116">
        <f t="shared" si="16"/>
        <v>1.73</v>
      </c>
      <c r="S82" s="117">
        <v>19.399999999999999</v>
      </c>
      <c r="T82" s="32"/>
      <c r="U82" s="116">
        <v>2.2400000000000002</v>
      </c>
      <c r="W82" s="145">
        <f t="shared" si="17"/>
        <v>681354.05609600001</v>
      </c>
      <c r="Y82" s="144">
        <f t="shared" si="18"/>
        <v>-155838.70403904119</v>
      </c>
    </row>
    <row r="83" spans="1:25" x14ac:dyDescent="0.2">
      <c r="A83" s="26"/>
      <c r="B83" s="139"/>
      <c r="C83" s="63" t="s">
        <v>108</v>
      </c>
      <c r="D83" s="139"/>
      <c r="E83" s="20" t="s">
        <v>192</v>
      </c>
      <c r="F83" s="20" t="s">
        <v>64</v>
      </c>
      <c r="G83" s="222">
        <f>'SKM Prod NS Weighting'!Q$13</f>
        <v>-1.95E-2</v>
      </c>
      <c r="H83" s="139"/>
      <c r="I83" s="45">
        <v>42595556.799999997</v>
      </c>
      <c r="J83" s="44"/>
      <c r="K83" s="45">
        <v>28152257</v>
      </c>
      <c r="L83" s="45"/>
      <c r="M83" s="200">
        <f t="shared" si="14"/>
        <v>15273913.157600001</v>
      </c>
      <c r="N83" s="45"/>
      <c r="O83" s="45">
        <f t="shared" si="15"/>
        <v>694268.77989090909</v>
      </c>
      <c r="P83" s="139"/>
      <c r="Q83" s="116">
        <f t="shared" si="16"/>
        <v>1.63</v>
      </c>
      <c r="S83" s="117">
        <v>22</v>
      </c>
      <c r="T83" s="32"/>
      <c r="U83" s="116">
        <v>2.08</v>
      </c>
      <c r="W83" s="145">
        <f t="shared" si="17"/>
        <v>885987.58143999998</v>
      </c>
      <c r="Y83" s="144">
        <f t="shared" si="18"/>
        <v>-191718.80154909089</v>
      </c>
    </row>
    <row r="84" spans="1:25" x14ac:dyDescent="0.2">
      <c r="A84" s="26"/>
      <c r="B84" s="139"/>
      <c r="C84" s="63" t="s">
        <v>109</v>
      </c>
      <c r="D84" s="139"/>
      <c r="E84" s="20" t="s">
        <v>192</v>
      </c>
      <c r="F84" s="20" t="s">
        <v>64</v>
      </c>
      <c r="G84" s="222">
        <f>'SKM Prod NS Weighting'!Q$13</f>
        <v>-1.95E-2</v>
      </c>
      <c r="H84" s="139"/>
      <c r="I84" s="90">
        <v>57036973.140000001</v>
      </c>
      <c r="J84" s="44"/>
      <c r="K84" s="45">
        <v>32047642</v>
      </c>
      <c r="L84" s="45"/>
      <c r="M84" s="200">
        <f t="shared" si="14"/>
        <v>26101552.116230004</v>
      </c>
      <c r="N84" s="45"/>
      <c r="O84" s="45">
        <f t="shared" si="15"/>
        <v>1139805.7692676857</v>
      </c>
      <c r="P84" s="139"/>
      <c r="Q84" s="116">
        <f t="shared" si="16"/>
        <v>2</v>
      </c>
      <c r="S84" s="117">
        <v>22.9</v>
      </c>
      <c r="T84" s="32"/>
      <c r="U84" s="116">
        <v>2.4300000000000002</v>
      </c>
      <c r="W84" s="145">
        <f t="shared" si="17"/>
        <v>1385998.4473020001</v>
      </c>
      <c r="Y84" s="144">
        <f t="shared" si="18"/>
        <v>-246192.67803431442</v>
      </c>
    </row>
    <row r="85" spans="1:25" x14ac:dyDescent="0.2">
      <c r="A85" s="26"/>
      <c r="B85" s="139"/>
      <c r="C85" s="139"/>
      <c r="D85" s="139"/>
      <c r="E85" s="20"/>
      <c r="F85" s="20"/>
      <c r="G85" s="222"/>
      <c r="H85" s="139"/>
      <c r="I85" s="45"/>
      <c r="J85" s="139"/>
      <c r="K85" s="49"/>
      <c r="L85" s="34"/>
      <c r="M85" s="49"/>
      <c r="N85" s="34"/>
      <c r="O85" s="49"/>
      <c r="P85" s="139"/>
      <c r="Q85" s="26"/>
      <c r="R85" s="139"/>
      <c r="S85" s="62"/>
      <c r="T85" s="32"/>
      <c r="U85" s="26"/>
    </row>
    <row r="86" spans="1:25" ht="15.75" x14ac:dyDescent="0.25">
      <c r="A86" s="26"/>
      <c r="B86" s="139"/>
      <c r="C86" s="65" t="s">
        <v>30</v>
      </c>
      <c r="D86" s="139"/>
      <c r="E86" s="20"/>
      <c r="F86" s="20"/>
      <c r="G86" s="222"/>
      <c r="H86" s="139"/>
      <c r="I86" s="45">
        <f>SUM(I73:I85)</f>
        <v>319664519.66000003</v>
      </c>
      <c r="J86" s="139"/>
      <c r="K86" s="45">
        <f>SUM(K73:K85)</f>
        <v>165187525</v>
      </c>
      <c r="L86" s="34"/>
      <c r="M86" s="45">
        <f>SUM(M73:M85)</f>
        <v>160710452.79337004</v>
      </c>
      <c r="N86" s="34"/>
      <c r="O86" s="45">
        <f>SUM(O73:O85)</f>
        <v>6222925.6170407878</v>
      </c>
      <c r="P86" s="139"/>
      <c r="Q86" s="116">
        <f>IF(O86/I86*100=0,"-     ",ROUND(O86/I86*100,2))</f>
        <v>1.95</v>
      </c>
      <c r="S86" s="117">
        <v>24.8</v>
      </c>
      <c r="T86" s="32"/>
      <c r="U86" s="242">
        <f>W86/I86</f>
        <v>2.4545228162779459E-2</v>
      </c>
      <c r="W86" s="45">
        <f>SUM(W73:W85)</f>
        <v>7846238.5706000011</v>
      </c>
      <c r="Y86" s="45">
        <f>SUM(Y73:Y85)</f>
        <v>-1623312.9535592129</v>
      </c>
    </row>
    <row r="87" spans="1:25" x14ac:dyDescent="0.2">
      <c r="A87" s="26"/>
      <c r="B87" s="139"/>
      <c r="C87" s="139"/>
      <c r="D87" s="139"/>
      <c r="E87" s="20"/>
      <c r="F87" s="20"/>
      <c r="G87" s="222"/>
      <c r="H87" s="139"/>
      <c r="I87" s="45"/>
      <c r="J87" s="139"/>
      <c r="K87" s="34"/>
      <c r="L87" s="34"/>
      <c r="M87" s="34"/>
      <c r="N87" s="34"/>
      <c r="O87" s="34"/>
      <c r="P87" s="139"/>
      <c r="Q87" s="26"/>
      <c r="R87" s="139"/>
      <c r="S87" s="62"/>
      <c r="T87" s="32"/>
      <c r="U87" s="26"/>
    </row>
    <row r="88" spans="1:25" x14ac:dyDescent="0.2">
      <c r="A88" s="26">
        <v>315</v>
      </c>
      <c r="B88" s="139"/>
      <c r="C88" s="139" t="s">
        <v>31</v>
      </c>
      <c r="D88" s="139"/>
      <c r="E88" s="56"/>
      <c r="F88" s="56"/>
      <c r="G88" s="224"/>
      <c r="H88" s="139"/>
      <c r="I88" s="45"/>
      <c r="J88" s="139"/>
      <c r="K88" s="34"/>
      <c r="L88" s="34"/>
      <c r="M88" s="34"/>
      <c r="N88" s="34"/>
      <c r="O88" s="34"/>
      <c r="P88" s="139"/>
      <c r="Q88" s="26"/>
      <c r="R88" s="139"/>
      <c r="S88" s="62"/>
      <c r="T88" s="32"/>
      <c r="U88" s="26"/>
    </row>
    <row r="89" spans="1:25" x14ac:dyDescent="0.2">
      <c r="A89" s="26"/>
      <c r="B89" s="139"/>
      <c r="C89" s="59" t="s">
        <v>93</v>
      </c>
      <c r="D89" s="139"/>
      <c r="E89" s="56" t="s">
        <v>135</v>
      </c>
      <c r="F89" s="56" t="s">
        <v>64</v>
      </c>
      <c r="G89" s="222">
        <f>'SKM Prod NS Weighting'!Q$14</f>
        <v>-5.1999999999999998E-3</v>
      </c>
      <c r="H89" s="139"/>
      <c r="I89" s="45">
        <v>41600356.799999997</v>
      </c>
      <c r="J89" s="139"/>
      <c r="K89" s="34">
        <v>4958709</v>
      </c>
      <c r="L89" s="34"/>
      <c r="M89" s="200">
        <f t="shared" ref="M89:M106" si="19">+((1-G89)*I89)-K89</f>
        <v>36857969.655359998</v>
      </c>
      <c r="N89" s="34"/>
      <c r="O89" s="45">
        <f t="shared" ref="O89:O106" si="20">M89/S89</f>
        <v>718478.94065029244</v>
      </c>
      <c r="P89" s="139"/>
      <c r="Q89" s="116">
        <f t="shared" ref="Q89:Q106" si="21">IF(O89/I89*100=0,"-     ",ROUND(O89/I89*100,2))</f>
        <v>1.73</v>
      </c>
      <c r="S89" s="117">
        <v>51.3</v>
      </c>
      <c r="T89" s="32"/>
      <c r="U89" s="116">
        <v>2.0099999999999998</v>
      </c>
      <c r="W89" s="145">
        <f t="shared" ref="W89:W106" si="22">(I89/100)*U89</f>
        <v>836167.1716799998</v>
      </c>
      <c r="Y89" s="144">
        <f t="shared" ref="Y89:Y106" si="23">O89-W89</f>
        <v>-117688.23102970736</v>
      </c>
    </row>
    <row r="90" spans="1:25" x14ac:dyDescent="0.2">
      <c r="A90" s="26"/>
      <c r="B90" s="139"/>
      <c r="C90" s="59" t="s">
        <v>94</v>
      </c>
      <c r="D90" s="139"/>
      <c r="E90" s="56" t="s">
        <v>135</v>
      </c>
      <c r="F90" s="56" t="s">
        <v>64</v>
      </c>
      <c r="G90" s="222">
        <f>'SKM Prod NS Weighting'!Q$14</f>
        <v>-5.1999999999999998E-3</v>
      </c>
      <c r="H90" s="139"/>
      <c r="I90" s="45">
        <v>1415469.1</v>
      </c>
      <c r="J90" s="139"/>
      <c r="K90" s="34">
        <v>653351</v>
      </c>
      <c r="L90" s="34"/>
      <c r="M90" s="200">
        <f t="shared" si="19"/>
        <v>769478.53932000021</v>
      </c>
      <c r="N90" s="34"/>
      <c r="O90" s="45">
        <f t="shared" si="20"/>
        <v>17409.016726696835</v>
      </c>
      <c r="P90" s="139"/>
      <c r="Q90" s="116">
        <f t="shared" si="21"/>
        <v>1.23</v>
      </c>
      <c r="S90" s="117">
        <v>44.2</v>
      </c>
      <c r="T90" s="32"/>
      <c r="U90" s="116">
        <v>1.56</v>
      </c>
      <c r="W90" s="145">
        <f t="shared" si="22"/>
        <v>22081.31796</v>
      </c>
      <c r="Y90" s="144">
        <f t="shared" si="23"/>
        <v>-4672.3012333031656</v>
      </c>
    </row>
    <row r="91" spans="1:25" x14ac:dyDescent="0.2">
      <c r="A91" s="26"/>
      <c r="B91" s="139"/>
      <c r="C91" s="59" t="s">
        <v>96</v>
      </c>
      <c r="D91" s="139"/>
      <c r="E91" s="56" t="s">
        <v>135</v>
      </c>
      <c r="F91" s="56" t="s">
        <v>64</v>
      </c>
      <c r="G91" s="222">
        <f>'SKM Prod NS Weighting'!Q$14</f>
        <v>-5.1999999999999998E-3</v>
      </c>
      <c r="H91" s="139"/>
      <c r="I91" s="45">
        <v>2081692.71</v>
      </c>
      <c r="J91" s="139"/>
      <c r="K91" s="34">
        <v>1087407</v>
      </c>
      <c r="L91" s="34"/>
      <c r="M91" s="200">
        <f t="shared" si="19"/>
        <v>1005110.5120920001</v>
      </c>
      <c r="N91" s="34"/>
      <c r="O91" s="45">
        <f t="shared" si="20"/>
        <v>257720.64412615387</v>
      </c>
      <c r="P91" s="139"/>
      <c r="Q91" s="116">
        <f t="shared" si="21"/>
        <v>12.38</v>
      </c>
      <c r="S91" s="117">
        <v>3.9</v>
      </c>
      <c r="T91" s="32"/>
      <c r="U91" s="116">
        <v>14.65</v>
      </c>
      <c r="W91" s="145">
        <f t="shared" si="22"/>
        <v>304967.98201500002</v>
      </c>
      <c r="Y91" s="144">
        <f t="shared" si="23"/>
        <v>-47247.337888846145</v>
      </c>
    </row>
    <row r="92" spans="1:25" x14ac:dyDescent="0.2">
      <c r="A92" s="26"/>
      <c r="B92" s="139"/>
      <c r="C92" s="59" t="s">
        <v>97</v>
      </c>
      <c r="D92" s="139"/>
      <c r="E92" s="20" t="s">
        <v>159</v>
      </c>
      <c r="F92" s="56" t="s">
        <v>64</v>
      </c>
      <c r="G92" s="222">
        <f>'SKM Prod NS Weighting'!Q$14</f>
        <v>-5.1999999999999998E-3</v>
      </c>
      <c r="H92" s="139"/>
      <c r="I92" s="45">
        <v>99210.72</v>
      </c>
      <c r="J92" s="139"/>
      <c r="K92" s="34">
        <v>109132</v>
      </c>
      <c r="L92" s="34"/>
      <c r="M92" s="200">
        <f t="shared" si="19"/>
        <v>-9405.3842559999903</v>
      </c>
      <c r="N92" s="34"/>
      <c r="O92" s="45">
        <v>0</v>
      </c>
      <c r="P92" s="139"/>
      <c r="Q92" s="116" t="str">
        <f t="shared" si="21"/>
        <v xml:space="preserve">-     </v>
      </c>
      <c r="S92" s="117" t="s">
        <v>297</v>
      </c>
      <c r="T92" s="32"/>
      <c r="U92" s="116" t="s">
        <v>297</v>
      </c>
      <c r="W92" s="145">
        <v>0</v>
      </c>
      <c r="Y92" s="144">
        <f t="shared" si="23"/>
        <v>0</v>
      </c>
    </row>
    <row r="93" spans="1:25" x14ac:dyDescent="0.2">
      <c r="A93" s="26"/>
      <c r="B93" s="139"/>
      <c r="C93" s="63" t="s">
        <v>98</v>
      </c>
      <c r="D93" s="139"/>
      <c r="E93" s="56" t="s">
        <v>135</v>
      </c>
      <c r="F93" s="56" t="s">
        <v>64</v>
      </c>
      <c r="G93" s="222">
        <f>'SKM Prod NS Weighting'!Q$14</f>
        <v>-5.1999999999999998E-3</v>
      </c>
      <c r="H93" s="139"/>
      <c r="I93" s="45">
        <v>1205362.18</v>
      </c>
      <c r="J93" s="139"/>
      <c r="K93" s="34">
        <v>554397</v>
      </c>
      <c r="L93" s="34"/>
      <c r="M93" s="200">
        <f t="shared" si="19"/>
        <v>657233.06333600008</v>
      </c>
      <c r="N93" s="34"/>
      <c r="O93" s="45">
        <f t="shared" si="20"/>
        <v>164308.26583400002</v>
      </c>
      <c r="P93" s="139"/>
      <c r="Q93" s="116">
        <f t="shared" si="21"/>
        <v>13.63</v>
      </c>
      <c r="S93" s="117">
        <v>4</v>
      </c>
      <c r="T93" s="32"/>
      <c r="U93" s="116">
        <v>16.16</v>
      </c>
      <c r="W93" s="145">
        <f t="shared" si="22"/>
        <v>194786.52828799997</v>
      </c>
      <c r="Y93" s="144">
        <f t="shared" si="23"/>
        <v>-30478.262453999952</v>
      </c>
    </row>
    <row r="94" spans="1:25" x14ac:dyDescent="0.2">
      <c r="A94" s="26"/>
      <c r="B94" s="139"/>
      <c r="C94" s="63" t="s">
        <v>99</v>
      </c>
      <c r="D94" s="139"/>
      <c r="E94" s="20" t="s">
        <v>135</v>
      </c>
      <c r="F94" s="20" t="s">
        <v>64</v>
      </c>
      <c r="G94" s="222">
        <f>'SKM Prod NS Weighting'!Q$14</f>
        <v>-5.1999999999999998E-3</v>
      </c>
      <c r="H94" s="139"/>
      <c r="I94" s="45">
        <v>2695328.66</v>
      </c>
      <c r="J94" s="44"/>
      <c r="K94" s="45">
        <v>1846556</v>
      </c>
      <c r="L94" s="45"/>
      <c r="M94" s="200">
        <f t="shared" si="19"/>
        <v>862788.36903200019</v>
      </c>
      <c r="N94" s="45"/>
      <c r="O94" s="45">
        <f t="shared" si="20"/>
        <v>221227.78693128211</v>
      </c>
      <c r="P94" s="139"/>
      <c r="Q94" s="116">
        <f t="shared" si="21"/>
        <v>8.2100000000000009</v>
      </c>
      <c r="S94" s="117">
        <v>3.9</v>
      </c>
      <c r="T94" s="32"/>
      <c r="U94" s="116">
        <v>10.53</v>
      </c>
      <c r="W94" s="145">
        <f t="shared" si="22"/>
        <v>283818.10789799999</v>
      </c>
      <c r="Y94" s="144">
        <f t="shared" si="23"/>
        <v>-62590.320966717874</v>
      </c>
    </row>
    <row r="95" spans="1:25" x14ac:dyDescent="0.2">
      <c r="A95" s="26"/>
      <c r="B95" s="139"/>
      <c r="C95" s="63" t="s">
        <v>101</v>
      </c>
      <c r="D95" s="139"/>
      <c r="E95" s="20" t="s">
        <v>135</v>
      </c>
      <c r="F95" s="20" t="s">
        <v>64</v>
      </c>
      <c r="G95" s="222">
        <f>'SKM Prod NS Weighting'!Q$14</f>
        <v>-5.1999999999999998E-3</v>
      </c>
      <c r="H95" s="139"/>
      <c r="I95" s="45">
        <v>3859109.33</v>
      </c>
      <c r="J95" s="44"/>
      <c r="K95" s="45">
        <v>3259464</v>
      </c>
      <c r="L95" s="45"/>
      <c r="M95" s="200">
        <f t="shared" si="19"/>
        <v>619712.69851600053</v>
      </c>
      <c r="N95" s="45"/>
      <c r="O95" s="45">
        <f t="shared" si="20"/>
        <v>37558.345364606095</v>
      </c>
      <c r="P95" s="139"/>
      <c r="Q95" s="116">
        <f t="shared" si="21"/>
        <v>0.97</v>
      </c>
      <c r="S95" s="117">
        <v>16.5</v>
      </c>
      <c r="T95" s="32"/>
      <c r="U95" s="116">
        <v>1.61</v>
      </c>
      <c r="W95" s="145">
        <f t="shared" si="22"/>
        <v>62131.660213000003</v>
      </c>
      <c r="Y95" s="144">
        <f t="shared" si="23"/>
        <v>-24573.314848393908</v>
      </c>
    </row>
    <row r="96" spans="1:25" x14ac:dyDescent="0.2">
      <c r="A96" s="26"/>
      <c r="B96" s="139"/>
      <c r="C96" s="63" t="s">
        <v>102</v>
      </c>
      <c r="D96" s="139"/>
      <c r="E96" s="20" t="s">
        <v>135</v>
      </c>
      <c r="F96" s="20" t="s">
        <v>64</v>
      </c>
      <c r="G96" s="222">
        <f>'SKM Prod NS Weighting'!Q$14</f>
        <v>-5.1999999999999998E-3</v>
      </c>
      <c r="H96" s="139"/>
      <c r="I96" s="45">
        <v>2165576.9900000002</v>
      </c>
      <c r="J96" s="44"/>
      <c r="K96" s="45">
        <v>1331430</v>
      </c>
      <c r="L96" s="45"/>
      <c r="M96" s="200">
        <f t="shared" si="19"/>
        <v>845407.99034800055</v>
      </c>
      <c r="N96" s="45"/>
      <c r="O96" s="45">
        <f t="shared" si="20"/>
        <v>37573.688459911136</v>
      </c>
      <c r="P96" s="139"/>
      <c r="Q96" s="116">
        <f t="shared" si="21"/>
        <v>1.74</v>
      </c>
      <c r="S96" s="117">
        <v>22.5</v>
      </c>
      <c r="T96" s="32"/>
      <c r="U96" s="116">
        <v>2.2000000000000002</v>
      </c>
      <c r="W96" s="145">
        <f t="shared" si="22"/>
        <v>47642.693780000009</v>
      </c>
      <c r="Y96" s="144">
        <f t="shared" si="23"/>
        <v>-10069.005320088872</v>
      </c>
    </row>
    <row r="97" spans="1:25" x14ac:dyDescent="0.2">
      <c r="A97" s="26"/>
      <c r="B97" s="139"/>
      <c r="C97" s="63" t="s">
        <v>103</v>
      </c>
      <c r="D97" s="139"/>
      <c r="E97" s="20" t="s">
        <v>135</v>
      </c>
      <c r="F97" s="20" t="s">
        <v>64</v>
      </c>
      <c r="G97" s="222">
        <f>'SKM Prod NS Weighting'!Q$14</f>
        <v>-5.1999999999999998E-3</v>
      </c>
      <c r="H97" s="139"/>
      <c r="I97" s="45">
        <v>8597465.8800000008</v>
      </c>
      <c r="J97" s="44"/>
      <c r="K97" s="45">
        <v>6533915</v>
      </c>
      <c r="L97" s="45"/>
      <c r="M97" s="200">
        <f t="shared" si="19"/>
        <v>2108257.7025760021</v>
      </c>
      <c r="N97" s="45"/>
      <c r="O97" s="45">
        <f t="shared" si="20"/>
        <v>89713.093726638384</v>
      </c>
      <c r="P97" s="139"/>
      <c r="Q97" s="116">
        <f t="shared" si="21"/>
        <v>1.04</v>
      </c>
      <c r="S97" s="117">
        <v>23.5</v>
      </c>
      <c r="T97" s="32"/>
      <c r="U97" s="116">
        <v>1.49</v>
      </c>
      <c r="W97" s="145">
        <f t="shared" si="22"/>
        <v>128102.24161200001</v>
      </c>
      <c r="Y97" s="144">
        <f t="shared" si="23"/>
        <v>-38389.147885361628</v>
      </c>
    </row>
    <row r="98" spans="1:25" x14ac:dyDescent="0.2">
      <c r="A98" s="26"/>
      <c r="B98" s="139"/>
      <c r="C98" s="63" t="s">
        <v>186</v>
      </c>
      <c r="D98" s="139"/>
      <c r="E98" s="20" t="s">
        <v>135</v>
      </c>
      <c r="F98" s="20" t="s">
        <v>64</v>
      </c>
      <c r="G98" s="222">
        <f>'SKM Prod NS Weighting'!Q$14</f>
        <v>-5.1999999999999998E-3</v>
      </c>
      <c r="H98" s="139"/>
      <c r="I98" s="45">
        <v>29503821.449999999</v>
      </c>
      <c r="J98" s="44"/>
      <c r="K98" s="45">
        <v>1205108</v>
      </c>
      <c r="L98" s="45"/>
      <c r="M98" s="200">
        <f t="shared" si="19"/>
        <v>28452133.321540002</v>
      </c>
      <c r="N98" s="45"/>
      <c r="O98" s="45">
        <f t="shared" si="20"/>
        <v>1210729.0775123404</v>
      </c>
      <c r="P98" s="139"/>
      <c r="Q98" s="116">
        <f t="shared" si="21"/>
        <v>4.0999999999999996</v>
      </c>
      <c r="S98" s="117">
        <v>23.5</v>
      </c>
      <c r="T98" s="32"/>
      <c r="U98" s="116">
        <v>4.55</v>
      </c>
      <c r="W98" s="145">
        <f t="shared" si="22"/>
        <v>1342423.875975</v>
      </c>
      <c r="Y98" s="144">
        <f t="shared" si="23"/>
        <v>-131694.79846265959</v>
      </c>
    </row>
    <row r="99" spans="1:25" x14ac:dyDescent="0.2">
      <c r="A99" s="26"/>
      <c r="B99" s="139"/>
      <c r="C99" s="63" t="s">
        <v>105</v>
      </c>
      <c r="D99" s="139"/>
      <c r="E99" s="20" t="s">
        <v>135</v>
      </c>
      <c r="F99" s="20" t="s">
        <v>64</v>
      </c>
      <c r="G99" s="222">
        <f>'SKM Prod NS Weighting'!Q$14</f>
        <v>-5.1999999999999998E-3</v>
      </c>
      <c r="H99" s="139"/>
      <c r="I99" s="45">
        <v>13292784.699999999</v>
      </c>
      <c r="J99" s="44"/>
      <c r="K99" s="45">
        <v>3266572</v>
      </c>
      <c r="L99" s="45"/>
      <c r="M99" s="200">
        <f t="shared" si="19"/>
        <v>10095335.180440001</v>
      </c>
      <c r="N99" s="45"/>
      <c r="O99" s="45">
        <f t="shared" si="20"/>
        <v>448681.56357511115</v>
      </c>
      <c r="P99" s="139"/>
      <c r="Q99" s="116">
        <f t="shared" si="21"/>
        <v>3.38</v>
      </c>
      <c r="S99" s="117">
        <v>22.5</v>
      </c>
      <c r="T99" s="32"/>
      <c r="U99" s="116">
        <v>3.89</v>
      </c>
      <c r="W99" s="145">
        <f t="shared" si="22"/>
        <v>517089.32482999994</v>
      </c>
      <c r="Y99" s="144">
        <f t="shared" si="23"/>
        <v>-68407.761254888785</v>
      </c>
    </row>
    <row r="100" spans="1:25" x14ac:dyDescent="0.2">
      <c r="A100" s="26"/>
      <c r="B100" s="139"/>
      <c r="C100" s="63" t="s">
        <v>106</v>
      </c>
      <c r="D100" s="139"/>
      <c r="E100" s="20" t="s">
        <v>135</v>
      </c>
      <c r="F100" s="20" t="s">
        <v>64</v>
      </c>
      <c r="G100" s="222">
        <f>'SKM Prod NS Weighting'!Q$14</f>
        <v>-5.1999999999999998E-3</v>
      </c>
      <c r="H100" s="139"/>
      <c r="I100" s="45">
        <v>8872543.2599999998</v>
      </c>
      <c r="J100" s="44"/>
      <c r="K100" s="45">
        <v>8274863</v>
      </c>
      <c r="L100" s="45"/>
      <c r="M100" s="200">
        <f t="shared" si="19"/>
        <v>643817.4849520009</v>
      </c>
      <c r="N100" s="45"/>
      <c r="O100" s="45">
        <f t="shared" si="20"/>
        <v>29944.999300093066</v>
      </c>
      <c r="P100" s="139"/>
      <c r="Q100" s="116">
        <f t="shared" si="21"/>
        <v>0.34</v>
      </c>
      <c r="S100" s="117">
        <v>21.5</v>
      </c>
      <c r="T100" s="32"/>
      <c r="U100" s="116">
        <v>0.87</v>
      </c>
      <c r="W100" s="145">
        <f t="shared" si="22"/>
        <v>77191.126361999995</v>
      </c>
      <c r="Y100" s="144">
        <f t="shared" si="23"/>
        <v>-47246.127061906926</v>
      </c>
    </row>
    <row r="101" spans="1:25" x14ac:dyDescent="0.2">
      <c r="A101" s="26"/>
      <c r="B101" s="139"/>
      <c r="C101" s="63" t="s">
        <v>107</v>
      </c>
      <c r="D101" s="139"/>
      <c r="E101" s="20" t="s">
        <v>135</v>
      </c>
      <c r="F101" s="20" t="s">
        <v>64</v>
      </c>
      <c r="G101" s="222">
        <f>'SKM Prod NS Weighting'!Q$14</f>
        <v>-5.1999999999999998E-3</v>
      </c>
      <c r="H101" s="139"/>
      <c r="I101" s="45">
        <v>13858388.529999999</v>
      </c>
      <c r="J101" s="44"/>
      <c r="K101" s="45">
        <v>10602781</v>
      </c>
      <c r="L101" s="45"/>
      <c r="M101" s="200">
        <f t="shared" si="19"/>
        <v>3327671.1503560003</v>
      </c>
      <c r="N101" s="45"/>
      <c r="O101" s="45">
        <f t="shared" si="20"/>
        <v>155498.65188579442</v>
      </c>
      <c r="P101" s="139"/>
      <c r="Q101" s="116">
        <f t="shared" si="21"/>
        <v>1.1200000000000001</v>
      </c>
      <c r="S101" s="117">
        <v>21.4</v>
      </c>
      <c r="T101" s="32"/>
      <c r="U101" s="116">
        <v>1.65</v>
      </c>
      <c r="W101" s="145">
        <f t="shared" si="22"/>
        <v>228663.41074499997</v>
      </c>
      <c r="Y101" s="144">
        <f t="shared" si="23"/>
        <v>-73164.758859205554</v>
      </c>
    </row>
    <row r="102" spans="1:25" x14ac:dyDescent="0.2">
      <c r="A102" s="26"/>
      <c r="B102" s="139"/>
      <c r="C102" s="63" t="s">
        <v>108</v>
      </c>
      <c r="D102" s="139"/>
      <c r="E102" s="20" t="s">
        <v>135</v>
      </c>
      <c r="F102" s="20" t="s">
        <v>64</v>
      </c>
      <c r="G102" s="222">
        <f>'SKM Prod NS Weighting'!Q$14</f>
        <v>-5.1999999999999998E-3</v>
      </c>
      <c r="H102" s="139"/>
      <c r="I102" s="45">
        <v>30932405.420000002</v>
      </c>
      <c r="J102" s="44"/>
      <c r="K102" s="45">
        <v>22826297</v>
      </c>
      <c r="L102" s="45"/>
      <c r="M102" s="200">
        <f t="shared" si="19"/>
        <v>8266956.9281840064</v>
      </c>
      <c r="N102" s="45"/>
      <c r="O102" s="45">
        <f t="shared" si="20"/>
        <v>343027.25843087159</v>
      </c>
      <c r="P102" s="139"/>
      <c r="Q102" s="116">
        <f t="shared" si="21"/>
        <v>1.1100000000000001</v>
      </c>
      <c r="S102" s="117">
        <v>24.1</v>
      </c>
      <c r="T102" s="32"/>
      <c r="U102" s="116">
        <v>1.59</v>
      </c>
      <c r="W102" s="145">
        <f t="shared" si="22"/>
        <v>491825.24617800006</v>
      </c>
      <c r="Y102" s="144">
        <f t="shared" si="23"/>
        <v>-148797.98774712847</v>
      </c>
    </row>
    <row r="103" spans="1:25" x14ac:dyDescent="0.2">
      <c r="A103" s="26"/>
      <c r="B103" s="139"/>
      <c r="C103" s="63" t="s">
        <v>109</v>
      </c>
      <c r="D103" s="139"/>
      <c r="E103" s="20" t="s">
        <v>135</v>
      </c>
      <c r="F103" s="20" t="s">
        <v>64</v>
      </c>
      <c r="G103" s="222">
        <f>'SKM Prod NS Weighting'!Q$14</f>
        <v>-5.1999999999999998E-3</v>
      </c>
      <c r="H103" s="139"/>
      <c r="I103" s="45">
        <v>24412796.920000002</v>
      </c>
      <c r="J103" s="44"/>
      <c r="K103" s="45">
        <v>16503145</v>
      </c>
      <c r="L103" s="45"/>
      <c r="M103" s="200">
        <f t="shared" si="19"/>
        <v>8036598.4639840052</v>
      </c>
      <c r="N103" s="45"/>
      <c r="O103" s="45">
        <f t="shared" si="20"/>
        <v>318912.63745968277</v>
      </c>
      <c r="P103" s="139"/>
      <c r="Q103" s="116">
        <f t="shared" si="21"/>
        <v>1.31</v>
      </c>
      <c r="S103" s="117">
        <v>25.2</v>
      </c>
      <c r="T103" s="32"/>
      <c r="U103" s="116">
        <v>1.76</v>
      </c>
      <c r="W103" s="145">
        <f t="shared" si="22"/>
        <v>429665.22579200001</v>
      </c>
      <c r="Y103" s="144">
        <f t="shared" si="23"/>
        <v>-110752.58833231725</v>
      </c>
    </row>
    <row r="104" spans="1:25" x14ac:dyDescent="0.2">
      <c r="A104" s="26"/>
      <c r="B104" s="139"/>
      <c r="C104" s="63" t="s">
        <v>110</v>
      </c>
      <c r="D104" s="139"/>
      <c r="E104" s="20" t="s">
        <v>135</v>
      </c>
      <c r="F104" s="20" t="s">
        <v>64</v>
      </c>
      <c r="G104" s="222">
        <f>'SKM Prod NS Weighting'!Q$14</f>
        <v>-5.1999999999999998E-3</v>
      </c>
      <c r="H104" s="139"/>
      <c r="I104" s="45">
        <v>1155753.06</v>
      </c>
      <c r="J104" s="44"/>
      <c r="K104" s="45">
        <v>73909</v>
      </c>
      <c r="L104" s="45"/>
      <c r="M104" s="200">
        <f t="shared" si="19"/>
        <v>1087853.9759120001</v>
      </c>
      <c r="N104" s="45"/>
      <c r="O104" s="45">
        <f t="shared" si="20"/>
        <v>48349.065596088891</v>
      </c>
      <c r="P104" s="139"/>
      <c r="Q104" s="116">
        <f t="shared" si="21"/>
        <v>4.18</v>
      </c>
      <c r="S104" s="117">
        <v>22.5</v>
      </c>
      <c r="T104" s="32"/>
      <c r="U104" s="116">
        <v>4.7</v>
      </c>
      <c r="W104" s="145">
        <f t="shared" si="22"/>
        <v>54320.393820000005</v>
      </c>
      <c r="Y104" s="144">
        <f t="shared" si="23"/>
        <v>-5971.328223911114</v>
      </c>
    </row>
    <row r="105" spans="1:25" x14ac:dyDescent="0.2">
      <c r="A105" s="26"/>
      <c r="B105" s="139"/>
      <c r="C105" s="63" t="s">
        <v>111</v>
      </c>
      <c r="D105" s="139"/>
      <c r="E105" s="20" t="s">
        <v>135</v>
      </c>
      <c r="F105" s="20" t="s">
        <v>64</v>
      </c>
      <c r="G105" s="222">
        <f>'SKM Prod NS Weighting'!Q$14</f>
        <v>-5.1999999999999998E-3</v>
      </c>
      <c r="H105" s="139"/>
      <c r="I105" s="45">
        <v>12041998.279999999</v>
      </c>
      <c r="J105" s="44"/>
      <c r="K105" s="45">
        <v>1992181</v>
      </c>
      <c r="L105" s="45"/>
      <c r="M105" s="200">
        <f t="shared" si="19"/>
        <v>10112435.671056001</v>
      </c>
      <c r="N105" s="45"/>
      <c r="O105" s="45">
        <f t="shared" si="20"/>
        <v>396566.10474729416</v>
      </c>
      <c r="P105" s="139"/>
      <c r="Q105" s="116">
        <f t="shared" si="21"/>
        <v>3.29</v>
      </c>
      <c r="S105" s="117">
        <v>25.5</v>
      </c>
      <c r="T105" s="32"/>
      <c r="U105" s="116">
        <v>3.75</v>
      </c>
      <c r="W105" s="145">
        <f t="shared" si="22"/>
        <v>451574.93550000002</v>
      </c>
      <c r="Y105" s="144">
        <f t="shared" si="23"/>
        <v>-55008.830752705864</v>
      </c>
    </row>
    <row r="106" spans="1:25" x14ac:dyDescent="0.2">
      <c r="A106" s="26"/>
      <c r="B106" s="139"/>
      <c r="C106" s="63" t="s">
        <v>112</v>
      </c>
      <c r="D106" s="139"/>
      <c r="E106" s="20" t="s">
        <v>135</v>
      </c>
      <c r="F106" s="20" t="s">
        <v>64</v>
      </c>
      <c r="G106" s="222">
        <f>'SKM Prod NS Weighting'!Q$14</f>
        <v>-5.1999999999999998E-3</v>
      </c>
      <c r="H106" s="139"/>
      <c r="I106" s="90">
        <v>3844595.46</v>
      </c>
      <c r="J106" s="44"/>
      <c r="K106" s="45">
        <v>381019</v>
      </c>
      <c r="L106" s="45"/>
      <c r="M106" s="200">
        <f t="shared" si="19"/>
        <v>3483568.3563920003</v>
      </c>
      <c r="N106" s="45"/>
      <c r="O106" s="45">
        <f t="shared" si="20"/>
        <v>131455.40967516982</v>
      </c>
      <c r="P106" s="139"/>
      <c r="Q106" s="116">
        <f t="shared" si="21"/>
        <v>3.42</v>
      </c>
      <c r="S106" s="117">
        <v>26.5</v>
      </c>
      <c r="T106" s="32"/>
      <c r="U106" s="116">
        <v>3.86</v>
      </c>
      <c r="W106" s="145">
        <f t="shared" si="22"/>
        <v>148401.38475599998</v>
      </c>
      <c r="Y106" s="144">
        <f t="shared" si="23"/>
        <v>-16945.975080830161</v>
      </c>
    </row>
    <row r="107" spans="1:25" x14ac:dyDescent="0.2">
      <c r="A107" s="26"/>
      <c r="B107" s="139"/>
      <c r="C107" s="139"/>
      <c r="D107" s="139"/>
      <c r="E107" s="20"/>
      <c r="F107" s="20"/>
      <c r="G107" s="222"/>
      <c r="H107" s="139"/>
      <c r="I107" s="45"/>
      <c r="J107" s="139"/>
      <c r="K107" s="49"/>
      <c r="L107" s="34"/>
      <c r="M107" s="49"/>
      <c r="N107" s="34"/>
      <c r="O107" s="49"/>
      <c r="P107" s="139"/>
      <c r="Q107" s="26"/>
      <c r="R107" s="139"/>
      <c r="S107" s="62"/>
      <c r="T107" s="32"/>
      <c r="U107" s="26"/>
    </row>
    <row r="108" spans="1:25" ht="15.75" x14ac:dyDescent="0.25">
      <c r="A108" s="26"/>
      <c r="B108" s="139"/>
      <c r="C108" s="65" t="s">
        <v>32</v>
      </c>
      <c r="D108" s="139"/>
      <c r="E108" s="20"/>
      <c r="F108" s="20"/>
      <c r="G108" s="222"/>
      <c r="H108" s="139"/>
      <c r="I108" s="45">
        <f>SUM(I89:I107)</f>
        <v>201634659.45000005</v>
      </c>
      <c r="J108" s="139"/>
      <c r="K108" s="45">
        <f>SUM(K89:K107)</f>
        <v>85460236</v>
      </c>
      <c r="L108" s="34"/>
      <c r="M108" s="45">
        <f>SUM(M89:M107)</f>
        <v>117222923.67914003</v>
      </c>
      <c r="N108" s="34"/>
      <c r="O108" s="45">
        <f>SUM(O89:O107)</f>
        <v>4627154.5500020273</v>
      </c>
      <c r="P108" s="139"/>
      <c r="Q108" s="116">
        <f>IF(O108/I108*100=0,"-     ",ROUND(O108/I108*100,2))</f>
        <v>2.29</v>
      </c>
      <c r="S108" s="117">
        <v>25.1</v>
      </c>
      <c r="T108" s="32"/>
      <c r="U108" s="242">
        <f>W108/I108</f>
        <v>2.7876420863040256E-2</v>
      </c>
      <c r="W108" s="45">
        <f>SUM(W89:W107)</f>
        <v>5620852.6274039987</v>
      </c>
      <c r="Y108" s="45">
        <f>SUM(Y89:Y107)</f>
        <v>-993698.07740197273</v>
      </c>
    </row>
    <row r="109" spans="1:25" x14ac:dyDescent="0.2">
      <c r="A109" s="26"/>
      <c r="B109" s="139"/>
      <c r="C109" s="139"/>
      <c r="D109" s="139"/>
      <c r="E109" s="20"/>
      <c r="F109" s="20"/>
      <c r="G109" s="222"/>
      <c r="H109" s="139"/>
      <c r="I109" s="45"/>
      <c r="J109" s="139"/>
      <c r="K109" s="34"/>
      <c r="L109" s="34"/>
      <c r="M109" s="34"/>
      <c r="N109" s="34"/>
      <c r="O109" s="34"/>
      <c r="P109" s="139"/>
      <c r="Q109" s="26"/>
      <c r="R109" s="139"/>
      <c r="S109" s="62"/>
      <c r="T109" s="32"/>
      <c r="U109" s="26"/>
    </row>
    <row r="110" spans="1:25" x14ac:dyDescent="0.2">
      <c r="A110" s="26">
        <v>316</v>
      </c>
      <c r="B110" s="139" t="s">
        <v>1</v>
      </c>
      <c r="C110" s="59" t="s">
        <v>170</v>
      </c>
      <c r="D110" s="139"/>
      <c r="E110" s="56"/>
      <c r="F110" s="56"/>
      <c r="G110" s="224"/>
      <c r="H110" s="139"/>
      <c r="I110" s="45"/>
      <c r="J110" s="139"/>
      <c r="K110" s="34"/>
      <c r="L110" s="34"/>
      <c r="M110" s="34"/>
      <c r="N110" s="34"/>
      <c r="O110" s="34"/>
      <c r="P110" s="139"/>
      <c r="Q110" s="26"/>
      <c r="R110" s="139"/>
      <c r="S110" s="62"/>
      <c r="T110" s="32"/>
      <c r="U110" s="26"/>
    </row>
    <row r="111" spans="1:25" x14ac:dyDescent="0.2">
      <c r="A111" s="26"/>
      <c r="B111" s="139"/>
      <c r="C111" s="63" t="s">
        <v>93</v>
      </c>
      <c r="D111" s="139"/>
      <c r="E111" s="20" t="s">
        <v>136</v>
      </c>
      <c r="F111" s="20" t="s">
        <v>64</v>
      </c>
      <c r="G111" s="222">
        <f>'SKM Prod NS Weighting'!Q$15</f>
        <v>0</v>
      </c>
      <c r="H111" s="139"/>
      <c r="I111" s="45">
        <v>3502446.96</v>
      </c>
      <c r="J111" s="44"/>
      <c r="K111" s="45">
        <v>126166</v>
      </c>
      <c r="L111" s="45"/>
      <c r="M111" s="200">
        <f t="shared" ref="M111:M125" si="24">+((1-G111)*I111)-K111</f>
        <v>3376280.96</v>
      </c>
      <c r="N111" s="45"/>
      <c r="O111" s="45">
        <f t="shared" ref="O111:O125" si="25">M111/S111</f>
        <v>70047.322821576759</v>
      </c>
      <c r="P111" s="139"/>
      <c r="Q111" s="116">
        <f t="shared" ref="Q111:Q125" si="26">IF(O111/I111*100=0,"-     ",ROUND(O111/I111*100,2))</f>
        <v>2</v>
      </c>
      <c r="S111" s="117">
        <v>48.2</v>
      </c>
      <c r="T111" s="32"/>
      <c r="U111" s="116">
        <v>2.31</v>
      </c>
      <c r="W111" s="145">
        <f t="shared" ref="W111:W125" si="27">(I111/100)*U111</f>
        <v>80906.524775999991</v>
      </c>
      <c r="Y111" s="144">
        <f t="shared" ref="Y111:Y125" si="28">O111-W111</f>
        <v>-10859.201954423232</v>
      </c>
    </row>
    <row r="112" spans="1:25" x14ac:dyDescent="0.2">
      <c r="A112" s="26"/>
      <c r="B112" s="139"/>
      <c r="C112" s="59" t="s">
        <v>95</v>
      </c>
      <c r="D112" s="139"/>
      <c r="E112" s="20" t="s">
        <v>136</v>
      </c>
      <c r="F112" s="20" t="s">
        <v>64</v>
      </c>
      <c r="G112" s="222">
        <f>'SKM Prod NS Weighting'!Q$15</f>
        <v>0</v>
      </c>
      <c r="H112" s="139"/>
      <c r="I112" s="45">
        <v>2763048.67</v>
      </c>
      <c r="J112" s="44"/>
      <c r="K112" s="45">
        <v>790095</v>
      </c>
      <c r="L112" s="45"/>
      <c r="M112" s="200">
        <f t="shared" si="24"/>
        <v>1972953.67</v>
      </c>
      <c r="N112" s="45"/>
      <c r="O112" s="45">
        <f t="shared" si="25"/>
        <v>73617.67425373134</v>
      </c>
      <c r="P112" s="139"/>
      <c r="Q112" s="116">
        <f t="shared" si="26"/>
        <v>2.66</v>
      </c>
      <c r="S112" s="117">
        <v>26.8</v>
      </c>
      <c r="T112" s="32"/>
      <c r="U112" s="116">
        <v>2.7</v>
      </c>
      <c r="W112" s="145">
        <f t="shared" si="27"/>
        <v>74602.31409</v>
      </c>
      <c r="Y112" s="144">
        <f t="shared" si="28"/>
        <v>-984.63983626865956</v>
      </c>
    </row>
    <row r="113" spans="1:25" x14ac:dyDescent="0.2">
      <c r="A113" s="26"/>
      <c r="B113" s="139"/>
      <c r="C113" s="59" t="s">
        <v>96</v>
      </c>
      <c r="D113" s="139"/>
      <c r="E113" s="20" t="s">
        <v>136</v>
      </c>
      <c r="F113" s="20" t="s">
        <v>64</v>
      </c>
      <c r="G113" s="222">
        <f>'SKM Prod NS Weighting'!Q$15</f>
        <v>0</v>
      </c>
      <c r="H113" s="139"/>
      <c r="I113" s="45">
        <v>553355.01</v>
      </c>
      <c r="J113" s="44"/>
      <c r="K113" s="45">
        <v>251724</v>
      </c>
      <c r="L113" s="45"/>
      <c r="M113" s="200">
        <f t="shared" si="24"/>
        <v>301631.01</v>
      </c>
      <c r="N113" s="45"/>
      <c r="O113" s="45">
        <f t="shared" si="25"/>
        <v>75407.752500000002</v>
      </c>
      <c r="P113" s="139"/>
      <c r="Q113" s="116">
        <f t="shared" si="26"/>
        <v>13.63</v>
      </c>
      <c r="S113" s="117">
        <v>4</v>
      </c>
      <c r="T113" s="32"/>
      <c r="U113" s="116">
        <v>16.28</v>
      </c>
      <c r="W113" s="145">
        <f t="shared" si="27"/>
        <v>90086.195628000016</v>
      </c>
      <c r="Y113" s="144">
        <f t="shared" si="28"/>
        <v>-14678.443128000014</v>
      </c>
    </row>
    <row r="114" spans="1:25" x14ac:dyDescent="0.2">
      <c r="A114" s="26"/>
      <c r="B114" s="139"/>
      <c r="C114" s="59" t="s">
        <v>97</v>
      </c>
      <c r="D114" s="139"/>
      <c r="E114" s="20" t="s">
        <v>159</v>
      </c>
      <c r="F114" s="20" t="s">
        <v>64</v>
      </c>
      <c r="G114" s="222">
        <f>'SKM Prod NS Weighting'!Q$15</f>
        <v>0</v>
      </c>
      <c r="H114" s="139"/>
      <c r="I114" s="45">
        <v>50126.84</v>
      </c>
      <c r="J114" s="44"/>
      <c r="K114" s="45">
        <v>55140</v>
      </c>
      <c r="L114" s="45"/>
      <c r="M114" s="200">
        <f t="shared" si="24"/>
        <v>-5013.1600000000035</v>
      </c>
      <c r="N114" s="45"/>
      <c r="O114" s="45">
        <v>0</v>
      </c>
      <c r="P114" s="139"/>
      <c r="Q114" s="116" t="str">
        <f t="shared" si="26"/>
        <v xml:space="preserve">-     </v>
      </c>
      <c r="S114" s="117" t="s">
        <v>297</v>
      </c>
      <c r="T114" s="32"/>
      <c r="U114" s="116" t="s">
        <v>297</v>
      </c>
      <c r="W114" s="145">
        <v>0</v>
      </c>
      <c r="Y114" s="144">
        <f t="shared" si="28"/>
        <v>0</v>
      </c>
    </row>
    <row r="115" spans="1:25" x14ac:dyDescent="0.2">
      <c r="A115" s="26"/>
      <c r="B115" s="139"/>
      <c r="C115" s="63" t="s">
        <v>98</v>
      </c>
      <c r="D115" s="139"/>
      <c r="E115" s="20" t="s">
        <v>136</v>
      </c>
      <c r="F115" s="20" t="s">
        <v>64</v>
      </c>
      <c r="G115" s="222">
        <f>'SKM Prod NS Weighting'!Q$15</f>
        <v>0</v>
      </c>
      <c r="H115" s="139"/>
      <c r="I115" s="45">
        <v>152146.47</v>
      </c>
      <c r="J115" s="44"/>
      <c r="K115" s="45">
        <v>101809</v>
      </c>
      <c r="L115" s="45"/>
      <c r="M115" s="200">
        <f t="shared" si="24"/>
        <v>50337.47</v>
      </c>
      <c r="N115" s="45"/>
      <c r="O115" s="45">
        <f t="shared" si="25"/>
        <v>12584.3675</v>
      </c>
      <c r="P115" s="139"/>
      <c r="Q115" s="116">
        <f t="shared" si="26"/>
        <v>8.27</v>
      </c>
      <c r="S115" s="117">
        <v>4</v>
      </c>
      <c r="T115" s="32"/>
      <c r="U115" s="116">
        <v>10.87</v>
      </c>
      <c r="W115" s="145">
        <f t="shared" si="27"/>
        <v>16538.321289</v>
      </c>
      <c r="Y115" s="144">
        <f t="shared" si="28"/>
        <v>-3953.9537889999992</v>
      </c>
    </row>
    <row r="116" spans="1:25" x14ac:dyDescent="0.2">
      <c r="A116" s="26"/>
      <c r="B116" s="139"/>
      <c r="C116" s="63" t="s">
        <v>99</v>
      </c>
      <c r="D116" s="139"/>
      <c r="E116" s="20" t="s">
        <v>136</v>
      </c>
      <c r="F116" s="20" t="s">
        <v>64</v>
      </c>
      <c r="G116" s="222">
        <f>'SKM Prod NS Weighting'!Q$15</f>
        <v>0</v>
      </c>
      <c r="H116" s="139"/>
      <c r="I116" s="45">
        <v>2408142.84</v>
      </c>
      <c r="J116" s="44"/>
      <c r="K116" s="45">
        <v>1418850</v>
      </c>
      <c r="L116" s="45"/>
      <c r="M116" s="200">
        <f t="shared" si="24"/>
        <v>989292.83999999985</v>
      </c>
      <c r="N116" s="45"/>
      <c r="O116" s="45">
        <f t="shared" si="25"/>
        <v>247323.20999999996</v>
      </c>
      <c r="P116" s="139"/>
      <c r="Q116" s="116">
        <f t="shared" si="26"/>
        <v>10.27</v>
      </c>
      <c r="S116" s="117">
        <v>4</v>
      </c>
      <c r="T116" s="32"/>
      <c r="U116" s="116">
        <v>12.87</v>
      </c>
      <c r="W116" s="145">
        <f t="shared" si="27"/>
        <v>309927.98350799992</v>
      </c>
      <c r="Y116" s="144">
        <f t="shared" si="28"/>
        <v>-62604.773507999955</v>
      </c>
    </row>
    <row r="117" spans="1:25" x14ac:dyDescent="0.2">
      <c r="A117" s="26"/>
      <c r="B117" s="139"/>
      <c r="C117" s="63" t="s">
        <v>100</v>
      </c>
      <c r="D117" s="139"/>
      <c r="E117" s="20" t="s">
        <v>159</v>
      </c>
      <c r="F117" s="20" t="s">
        <v>64</v>
      </c>
      <c r="G117" s="222">
        <f>'SKM Prod NS Weighting'!Q$15</f>
        <v>0</v>
      </c>
      <c r="H117" s="139"/>
      <c r="I117" s="45">
        <v>84749.53</v>
      </c>
      <c r="J117" s="44"/>
      <c r="K117" s="45">
        <v>93224</v>
      </c>
      <c r="L117" s="45"/>
      <c r="M117" s="200">
        <f t="shared" si="24"/>
        <v>-8474.4700000000012</v>
      </c>
      <c r="N117" s="45"/>
      <c r="O117" s="45">
        <v>0</v>
      </c>
      <c r="P117" s="139"/>
      <c r="Q117" s="116" t="str">
        <f t="shared" si="26"/>
        <v xml:space="preserve">-     </v>
      </c>
      <c r="S117" s="117" t="s">
        <v>297</v>
      </c>
      <c r="T117" s="32"/>
      <c r="U117" s="116" t="s">
        <v>297</v>
      </c>
      <c r="W117" s="145">
        <v>0</v>
      </c>
      <c r="Y117" s="144">
        <f t="shared" si="28"/>
        <v>0</v>
      </c>
    </row>
    <row r="118" spans="1:25" x14ac:dyDescent="0.2">
      <c r="A118" s="26"/>
      <c r="B118" s="139"/>
      <c r="C118" s="63" t="s">
        <v>101</v>
      </c>
      <c r="D118" s="139"/>
      <c r="E118" s="20" t="s">
        <v>136</v>
      </c>
      <c r="F118" s="20" t="s">
        <v>64</v>
      </c>
      <c r="G118" s="222">
        <f>'SKM Prod NS Weighting'!Q$15</f>
        <v>0</v>
      </c>
      <c r="H118" s="139"/>
      <c r="I118" s="45">
        <v>432577.58</v>
      </c>
      <c r="J118" s="44"/>
      <c r="K118" s="45">
        <v>351287</v>
      </c>
      <c r="L118" s="45"/>
      <c r="M118" s="200">
        <f t="shared" si="24"/>
        <v>81290.580000000016</v>
      </c>
      <c r="N118" s="45"/>
      <c r="O118" s="45">
        <f t="shared" si="25"/>
        <v>5080.661250000001</v>
      </c>
      <c r="P118" s="139"/>
      <c r="Q118" s="116">
        <f t="shared" si="26"/>
        <v>1.17</v>
      </c>
      <c r="S118" s="117">
        <v>16</v>
      </c>
      <c r="T118" s="32"/>
      <c r="U118" s="116">
        <v>1.86</v>
      </c>
      <c r="W118" s="145">
        <f t="shared" si="27"/>
        <v>8045.9429880000007</v>
      </c>
      <c r="Y118" s="144">
        <f t="shared" si="28"/>
        <v>-2965.2817379999997</v>
      </c>
    </row>
    <row r="119" spans="1:25" x14ac:dyDescent="0.2">
      <c r="A119" s="26"/>
      <c r="B119" s="139"/>
      <c r="C119" s="63" t="s">
        <v>102</v>
      </c>
      <c r="D119" s="139"/>
      <c r="E119" s="20" t="s">
        <v>136</v>
      </c>
      <c r="F119" s="20" t="s">
        <v>64</v>
      </c>
      <c r="G119" s="222">
        <f>'SKM Prod NS Weighting'!Q$15</f>
        <v>0</v>
      </c>
      <c r="H119" s="139"/>
      <c r="I119" s="45">
        <v>106658.32</v>
      </c>
      <c r="J119" s="44"/>
      <c r="K119" s="45">
        <v>109842</v>
      </c>
      <c r="L119" s="45"/>
      <c r="M119" s="200">
        <f t="shared" si="24"/>
        <v>-3183.679999999993</v>
      </c>
      <c r="N119" s="45"/>
      <c r="O119" s="45">
        <f t="shared" si="25"/>
        <v>-147.39259259259225</v>
      </c>
      <c r="P119" s="139"/>
      <c r="Q119" s="116">
        <f t="shared" si="26"/>
        <v>-0.14000000000000001</v>
      </c>
      <c r="S119" s="117">
        <v>21.6</v>
      </c>
      <c r="T119" s="32"/>
      <c r="U119" s="116">
        <v>0.37</v>
      </c>
      <c r="W119" s="145">
        <f t="shared" si="27"/>
        <v>394.635784</v>
      </c>
      <c r="Y119" s="144">
        <f t="shared" si="28"/>
        <v>-542.02837659259228</v>
      </c>
    </row>
    <row r="120" spans="1:25" x14ac:dyDescent="0.2">
      <c r="A120" s="26"/>
      <c r="B120" s="139"/>
      <c r="C120" s="63" t="s">
        <v>103</v>
      </c>
      <c r="D120" s="139"/>
      <c r="E120" s="20" t="s">
        <v>136</v>
      </c>
      <c r="F120" s="20" t="s">
        <v>64</v>
      </c>
      <c r="G120" s="222">
        <f>'SKM Prod NS Weighting'!Q$15</f>
        <v>0</v>
      </c>
      <c r="H120" s="139"/>
      <c r="I120" s="45">
        <v>5070448.32</v>
      </c>
      <c r="J120" s="44"/>
      <c r="K120" s="45">
        <v>2925174</v>
      </c>
      <c r="L120" s="45"/>
      <c r="M120" s="200">
        <f t="shared" si="24"/>
        <v>2145274.3200000003</v>
      </c>
      <c r="N120" s="45"/>
      <c r="O120" s="45">
        <f t="shared" si="25"/>
        <v>96633.978378378393</v>
      </c>
      <c r="P120" s="139"/>
      <c r="Q120" s="116">
        <f t="shared" si="26"/>
        <v>1.91</v>
      </c>
      <c r="S120" s="117">
        <v>22.2</v>
      </c>
      <c r="T120" s="32"/>
      <c r="U120" s="116">
        <v>2.4</v>
      </c>
      <c r="W120" s="145">
        <f t="shared" si="27"/>
        <v>121690.75968</v>
      </c>
      <c r="Y120" s="144">
        <f t="shared" si="28"/>
        <v>-25056.78130162161</v>
      </c>
    </row>
    <row r="121" spans="1:25" x14ac:dyDescent="0.2">
      <c r="A121" s="114" t="s">
        <v>162</v>
      </c>
      <c r="B121" s="139"/>
      <c r="C121" s="63" t="s">
        <v>105</v>
      </c>
      <c r="D121" s="139"/>
      <c r="E121" s="20" t="s">
        <v>136</v>
      </c>
      <c r="F121" s="20" t="s">
        <v>64</v>
      </c>
      <c r="G121" s="222">
        <f>'SKM Prod NS Weighting'!Q$15</f>
        <v>0</v>
      </c>
      <c r="H121" s="139"/>
      <c r="I121" s="45">
        <v>1033027.09</v>
      </c>
      <c r="J121" s="44"/>
      <c r="K121" s="45">
        <v>834195</v>
      </c>
      <c r="L121" s="45"/>
      <c r="M121" s="200">
        <f t="shared" si="24"/>
        <v>198832.08999999997</v>
      </c>
      <c r="N121" s="45"/>
      <c r="O121" s="45">
        <f t="shared" si="25"/>
        <v>9291.2191588785045</v>
      </c>
      <c r="P121" s="139"/>
      <c r="Q121" s="116">
        <f t="shared" si="26"/>
        <v>0.9</v>
      </c>
      <c r="S121" s="117">
        <v>21.4</v>
      </c>
      <c r="T121" s="32"/>
      <c r="U121" s="116">
        <v>1.46</v>
      </c>
      <c r="W121" s="145">
        <f t="shared" si="27"/>
        <v>15082.195513999999</v>
      </c>
      <c r="Y121" s="144">
        <f t="shared" si="28"/>
        <v>-5790.9763551214946</v>
      </c>
    </row>
    <row r="122" spans="1:25" x14ac:dyDescent="0.2">
      <c r="A122" s="26"/>
      <c r="B122" s="139"/>
      <c r="C122" s="63" t="s">
        <v>106</v>
      </c>
      <c r="D122" s="139"/>
      <c r="E122" s="20" t="s">
        <v>136</v>
      </c>
      <c r="F122" s="20" t="s">
        <v>64</v>
      </c>
      <c r="G122" s="222">
        <f>'SKM Prod NS Weighting'!Q$15</f>
        <v>0</v>
      </c>
      <c r="H122" s="139"/>
      <c r="I122" s="45">
        <v>1747526.86</v>
      </c>
      <c r="J122" s="44"/>
      <c r="K122" s="45">
        <v>1578287</v>
      </c>
      <c r="L122" s="45"/>
      <c r="M122" s="200">
        <f t="shared" si="24"/>
        <v>169239.8600000001</v>
      </c>
      <c r="N122" s="45"/>
      <c r="O122" s="45">
        <f t="shared" si="25"/>
        <v>8059.0409523809576</v>
      </c>
      <c r="P122" s="139"/>
      <c r="Q122" s="116">
        <f t="shared" si="26"/>
        <v>0.46</v>
      </c>
      <c r="S122" s="117">
        <v>21</v>
      </c>
      <c r="T122" s="32"/>
      <c r="U122" s="116">
        <v>1.03</v>
      </c>
      <c r="W122" s="145">
        <f t="shared" si="27"/>
        <v>17999.526657999999</v>
      </c>
      <c r="Y122" s="144">
        <f t="shared" si="28"/>
        <v>-9940.4857056190413</v>
      </c>
    </row>
    <row r="123" spans="1:25" x14ac:dyDescent="0.2">
      <c r="B123" s="139"/>
      <c r="C123" s="63" t="s">
        <v>107</v>
      </c>
      <c r="D123" s="139"/>
      <c r="E123" s="20" t="s">
        <v>136</v>
      </c>
      <c r="F123" s="20" t="s">
        <v>64</v>
      </c>
      <c r="G123" s="222">
        <f>'SKM Prod NS Weighting'!Q$15</f>
        <v>0</v>
      </c>
      <c r="H123" s="139"/>
      <c r="I123" s="45">
        <v>1500525.31</v>
      </c>
      <c r="J123" s="44"/>
      <c r="K123" s="45">
        <v>1397086</v>
      </c>
      <c r="L123" s="45"/>
      <c r="M123" s="200">
        <f t="shared" si="24"/>
        <v>103439.31000000006</v>
      </c>
      <c r="N123" s="45"/>
      <c r="O123" s="45">
        <f t="shared" si="25"/>
        <v>5021.3257281553424</v>
      </c>
      <c r="P123" s="139"/>
      <c r="Q123" s="116">
        <f t="shared" si="26"/>
        <v>0.33</v>
      </c>
      <c r="S123" s="117">
        <v>20.6</v>
      </c>
      <c r="T123" s="32"/>
      <c r="U123" s="116">
        <v>0.92</v>
      </c>
      <c r="W123" s="145">
        <f t="shared" si="27"/>
        <v>13804.832852000001</v>
      </c>
      <c r="Y123" s="144">
        <f t="shared" si="28"/>
        <v>-8783.5071238446581</v>
      </c>
    </row>
    <row r="124" spans="1:25" x14ac:dyDescent="0.2">
      <c r="A124" s="26"/>
      <c r="B124" s="139"/>
      <c r="C124" s="63" t="s">
        <v>108</v>
      </c>
      <c r="D124" s="139"/>
      <c r="E124" s="20" t="s">
        <v>136</v>
      </c>
      <c r="F124" s="20" t="s">
        <v>64</v>
      </c>
      <c r="G124" s="222">
        <f>'SKM Prod NS Weighting'!Q$15</f>
        <v>0</v>
      </c>
      <c r="H124" s="139"/>
      <c r="I124" s="45">
        <v>3150437.55</v>
      </c>
      <c r="J124" s="44"/>
      <c r="K124" s="45">
        <v>2534754</v>
      </c>
      <c r="L124" s="45"/>
      <c r="M124" s="200">
        <f t="shared" si="24"/>
        <v>615683.54999999981</v>
      </c>
      <c r="N124" s="45"/>
      <c r="O124" s="45">
        <f t="shared" si="25"/>
        <v>26538.08405172413</v>
      </c>
      <c r="P124" s="139"/>
      <c r="Q124" s="116">
        <f t="shared" si="26"/>
        <v>0.84</v>
      </c>
      <c r="S124" s="117">
        <v>23.2</v>
      </c>
      <c r="T124" s="32"/>
      <c r="U124" s="116">
        <v>1.36</v>
      </c>
      <c r="W124" s="145">
        <f t="shared" si="27"/>
        <v>42845.950680000002</v>
      </c>
      <c r="Y124" s="144">
        <f t="shared" si="28"/>
        <v>-16307.866628275871</v>
      </c>
    </row>
    <row r="125" spans="1:25" x14ac:dyDescent="0.2">
      <c r="A125" s="26"/>
      <c r="B125" s="139"/>
      <c r="C125" s="63" t="s">
        <v>109</v>
      </c>
      <c r="D125" s="139"/>
      <c r="E125" s="20" t="s">
        <v>136</v>
      </c>
      <c r="F125" s="20" t="s">
        <v>64</v>
      </c>
      <c r="G125" s="222">
        <f>'SKM Prod NS Weighting'!Q$15</f>
        <v>0</v>
      </c>
      <c r="H125" s="139"/>
      <c r="I125" s="90">
        <v>7455181.3300000001</v>
      </c>
      <c r="J125" s="44"/>
      <c r="K125" s="45">
        <v>2842039</v>
      </c>
      <c r="L125" s="45"/>
      <c r="M125" s="200">
        <f t="shared" si="24"/>
        <v>4613142.33</v>
      </c>
      <c r="N125" s="45"/>
      <c r="O125" s="45">
        <f t="shared" si="25"/>
        <v>186013.80362903225</v>
      </c>
      <c r="P125" s="139"/>
      <c r="Q125" s="116">
        <f t="shared" si="26"/>
        <v>2.5</v>
      </c>
      <c r="S125" s="117">
        <v>24.8</v>
      </c>
      <c r="T125" s="32"/>
      <c r="U125" s="116">
        <v>2.98</v>
      </c>
      <c r="W125" s="145">
        <f t="shared" si="27"/>
        <v>222164.40363399999</v>
      </c>
      <c r="Y125" s="144">
        <f t="shared" si="28"/>
        <v>-36150.600004967739</v>
      </c>
    </row>
    <row r="126" spans="1:25" x14ac:dyDescent="0.2">
      <c r="A126" s="26"/>
      <c r="B126" s="139"/>
      <c r="C126" s="63"/>
      <c r="D126" s="139"/>
      <c r="E126" s="20"/>
      <c r="F126" s="20"/>
      <c r="G126" s="222"/>
      <c r="H126" s="139"/>
      <c r="I126" s="45"/>
      <c r="J126" s="139"/>
      <c r="K126" s="49"/>
      <c r="L126" s="34"/>
      <c r="M126" s="49"/>
      <c r="N126" s="34"/>
      <c r="O126" s="49"/>
      <c r="P126" s="139"/>
      <c r="Q126" s="26"/>
      <c r="R126" s="139"/>
      <c r="S126" s="62"/>
      <c r="T126" s="32"/>
      <c r="U126" s="26"/>
    </row>
    <row r="127" spans="1:25" ht="15.75" x14ac:dyDescent="0.25">
      <c r="A127" s="26"/>
      <c r="B127" s="139"/>
      <c r="C127" s="65" t="s">
        <v>178</v>
      </c>
      <c r="D127" s="139"/>
      <c r="E127" s="20"/>
      <c r="F127" s="20"/>
      <c r="G127" s="222"/>
      <c r="H127" s="139"/>
      <c r="I127" s="90">
        <f>SUM(I111:I126)</f>
        <v>30010398.68</v>
      </c>
      <c r="J127" s="139"/>
      <c r="K127" s="90">
        <f>SUM(K111:K126)</f>
        <v>15409672</v>
      </c>
      <c r="L127" s="34"/>
      <c r="M127" s="90">
        <f>SUM(M111:M126)</f>
        <v>14600726.679999998</v>
      </c>
      <c r="N127" s="34"/>
      <c r="O127" s="90">
        <f>SUM(O111:O126)</f>
        <v>815471.04763126513</v>
      </c>
      <c r="P127" s="139"/>
      <c r="Q127" s="116">
        <f>IF(O127/I127*100=0,"-     ",ROUND(O127/I127*100,2))</f>
        <v>2.72</v>
      </c>
      <c r="S127" s="117">
        <v>17.600000000000001</v>
      </c>
      <c r="T127" s="32"/>
      <c r="U127" s="242">
        <f>W127/I127</f>
        <v>3.3791273414732259E-2</v>
      </c>
      <c r="W127" s="90">
        <f>SUM(W111:W126)</f>
        <v>1014089.587081</v>
      </c>
      <c r="Y127" s="90">
        <f>SUM(Y111:Y126)</f>
        <v>-198618.53944973488</v>
      </c>
    </row>
    <row r="128" spans="1:25" x14ac:dyDescent="0.2">
      <c r="A128" s="26"/>
      <c r="B128" s="139"/>
      <c r="C128" s="65"/>
      <c r="D128" s="139"/>
      <c r="E128" s="20"/>
      <c r="F128" s="20"/>
      <c r="G128" s="222"/>
      <c r="H128" s="139"/>
      <c r="I128" s="45"/>
      <c r="J128" s="139"/>
      <c r="K128" s="34"/>
      <c r="L128" s="34"/>
      <c r="M128" s="34"/>
      <c r="N128" s="34"/>
      <c r="O128" s="34"/>
      <c r="P128" s="139"/>
      <c r="Q128" s="26"/>
      <c r="R128" s="139"/>
      <c r="S128" s="62"/>
      <c r="T128" s="32"/>
      <c r="U128" s="26"/>
    </row>
    <row r="129" spans="1:26" ht="15.75" x14ac:dyDescent="0.25">
      <c r="A129" s="26"/>
      <c r="B129" s="139"/>
      <c r="C129" s="50" t="s">
        <v>33</v>
      </c>
      <c r="D129" s="139"/>
      <c r="E129" s="20"/>
      <c r="F129" s="20"/>
      <c r="G129" s="247"/>
      <c r="H129" s="139"/>
      <c r="I129" s="102">
        <f>SUM(I127,I108,I86,I70,I46)</f>
        <v>3559706076.0500007</v>
      </c>
      <c r="J129" s="30"/>
      <c r="K129" s="102">
        <f>SUM(K127,K108,K86,K70,K46)</f>
        <v>1260919945</v>
      </c>
      <c r="L129" s="31"/>
      <c r="M129" s="102">
        <f>SUM(M127,M108,M86,M70,M46)</f>
        <v>2381668587.1058931</v>
      </c>
      <c r="N129" s="31"/>
      <c r="O129" s="102">
        <f>SUM(O127,O108,O86,O70,O46)</f>
        <v>89746979.562496156</v>
      </c>
      <c r="P129" s="139"/>
      <c r="Q129" s="137">
        <f>+ROUND(O129/I129*100,2)</f>
        <v>2.52</v>
      </c>
      <c r="R129" s="139"/>
      <c r="S129" s="62"/>
      <c r="T129" s="32"/>
      <c r="U129" s="242">
        <f>W129/I129</f>
        <v>2.9323609575790947E-2</v>
      </c>
      <c r="W129" s="102">
        <f>SUM(W127,W108,W86,W70,W46)</f>
        <v>104383431.17866102</v>
      </c>
      <c r="Y129" s="102">
        <f>SUM(Y127,Y108,Y86,Y70,Y46)</f>
        <v>-14636451.61616485</v>
      </c>
      <c r="Z129" s="16">
        <f>+Y129</f>
        <v>-14636451.61616485</v>
      </c>
    </row>
    <row r="130" spans="1:26" ht="15.75" x14ac:dyDescent="0.25">
      <c r="A130" s="26"/>
      <c r="B130" s="139"/>
      <c r="C130" s="50"/>
      <c r="D130" s="139"/>
      <c r="E130" s="20"/>
      <c r="F130" s="20"/>
      <c r="G130" s="222"/>
      <c r="H130" s="139"/>
      <c r="I130" s="45"/>
      <c r="J130" s="30"/>
      <c r="K130" s="31"/>
      <c r="L130" s="31"/>
      <c r="M130" s="31"/>
      <c r="N130" s="31"/>
      <c r="O130" s="31"/>
      <c r="P130" s="139"/>
      <c r="Q130" s="26"/>
      <c r="R130" s="139"/>
      <c r="S130" s="62"/>
      <c r="T130" s="32"/>
      <c r="U130" s="26"/>
    </row>
    <row r="131" spans="1:26" ht="15.75" x14ac:dyDescent="0.25">
      <c r="A131" s="26"/>
      <c r="B131" s="139"/>
      <c r="C131" s="70" t="s">
        <v>187</v>
      </c>
      <c r="D131" s="139"/>
      <c r="E131" s="20"/>
      <c r="F131" s="20"/>
      <c r="G131" s="222"/>
      <c r="H131" s="139"/>
      <c r="I131" s="45"/>
      <c r="J131" s="30"/>
      <c r="K131" s="31"/>
      <c r="L131" s="31"/>
      <c r="M131" s="31"/>
      <c r="N131" s="31"/>
      <c r="O131" s="31"/>
      <c r="P131" s="139"/>
      <c r="Q131" s="26"/>
      <c r="R131" s="139"/>
      <c r="S131" s="62"/>
      <c r="T131" s="32"/>
      <c r="U131" s="26"/>
    </row>
    <row r="132" spans="1:26" s="139" customFormat="1" ht="15.75" x14ac:dyDescent="0.25">
      <c r="A132" s="26"/>
      <c r="C132" s="28"/>
      <c r="E132" s="20"/>
      <c r="F132" s="20"/>
      <c r="G132" s="222"/>
      <c r="I132" s="45"/>
      <c r="J132" s="30"/>
      <c r="K132" s="31"/>
      <c r="L132" s="31"/>
      <c r="M132" s="31"/>
      <c r="N132" s="31"/>
      <c r="O132" s="31"/>
      <c r="Q132" s="26"/>
      <c r="S132" s="62"/>
      <c r="T132" s="32"/>
      <c r="U132" s="26"/>
      <c r="W132" s="150"/>
      <c r="Y132" s="153"/>
    </row>
    <row r="133" spans="1:26" s="139" customFormat="1" ht="15.75" x14ac:dyDescent="0.25">
      <c r="A133" s="26">
        <v>330.1</v>
      </c>
      <c r="C133" s="57" t="s">
        <v>91</v>
      </c>
      <c r="E133" s="20"/>
      <c r="F133" s="20"/>
      <c r="G133" s="222"/>
      <c r="I133" s="45"/>
      <c r="J133" s="30"/>
      <c r="K133" s="31"/>
      <c r="L133" s="31"/>
      <c r="M133" s="31"/>
      <c r="N133" s="31"/>
      <c r="O133" s="31"/>
      <c r="Q133" s="26"/>
      <c r="S133" s="62"/>
      <c r="T133" s="32"/>
      <c r="U133" s="26"/>
      <c r="W133" s="150"/>
      <c r="Y133" s="153"/>
    </row>
    <row r="134" spans="1:26" x14ac:dyDescent="0.2">
      <c r="A134" s="26"/>
      <c r="B134" s="139"/>
      <c r="C134" s="28" t="s">
        <v>57</v>
      </c>
      <c r="D134" s="139"/>
      <c r="E134" s="20" t="s">
        <v>137</v>
      </c>
      <c r="F134" s="20" t="s">
        <v>64</v>
      </c>
      <c r="G134" s="222">
        <v>0</v>
      </c>
      <c r="H134" s="139"/>
      <c r="I134" s="241">
        <v>879311.47</v>
      </c>
      <c r="J134" s="72"/>
      <c r="K134" s="73">
        <v>879311</v>
      </c>
      <c r="L134" s="75"/>
      <c r="M134" s="200">
        <f t="shared" ref="M134" si="29">+((1-G134)*I134)-K134</f>
        <v>0.46999999997206032</v>
      </c>
      <c r="N134" s="75"/>
      <c r="O134" s="45">
        <v>0</v>
      </c>
      <c r="P134" s="139"/>
      <c r="Q134" s="116" t="str">
        <f>IF(O134/I134*100=0,"-     ",ROUND(O134/I134*100,2))</f>
        <v xml:space="preserve">-     </v>
      </c>
      <c r="S134" s="117" t="s">
        <v>297</v>
      </c>
      <c r="T134" s="32"/>
      <c r="U134" s="116" t="s">
        <v>297</v>
      </c>
      <c r="W134" s="145">
        <v>0</v>
      </c>
      <c r="Y134" s="144">
        <f>O134-W134</f>
        <v>0</v>
      </c>
    </row>
    <row r="135" spans="1:26" x14ac:dyDescent="0.2">
      <c r="A135" s="26"/>
      <c r="B135" s="139"/>
      <c r="C135" s="28"/>
      <c r="D135" s="139"/>
      <c r="E135" s="20"/>
      <c r="F135" s="20"/>
      <c r="G135" s="222"/>
      <c r="H135" s="139"/>
      <c r="I135" s="104"/>
      <c r="J135" s="72"/>
      <c r="K135" s="75"/>
      <c r="L135" s="75"/>
      <c r="M135" s="75"/>
      <c r="N135" s="75"/>
      <c r="O135" s="75"/>
      <c r="P135" s="139"/>
      <c r="Q135" s="26"/>
      <c r="R135" s="139"/>
      <c r="S135" s="62"/>
      <c r="T135" s="32"/>
      <c r="U135" s="26"/>
      <c r="Y135" s="159"/>
    </row>
    <row r="136" spans="1:26" x14ac:dyDescent="0.2">
      <c r="A136" s="26"/>
      <c r="B136" s="139"/>
      <c r="C136" s="76" t="s">
        <v>65</v>
      </c>
      <c r="D136" s="139"/>
      <c r="E136" s="20"/>
      <c r="F136" s="20"/>
      <c r="G136" s="222"/>
      <c r="H136" s="139"/>
      <c r="I136" s="104">
        <f>I134</f>
        <v>879311.47</v>
      </c>
      <c r="J136" s="72"/>
      <c r="K136" s="104">
        <f>K134</f>
        <v>879311</v>
      </c>
      <c r="L136" s="75"/>
      <c r="M136" s="104">
        <f>M134</f>
        <v>0.46999999997206032</v>
      </c>
      <c r="N136" s="75"/>
      <c r="O136" s="104">
        <f>O134</f>
        <v>0</v>
      </c>
      <c r="P136" s="139"/>
      <c r="Q136" s="116" t="str">
        <f>IF(O136/I136*100=0,"-     ",ROUND(O136/I136*100,2))</f>
        <v xml:space="preserve">-     </v>
      </c>
      <c r="S136" s="117" t="s">
        <v>297</v>
      </c>
      <c r="T136" s="32"/>
      <c r="U136" s="116" t="s">
        <v>297</v>
      </c>
      <c r="W136" s="104">
        <f>W134</f>
        <v>0</v>
      </c>
      <c r="Y136" s="104">
        <f>Y134</f>
        <v>0</v>
      </c>
    </row>
    <row r="137" spans="1:26" x14ac:dyDescent="0.2">
      <c r="A137" s="26"/>
      <c r="B137" s="139"/>
      <c r="C137" s="28"/>
      <c r="D137" s="139"/>
      <c r="E137" s="20"/>
      <c r="F137" s="20"/>
      <c r="G137" s="222"/>
      <c r="H137" s="139"/>
      <c r="I137" s="104"/>
      <c r="J137" s="72"/>
      <c r="K137" s="75"/>
      <c r="L137" s="75"/>
      <c r="M137" s="75"/>
      <c r="N137" s="75"/>
      <c r="O137" s="75"/>
      <c r="P137" s="139"/>
      <c r="Q137" s="26"/>
      <c r="R137" s="139"/>
      <c r="S137" s="62"/>
      <c r="T137" s="32"/>
      <c r="U137" s="26"/>
    </row>
    <row r="138" spans="1:26" x14ac:dyDescent="0.2">
      <c r="A138" s="26">
        <v>331</v>
      </c>
      <c r="B138" s="139"/>
      <c r="C138" s="28" t="s">
        <v>35</v>
      </c>
      <c r="D138" s="139"/>
      <c r="E138" s="20"/>
      <c r="F138" s="20"/>
      <c r="G138" s="222"/>
      <c r="H138" s="139"/>
      <c r="I138" s="104"/>
      <c r="J138" s="72"/>
      <c r="K138" s="75"/>
      <c r="L138" s="75"/>
      <c r="M138" s="75"/>
      <c r="N138" s="75"/>
      <c r="O138" s="75"/>
      <c r="P138" s="139"/>
      <c r="Q138" s="26"/>
      <c r="R138" s="139"/>
      <c r="S138" s="62"/>
      <c r="T138" s="32"/>
      <c r="U138" s="26"/>
    </row>
    <row r="139" spans="1:26" x14ac:dyDescent="0.2">
      <c r="A139" s="26"/>
      <c r="B139" s="139"/>
      <c r="C139" s="28" t="s">
        <v>58</v>
      </c>
      <c r="D139" s="139"/>
      <c r="E139" s="20" t="s">
        <v>138</v>
      </c>
      <c r="F139" s="20" t="s">
        <v>64</v>
      </c>
      <c r="G139" s="222">
        <f>'SKM Prod NS Weighting'!Q19</f>
        <v>-6.0000000000000006E-4</v>
      </c>
      <c r="H139" s="139"/>
      <c r="I139" s="241">
        <v>616526.68999999994</v>
      </c>
      <c r="J139" s="72"/>
      <c r="K139" s="73">
        <v>353805</v>
      </c>
      <c r="L139" s="75"/>
      <c r="M139" s="200">
        <f t="shared" ref="M139" si="30">+((1-G139)*I139)-K139</f>
        <v>263091.6060139999</v>
      </c>
      <c r="N139" s="75"/>
      <c r="O139" s="45">
        <f t="shared" ref="O139" si="31">M139/S139</f>
        <v>9396.1287862142817</v>
      </c>
      <c r="P139" s="139"/>
      <c r="Q139" s="116">
        <f>IF(O139/I139*100=0,"-     ",ROUND(O139/I139*100,2))</f>
        <v>1.52</v>
      </c>
      <c r="S139" s="117">
        <v>28</v>
      </c>
      <c r="T139" s="32"/>
      <c r="U139" s="116">
        <v>1.74</v>
      </c>
      <c r="W139" s="145">
        <f t="shared" ref="W139" si="32">(I139/100)*U139</f>
        <v>10727.564406</v>
      </c>
      <c r="Y139" s="159">
        <f>O139-W139</f>
        <v>-1331.4356197857178</v>
      </c>
    </row>
    <row r="140" spans="1:26" x14ac:dyDescent="0.2">
      <c r="A140" s="26"/>
      <c r="B140" s="139"/>
      <c r="C140" s="28"/>
      <c r="D140" s="139"/>
      <c r="E140" s="20"/>
      <c r="F140" s="20"/>
      <c r="G140" s="222"/>
      <c r="H140" s="139"/>
      <c r="I140" s="104"/>
      <c r="J140" s="72"/>
      <c r="K140" s="75"/>
      <c r="L140" s="75"/>
      <c r="M140" s="75"/>
      <c r="N140" s="75"/>
      <c r="O140" s="75"/>
      <c r="P140" s="139"/>
      <c r="Q140" s="26"/>
      <c r="R140" s="139"/>
      <c r="S140" s="62"/>
      <c r="T140" s="32"/>
      <c r="U140" s="26"/>
    </row>
    <row r="141" spans="1:26" x14ac:dyDescent="0.2">
      <c r="A141" s="26"/>
      <c r="B141" s="139"/>
      <c r="C141" s="76" t="s">
        <v>66</v>
      </c>
      <c r="D141" s="139"/>
      <c r="E141" s="20"/>
      <c r="F141" s="20"/>
      <c r="G141" s="222"/>
      <c r="H141" s="139"/>
      <c r="I141" s="104">
        <f>I139</f>
        <v>616526.68999999994</v>
      </c>
      <c r="J141" s="72"/>
      <c r="K141" s="104">
        <f>K139</f>
        <v>353805</v>
      </c>
      <c r="L141" s="75"/>
      <c r="M141" s="104">
        <f>M139</f>
        <v>263091.6060139999</v>
      </c>
      <c r="N141" s="75"/>
      <c r="O141" s="104">
        <f>O139</f>
        <v>9396.1287862142817</v>
      </c>
      <c r="P141" s="139"/>
      <c r="Q141" s="116">
        <f>IF(O141/I141*100=0,"-     ",ROUND(O141/I141*100,2))</f>
        <v>1.52</v>
      </c>
      <c r="S141" s="117">
        <v>28</v>
      </c>
      <c r="T141" s="32"/>
      <c r="U141" s="116">
        <v>1.74</v>
      </c>
      <c r="W141" s="104">
        <f>W139</f>
        <v>10727.564406</v>
      </c>
      <c r="Y141" s="104">
        <f>Y139</f>
        <v>-1331.4356197857178</v>
      </c>
    </row>
    <row r="142" spans="1:26" x14ac:dyDescent="0.2">
      <c r="A142" s="26"/>
      <c r="B142" s="139"/>
      <c r="C142" s="28"/>
      <c r="D142" s="139"/>
      <c r="E142" s="20"/>
      <c r="F142" s="20"/>
      <c r="G142" s="222"/>
      <c r="H142" s="139"/>
      <c r="I142" s="104"/>
      <c r="J142" s="72"/>
      <c r="K142" s="75"/>
      <c r="L142" s="75"/>
      <c r="M142" s="75"/>
      <c r="N142" s="75"/>
      <c r="O142" s="75"/>
      <c r="P142" s="139"/>
      <c r="Q142" s="26"/>
      <c r="R142" s="139"/>
      <c r="S142" s="62"/>
      <c r="T142" s="32"/>
      <c r="U142" s="26"/>
    </row>
    <row r="143" spans="1:26" x14ac:dyDescent="0.2">
      <c r="A143" s="26">
        <v>332</v>
      </c>
      <c r="B143" s="139"/>
      <c r="C143" s="57" t="s">
        <v>171</v>
      </c>
      <c r="D143" s="139"/>
      <c r="E143" s="56"/>
      <c r="F143" s="56"/>
      <c r="G143" s="224"/>
      <c r="H143" s="139"/>
      <c r="I143" s="104"/>
      <c r="J143" s="72"/>
      <c r="K143" s="75"/>
      <c r="L143" s="75"/>
      <c r="M143" s="75"/>
      <c r="N143" s="75"/>
      <c r="O143" s="75"/>
      <c r="P143" s="139"/>
      <c r="Q143" s="26"/>
      <c r="R143" s="139"/>
      <c r="S143" s="62"/>
      <c r="T143" s="32"/>
      <c r="U143" s="26"/>
    </row>
    <row r="144" spans="1:26" x14ac:dyDescent="0.2">
      <c r="A144" s="26"/>
      <c r="B144" s="139"/>
      <c r="C144" s="28" t="s">
        <v>58</v>
      </c>
      <c r="D144" s="139"/>
      <c r="E144" s="20" t="s">
        <v>133</v>
      </c>
      <c r="F144" s="20" t="s">
        <v>64</v>
      </c>
      <c r="G144" s="222">
        <f>'SKM Prod NS Weighting'!Q20</f>
        <v>-1.6000000000000001E-3</v>
      </c>
      <c r="H144" s="139"/>
      <c r="I144" s="78">
        <v>21603969.66</v>
      </c>
      <c r="J144" s="54"/>
      <c r="K144" s="78">
        <v>6697620</v>
      </c>
      <c r="L144" s="111"/>
      <c r="M144" s="200">
        <f t="shared" ref="M144" si="33">+((1-G144)*I144)-K144</f>
        <v>14940916.011456002</v>
      </c>
      <c r="N144" s="111"/>
      <c r="O144" s="45">
        <f t="shared" ref="O144" si="34">M144/S144</f>
        <v>515204.00039503456</v>
      </c>
      <c r="P144" s="139"/>
      <c r="Q144" s="116">
        <f>IF(O144/I144*100=0,"-     ",ROUND(O144/I144*100,2))</f>
        <v>2.38</v>
      </c>
      <c r="S144" s="117">
        <v>29</v>
      </c>
      <c r="T144" s="32"/>
      <c r="U144" s="116">
        <v>2.59</v>
      </c>
      <c r="W144" s="145">
        <f t="shared" ref="W144" si="35">(I144/100)*U144</f>
        <v>559542.81419399998</v>
      </c>
      <c r="Y144" s="159">
        <f>O144-W144</f>
        <v>-44338.813798965421</v>
      </c>
    </row>
    <row r="145" spans="1:25" x14ac:dyDescent="0.2">
      <c r="A145" s="26"/>
      <c r="B145" s="139"/>
      <c r="C145" s="28"/>
      <c r="D145" s="139"/>
      <c r="E145" s="20"/>
      <c r="F145" s="20"/>
      <c r="G145" s="222"/>
      <c r="H145" s="139"/>
      <c r="I145" s="104"/>
      <c r="J145" s="72"/>
      <c r="K145" s="75"/>
      <c r="L145" s="75"/>
      <c r="M145" s="75"/>
      <c r="N145" s="75"/>
      <c r="O145" s="75"/>
      <c r="P145" s="139"/>
      <c r="Q145" s="26"/>
      <c r="R145" s="139"/>
      <c r="S145" s="62"/>
      <c r="T145" s="32"/>
      <c r="U145" s="26"/>
      <c r="W145" s="152"/>
    </row>
    <row r="146" spans="1:25" x14ac:dyDescent="0.2">
      <c r="A146" s="26"/>
      <c r="B146" s="139"/>
      <c r="C146" s="115" t="s">
        <v>172</v>
      </c>
      <c r="D146" s="139"/>
      <c r="E146" s="20"/>
      <c r="F146" s="20"/>
      <c r="G146" s="222"/>
      <c r="H146" s="139"/>
      <c r="I146" s="104">
        <f>I144</f>
        <v>21603969.66</v>
      </c>
      <c r="J146" s="72"/>
      <c r="K146" s="104">
        <f>K144</f>
        <v>6697620</v>
      </c>
      <c r="L146" s="75"/>
      <c r="M146" s="104">
        <f>M144</f>
        <v>14940916.011456002</v>
      </c>
      <c r="N146" s="75"/>
      <c r="O146" s="104">
        <f>O144</f>
        <v>515204.00039503456</v>
      </c>
      <c r="P146" s="139"/>
      <c r="Q146" s="116">
        <f>IF(O146/I146*100=0,"-     ",ROUND(O146/I146*100,2))</f>
        <v>2.38</v>
      </c>
      <c r="S146" s="117">
        <v>29</v>
      </c>
      <c r="T146" s="32"/>
      <c r="U146" s="116">
        <v>2.59</v>
      </c>
      <c r="W146" s="104">
        <f>W144</f>
        <v>559542.81419399998</v>
      </c>
      <c r="Y146" s="104">
        <f>Y144</f>
        <v>-44338.813798965421</v>
      </c>
    </row>
    <row r="147" spans="1:25" x14ac:dyDescent="0.2">
      <c r="A147" s="26"/>
      <c r="B147" s="139"/>
      <c r="C147" s="28"/>
      <c r="D147" s="139"/>
      <c r="E147" s="20"/>
      <c r="F147" s="20"/>
      <c r="G147" s="222"/>
      <c r="H147" s="139"/>
      <c r="I147" s="104"/>
      <c r="J147" s="72"/>
      <c r="K147" s="75"/>
      <c r="L147" s="75"/>
      <c r="M147" s="75"/>
      <c r="N147" s="75"/>
      <c r="O147" s="75"/>
      <c r="P147" s="139"/>
      <c r="Q147" s="26"/>
      <c r="R147" s="139"/>
      <c r="S147" s="62"/>
      <c r="T147" s="32"/>
      <c r="U147" s="26"/>
    </row>
    <row r="148" spans="1:25" x14ac:dyDescent="0.2">
      <c r="A148" s="26">
        <v>333</v>
      </c>
      <c r="B148" s="139"/>
      <c r="C148" s="57" t="s">
        <v>173</v>
      </c>
      <c r="D148" s="139"/>
      <c r="E148" s="20"/>
      <c r="F148" s="20"/>
      <c r="G148" s="222"/>
      <c r="H148" s="139"/>
      <c r="I148" s="104"/>
      <c r="J148" s="72"/>
      <c r="K148" s="75"/>
      <c r="L148" s="75"/>
      <c r="M148" s="75"/>
      <c r="N148" s="75"/>
      <c r="O148" s="75"/>
      <c r="P148" s="139"/>
      <c r="Q148" s="26"/>
      <c r="R148" s="139"/>
      <c r="S148" s="62"/>
      <c r="T148" s="32"/>
      <c r="U148" s="26"/>
    </row>
    <row r="149" spans="1:25" x14ac:dyDescent="0.2">
      <c r="A149" s="26"/>
      <c r="B149" s="139"/>
      <c r="C149" s="28" t="s">
        <v>59</v>
      </c>
      <c r="D149" s="139"/>
      <c r="E149" s="20" t="s">
        <v>193</v>
      </c>
      <c r="F149" s="20" t="s">
        <v>64</v>
      </c>
      <c r="G149" s="222">
        <f>'SKM Prod NS Weighting'!Q21</f>
        <v>-1E-3</v>
      </c>
      <c r="H149" s="139"/>
      <c r="I149" s="78">
        <v>4430624.3099999996</v>
      </c>
      <c r="J149" s="54"/>
      <c r="K149" s="78">
        <v>19710</v>
      </c>
      <c r="L149" s="111"/>
      <c r="M149" s="200">
        <f t="shared" ref="M149" si="36">+((1-G149)*I149)-K149</f>
        <v>4415344.9343099995</v>
      </c>
      <c r="N149" s="111"/>
      <c r="O149" s="45">
        <f t="shared" ref="O149" si="37">M149/S149</f>
        <v>157690.8905110714</v>
      </c>
      <c r="P149" s="139"/>
      <c r="Q149" s="116">
        <f>IF(O149/I149*100=0,"-     ",ROUND(O149/I149*100,2))</f>
        <v>3.56</v>
      </c>
      <c r="S149" s="117">
        <v>28</v>
      </c>
      <c r="T149" s="32"/>
      <c r="U149" s="116">
        <v>3.77</v>
      </c>
      <c r="W149" s="145">
        <f t="shared" ref="W149" si="38">(I149/100)*U149</f>
        <v>167034.53648699998</v>
      </c>
      <c r="Y149" s="159">
        <f>O149-W149</f>
        <v>-9343.645975928579</v>
      </c>
    </row>
    <row r="150" spans="1:25" x14ac:dyDescent="0.2">
      <c r="A150" s="26"/>
      <c r="B150" s="139"/>
      <c r="C150" s="28"/>
      <c r="D150" s="139"/>
      <c r="E150" s="20"/>
      <c r="F150" s="20"/>
      <c r="G150" s="222"/>
      <c r="H150" s="139"/>
      <c r="I150" s="104"/>
      <c r="J150" s="72"/>
      <c r="K150" s="75"/>
      <c r="L150" s="75"/>
      <c r="M150" s="75"/>
      <c r="N150" s="75"/>
      <c r="O150" s="75"/>
      <c r="P150" s="139"/>
      <c r="Q150" s="26"/>
      <c r="R150" s="139"/>
      <c r="S150" s="62"/>
      <c r="T150" s="32"/>
      <c r="U150" s="26"/>
    </row>
    <row r="151" spans="1:25" x14ac:dyDescent="0.2">
      <c r="A151" s="26"/>
      <c r="B151" s="139"/>
      <c r="C151" s="115" t="s">
        <v>174</v>
      </c>
      <c r="D151" s="139"/>
      <c r="E151" s="20"/>
      <c r="F151" s="20"/>
      <c r="G151" s="222"/>
      <c r="H151" s="139"/>
      <c r="I151" s="104">
        <f>I149</f>
        <v>4430624.3099999996</v>
      </c>
      <c r="J151" s="72"/>
      <c r="K151" s="104">
        <f>K149</f>
        <v>19710</v>
      </c>
      <c r="L151" s="75"/>
      <c r="M151" s="104">
        <f>M149</f>
        <v>4415344.9343099995</v>
      </c>
      <c r="N151" s="75"/>
      <c r="O151" s="104">
        <f>O149</f>
        <v>157690.8905110714</v>
      </c>
      <c r="P151" s="139"/>
      <c r="Q151" s="116">
        <f>IF(O151/I151*100=0,"-     ",ROUND(O151/I151*100,2))</f>
        <v>3.56</v>
      </c>
      <c r="S151" s="117">
        <v>28</v>
      </c>
      <c r="T151" s="32"/>
      <c r="U151" s="116">
        <v>3.77</v>
      </c>
      <c r="W151" s="104">
        <f>W149</f>
        <v>167034.53648699998</v>
      </c>
      <c r="Y151" s="104">
        <f>Y149</f>
        <v>-9343.645975928579</v>
      </c>
    </row>
    <row r="152" spans="1:25" x14ac:dyDescent="0.2">
      <c r="A152" s="26"/>
      <c r="B152" s="139"/>
      <c r="C152" s="28"/>
      <c r="D152" s="139"/>
      <c r="E152" s="20"/>
      <c r="F152" s="20"/>
      <c r="G152" s="222"/>
      <c r="H152" s="139"/>
      <c r="I152" s="104"/>
      <c r="J152" s="72"/>
      <c r="K152" s="75"/>
      <c r="L152" s="75"/>
      <c r="M152" s="75"/>
      <c r="N152" s="75"/>
      <c r="O152" s="75"/>
      <c r="P152" s="139"/>
      <c r="Q152" s="26"/>
      <c r="R152" s="139"/>
      <c r="S152" s="62"/>
      <c r="T152" s="32"/>
      <c r="U152" s="26"/>
    </row>
    <row r="153" spans="1:25" x14ac:dyDescent="0.2">
      <c r="A153" s="26">
        <v>334</v>
      </c>
      <c r="B153" s="139"/>
      <c r="C153" s="28" t="s">
        <v>60</v>
      </c>
      <c r="D153" s="139"/>
      <c r="E153" s="20"/>
      <c r="F153" s="20"/>
      <c r="G153" s="222"/>
      <c r="H153" s="139"/>
      <c r="I153" s="104"/>
      <c r="J153" s="72"/>
      <c r="K153" s="75"/>
      <c r="L153" s="75"/>
      <c r="M153" s="75"/>
      <c r="N153" s="75"/>
      <c r="O153" s="75"/>
      <c r="P153" s="139"/>
      <c r="Q153" s="26"/>
      <c r="R153" s="139"/>
      <c r="S153" s="62"/>
      <c r="T153" s="32"/>
      <c r="U153" s="26"/>
    </row>
    <row r="154" spans="1:25" x14ac:dyDescent="0.2">
      <c r="A154" s="26"/>
      <c r="B154" s="139"/>
      <c r="C154" s="28" t="s">
        <v>59</v>
      </c>
      <c r="D154" s="139"/>
      <c r="E154" s="20" t="s">
        <v>139</v>
      </c>
      <c r="F154" s="20" t="s">
        <v>64</v>
      </c>
      <c r="G154" s="222">
        <f>'SKM Prod NS Weighting'!Q22</f>
        <v>0</v>
      </c>
      <c r="H154" s="139"/>
      <c r="I154" s="241">
        <v>578333.28</v>
      </c>
      <c r="J154" s="72"/>
      <c r="K154" s="73">
        <v>90045</v>
      </c>
      <c r="L154" s="75"/>
      <c r="M154" s="200">
        <f t="shared" ref="M154" si="39">+((1-G154)*I154)-K154</f>
        <v>488288.28</v>
      </c>
      <c r="N154" s="75"/>
      <c r="O154" s="45">
        <f t="shared" ref="O154" si="40">M154/S154</f>
        <v>19768.756275303644</v>
      </c>
      <c r="P154" s="139"/>
      <c r="Q154" s="116">
        <f>IF(O154/I154*100=0,"-     ",ROUND(O154/I154*100,2))</f>
        <v>3.42</v>
      </c>
      <c r="S154" s="117">
        <v>24.7</v>
      </c>
      <c r="T154" s="32"/>
      <c r="U154" s="116">
        <v>3.65</v>
      </c>
      <c r="W154" s="145">
        <f t="shared" ref="W154" si="41">(I154/100)*U154</f>
        <v>21109.164720000001</v>
      </c>
      <c r="Y154" s="159">
        <f>O154-W154</f>
        <v>-1340.408444696357</v>
      </c>
    </row>
    <row r="155" spans="1:25" x14ac:dyDescent="0.2">
      <c r="A155" s="26"/>
      <c r="B155" s="139"/>
      <c r="C155" s="28"/>
      <c r="D155" s="139"/>
      <c r="E155" s="20"/>
      <c r="F155" s="20"/>
      <c r="G155" s="222"/>
      <c r="H155" s="139"/>
      <c r="I155" s="104"/>
      <c r="J155" s="72"/>
      <c r="K155" s="75"/>
      <c r="L155" s="75"/>
      <c r="M155" s="75"/>
      <c r="N155" s="75"/>
      <c r="O155" s="75"/>
      <c r="P155" s="139"/>
      <c r="Q155" s="26"/>
      <c r="R155" s="139"/>
      <c r="S155" s="62"/>
      <c r="T155" s="32"/>
      <c r="U155" s="26"/>
    </row>
    <row r="156" spans="1:25" x14ac:dyDescent="0.2">
      <c r="A156" s="26"/>
      <c r="B156" s="139"/>
      <c r="C156" s="76" t="s">
        <v>67</v>
      </c>
      <c r="D156" s="139"/>
      <c r="E156" s="20"/>
      <c r="F156" s="20"/>
      <c r="G156" s="222"/>
      <c r="H156" s="139"/>
      <c r="I156" s="104">
        <f>I154</f>
        <v>578333.28</v>
      </c>
      <c r="J156" s="72"/>
      <c r="K156" s="104">
        <f>K154</f>
        <v>90045</v>
      </c>
      <c r="L156" s="75"/>
      <c r="M156" s="104">
        <f>M154</f>
        <v>488288.28</v>
      </c>
      <c r="N156" s="75"/>
      <c r="O156" s="104">
        <f>O154</f>
        <v>19768.756275303644</v>
      </c>
      <c r="P156" s="139"/>
      <c r="Q156" s="116">
        <f>IF(O156/I156*100=0,"-     ",ROUND(O156/I156*100,2))</f>
        <v>3.42</v>
      </c>
      <c r="S156" s="117">
        <v>24.7</v>
      </c>
      <c r="T156" s="32"/>
      <c r="U156" s="116">
        <v>3.65</v>
      </c>
      <c r="W156" s="104">
        <f>W154</f>
        <v>21109.164720000001</v>
      </c>
      <c r="Y156" s="144">
        <f>O156-W156</f>
        <v>-1340.408444696357</v>
      </c>
    </row>
    <row r="157" spans="1:25" x14ac:dyDescent="0.2">
      <c r="A157" s="26"/>
      <c r="B157" s="139"/>
      <c r="C157" s="28"/>
      <c r="D157" s="139"/>
      <c r="E157" s="20"/>
      <c r="F157" s="20"/>
      <c r="G157" s="222"/>
      <c r="H157" s="139"/>
      <c r="I157" s="104"/>
      <c r="J157" s="72"/>
      <c r="K157" s="75"/>
      <c r="L157" s="75"/>
      <c r="M157" s="75"/>
      <c r="N157" s="75"/>
      <c r="O157" s="75"/>
      <c r="P157" s="139"/>
      <c r="Q157" s="26"/>
      <c r="R157" s="139"/>
      <c r="S157" s="62"/>
      <c r="T157" s="32"/>
      <c r="U157" s="26"/>
    </row>
    <row r="158" spans="1:25" x14ac:dyDescent="0.2">
      <c r="A158" s="26">
        <v>335</v>
      </c>
      <c r="B158" s="139"/>
      <c r="C158" s="28" t="s">
        <v>69</v>
      </c>
      <c r="D158" s="139"/>
      <c r="E158" s="20"/>
      <c r="F158" s="20"/>
      <c r="G158" s="222"/>
      <c r="H158" s="139"/>
      <c r="I158" s="104"/>
      <c r="J158" s="72"/>
      <c r="K158" s="75"/>
      <c r="L158" s="75"/>
      <c r="M158" s="75"/>
      <c r="N158" s="75"/>
      <c r="O158" s="75"/>
      <c r="P158" s="139"/>
      <c r="Q158" s="26"/>
      <c r="R158" s="139"/>
      <c r="S158" s="62"/>
      <c r="T158" s="32"/>
      <c r="U158" s="26"/>
    </row>
    <row r="159" spans="1:25" x14ac:dyDescent="0.2">
      <c r="A159" s="26"/>
      <c r="B159" s="139"/>
      <c r="C159" s="28" t="s">
        <v>59</v>
      </c>
      <c r="D159" s="139"/>
      <c r="E159" s="20" t="s">
        <v>140</v>
      </c>
      <c r="F159" s="20" t="s">
        <v>64</v>
      </c>
      <c r="G159" s="222">
        <f>'SKM Prod NS Weighting'!Q23</f>
        <v>-1.9300000000000001E-2</v>
      </c>
      <c r="H159" s="139"/>
      <c r="I159" s="241">
        <v>297023.86</v>
      </c>
      <c r="J159" s="72"/>
      <c r="K159" s="73">
        <v>85989</v>
      </c>
      <c r="L159" s="75"/>
      <c r="M159" s="200">
        <f t="shared" ref="M159" si="42">+((1-G159)*I159)-K159</f>
        <v>216767.42049799999</v>
      </c>
      <c r="N159" s="75"/>
      <c r="O159" s="45">
        <f t="shared" ref="O159" si="43">M159/S159</f>
        <v>12826.474585680475</v>
      </c>
      <c r="P159" s="139"/>
      <c r="Q159" s="116">
        <f>IF(O159/I159*100=0,"-     ",ROUND(O159/I159*100,2))</f>
        <v>4.32</v>
      </c>
      <c r="S159" s="117">
        <v>16.899999999999999</v>
      </c>
      <c r="T159" s="32"/>
      <c r="U159" s="116">
        <v>4.5599999999999996</v>
      </c>
      <c r="W159" s="145">
        <f t="shared" ref="W159" si="44">(I159/100)*U159</f>
        <v>13544.288015999997</v>
      </c>
      <c r="Y159" s="159">
        <f>O159-W159</f>
        <v>-717.81343031952201</v>
      </c>
    </row>
    <row r="160" spans="1:25" x14ac:dyDescent="0.2">
      <c r="A160" s="26"/>
      <c r="B160" s="139"/>
      <c r="C160" s="28"/>
      <c r="D160" s="139"/>
      <c r="E160" s="20"/>
      <c r="F160" s="20"/>
      <c r="G160" s="222"/>
      <c r="H160" s="139"/>
      <c r="I160" s="104"/>
      <c r="J160" s="72"/>
      <c r="K160" s="75"/>
      <c r="L160" s="75"/>
      <c r="M160" s="75"/>
      <c r="N160" s="75"/>
      <c r="O160" s="75"/>
      <c r="P160" s="139"/>
      <c r="Q160" s="26"/>
      <c r="R160" s="139"/>
      <c r="S160" s="62"/>
      <c r="T160" s="32"/>
      <c r="U160" s="26"/>
    </row>
    <row r="161" spans="1:26" x14ac:dyDescent="0.2">
      <c r="A161" s="26"/>
      <c r="B161" s="139"/>
      <c r="C161" s="76" t="s">
        <v>68</v>
      </c>
      <c r="D161" s="139"/>
      <c r="E161" s="20"/>
      <c r="F161" s="20"/>
      <c r="G161" s="222"/>
      <c r="H161" s="139"/>
      <c r="I161" s="104">
        <f>I159</f>
        <v>297023.86</v>
      </c>
      <c r="J161" s="72"/>
      <c r="K161" s="104">
        <f>K159</f>
        <v>85989</v>
      </c>
      <c r="L161" s="75"/>
      <c r="M161" s="104">
        <f>M159</f>
        <v>216767.42049799999</v>
      </c>
      <c r="N161" s="75"/>
      <c r="O161" s="104">
        <f>O159</f>
        <v>12826.474585680475</v>
      </c>
      <c r="P161" s="139"/>
      <c r="Q161" s="116">
        <f>IF(O161/I161*100=0,"-     ",ROUND(O161/I161*100,2))</f>
        <v>4.32</v>
      </c>
      <c r="S161" s="117">
        <v>16.899999999999999</v>
      </c>
      <c r="T161" s="32"/>
      <c r="U161" s="116">
        <v>4.5599999999999996</v>
      </c>
      <c r="W161" s="104">
        <f>W159</f>
        <v>13544.288015999997</v>
      </c>
      <c r="Y161" s="104">
        <f>Y159</f>
        <v>-717.81343031952201</v>
      </c>
    </row>
    <row r="162" spans="1:26" x14ac:dyDescent="0.2">
      <c r="A162" s="26"/>
      <c r="B162" s="139"/>
      <c r="C162" s="28"/>
      <c r="D162" s="139"/>
      <c r="E162" s="20"/>
      <c r="F162" s="20"/>
      <c r="G162" s="222"/>
      <c r="H162" s="139"/>
      <c r="I162" s="104"/>
      <c r="J162" s="72"/>
      <c r="K162" s="75"/>
      <c r="L162" s="75"/>
      <c r="M162" s="75"/>
      <c r="N162" s="75"/>
      <c r="O162" s="75"/>
      <c r="P162" s="139"/>
      <c r="Q162" s="26"/>
      <c r="R162" s="139"/>
      <c r="S162" s="62"/>
      <c r="T162" s="32"/>
      <c r="U162" s="26"/>
    </row>
    <row r="163" spans="1:26" x14ac:dyDescent="0.2">
      <c r="A163" s="26">
        <v>336</v>
      </c>
      <c r="B163" s="139"/>
      <c r="C163" s="57" t="s">
        <v>175</v>
      </c>
      <c r="D163" s="139"/>
      <c r="E163" s="20"/>
      <c r="F163" s="20"/>
      <c r="G163" s="222"/>
      <c r="H163" s="139"/>
      <c r="I163" s="104"/>
      <c r="J163" s="72"/>
      <c r="K163" s="75"/>
      <c r="L163" s="75"/>
      <c r="M163" s="75"/>
      <c r="N163" s="75"/>
      <c r="O163" s="45"/>
      <c r="P163" s="139"/>
      <c r="Q163" s="26"/>
      <c r="R163" s="139"/>
      <c r="S163" s="62"/>
      <c r="T163" s="32"/>
      <c r="U163" s="26"/>
    </row>
    <row r="164" spans="1:26" s="25" customFormat="1" x14ac:dyDescent="0.2">
      <c r="A164" s="79"/>
      <c r="B164" s="72"/>
      <c r="C164" s="28" t="s">
        <v>58</v>
      </c>
      <c r="D164" s="72"/>
      <c r="E164" s="80" t="s">
        <v>141</v>
      </c>
      <c r="F164" s="20" t="s">
        <v>64</v>
      </c>
      <c r="G164" s="222">
        <f>'SKM Prod NS Weighting'!Q24</f>
        <v>0</v>
      </c>
      <c r="H164" s="72"/>
      <c r="I164" s="241">
        <v>176359.59</v>
      </c>
      <c r="J164" s="72"/>
      <c r="K164" s="73">
        <v>49946</v>
      </c>
      <c r="L164" s="75"/>
      <c r="M164" s="200">
        <f t="shared" ref="M164" si="45">+((1-G164)*I164)-K164</f>
        <v>126413.59</v>
      </c>
      <c r="N164" s="75"/>
      <c r="O164" s="45">
        <f t="shared" ref="O164" si="46">M164/S164</f>
        <v>6833.167027027027</v>
      </c>
      <c r="P164" s="72"/>
      <c r="Q164" s="116">
        <f>IF(O164/I164*100=0,"-     ",ROUND(O164/I164*100,2))</f>
        <v>3.87</v>
      </c>
      <c r="R164" s="135"/>
      <c r="S164" s="117">
        <v>18.5</v>
      </c>
      <c r="T164" s="54"/>
      <c r="U164" s="116">
        <v>4.1900000000000004</v>
      </c>
      <c r="W164" s="145">
        <f t="shared" ref="W164" si="47">(I164/100)*U164</f>
        <v>7389.4668210000009</v>
      </c>
      <c r="X164" s="138"/>
      <c r="Y164" s="159">
        <f>O164-W164</f>
        <v>-556.29979397297393</v>
      </c>
    </row>
    <row r="165" spans="1:26" x14ac:dyDescent="0.2">
      <c r="A165" s="26"/>
      <c r="B165" s="139"/>
      <c r="C165" s="28"/>
      <c r="D165" s="139"/>
      <c r="E165" s="20"/>
      <c r="F165" s="20"/>
      <c r="G165" s="222"/>
      <c r="H165" s="139"/>
      <c r="I165" s="104"/>
      <c r="J165" s="72"/>
      <c r="K165" s="75"/>
      <c r="L165" s="75"/>
      <c r="M165" s="75"/>
      <c r="N165" s="75"/>
      <c r="O165" s="75"/>
      <c r="P165" s="139"/>
      <c r="Q165" s="26"/>
      <c r="R165" s="139"/>
      <c r="S165" s="62"/>
      <c r="T165" s="32"/>
      <c r="U165" s="26"/>
    </row>
    <row r="166" spans="1:26" x14ac:dyDescent="0.2">
      <c r="A166" s="26"/>
      <c r="B166" s="139"/>
      <c r="C166" s="76" t="s">
        <v>61</v>
      </c>
      <c r="D166" s="139"/>
      <c r="E166" s="20"/>
      <c r="F166" s="20"/>
      <c r="G166" s="222"/>
      <c r="H166" s="139"/>
      <c r="I166" s="241">
        <f>I164</f>
        <v>176359.59</v>
      </c>
      <c r="J166" s="72"/>
      <c r="K166" s="241">
        <f>K164</f>
        <v>49946</v>
      </c>
      <c r="L166" s="75"/>
      <c r="M166" s="73">
        <f>+SUBTOTAL(9,M164:M165)</f>
        <v>126413.59</v>
      </c>
      <c r="N166" s="75"/>
      <c r="O166" s="73">
        <f>+SUBTOTAL(9,O164:O165)</f>
        <v>6833.167027027027</v>
      </c>
      <c r="P166" s="139"/>
      <c r="Q166" s="116">
        <f>IF(O166/I166*100=0,"-     ",ROUND(O166/I166*100,2))</f>
        <v>3.87</v>
      </c>
      <c r="S166" s="117">
        <v>18.5</v>
      </c>
      <c r="T166" s="32"/>
      <c r="U166" s="116">
        <v>4.1900000000000004</v>
      </c>
      <c r="W166" s="241">
        <f>W164</f>
        <v>7389.4668210000009</v>
      </c>
      <c r="Y166" s="241">
        <f>Y164</f>
        <v>-556.29979397297393</v>
      </c>
    </row>
    <row r="167" spans="1:26" x14ac:dyDescent="0.2">
      <c r="A167" s="26"/>
      <c r="B167" s="139"/>
      <c r="C167" s="28"/>
      <c r="D167" s="139"/>
      <c r="E167" s="20"/>
      <c r="F167" s="20"/>
      <c r="G167" s="222"/>
      <c r="H167" s="139"/>
      <c r="I167" s="104"/>
      <c r="J167" s="72"/>
      <c r="K167" s="75"/>
      <c r="L167" s="75"/>
      <c r="M167" s="75"/>
      <c r="N167" s="75"/>
      <c r="O167" s="75"/>
      <c r="P167" s="139"/>
      <c r="Q167" s="26"/>
      <c r="R167" s="139"/>
      <c r="S167" s="62"/>
      <c r="T167" s="32"/>
      <c r="U167" s="26"/>
    </row>
    <row r="168" spans="1:26" s="24" customFormat="1" ht="15.75" x14ac:dyDescent="0.25">
      <c r="A168" s="82"/>
      <c r="B168" s="83"/>
      <c r="C168" s="64" t="s">
        <v>188</v>
      </c>
      <c r="D168" s="83"/>
      <c r="E168" s="85"/>
      <c r="F168" s="85"/>
      <c r="G168" s="225"/>
      <c r="H168" s="83"/>
      <c r="I168" s="102">
        <f>SUM(I166,I161,I156,I151,I146,I141,I136)</f>
        <v>28582148.859999999</v>
      </c>
      <c r="J168" s="83"/>
      <c r="K168" s="102">
        <f>SUM(K166,K161,K156,K151,K146,K141,K136)</f>
        <v>8176426</v>
      </c>
      <c r="L168" s="84"/>
      <c r="M168" s="102">
        <f>SUM(M166,M161,M156,M151,M146,M141,M136)</f>
        <v>20450822.312277999</v>
      </c>
      <c r="N168" s="84"/>
      <c r="O168" s="102">
        <f>SUM(O166,O161,O156,O151,O146,O141,O136)</f>
        <v>721719.41758033133</v>
      </c>
      <c r="P168" s="83"/>
      <c r="Q168" s="137">
        <f>+ROUND(O168/I168*100,2)</f>
        <v>2.5299999999999998</v>
      </c>
      <c r="R168" s="139"/>
      <c r="S168" s="62"/>
      <c r="T168" s="112"/>
      <c r="U168" s="242">
        <f>W168/I168</f>
        <v>2.7266943379987699E-2</v>
      </c>
      <c r="W168" s="102">
        <f>SUM(W166,W161,W156,W151,W146,W141,W136)</f>
        <v>779347.83464399993</v>
      </c>
      <c r="X168" s="137"/>
      <c r="Y168" s="102">
        <f>SUM(Y166,Y161,Y156,Y151,Y146,Y141,Y136)</f>
        <v>-57628.417063668574</v>
      </c>
      <c r="Z168" s="257">
        <f>+Y168</f>
        <v>-57628.417063668574</v>
      </c>
    </row>
    <row r="169" spans="1:26" ht="15.75" x14ac:dyDescent="0.25">
      <c r="A169" s="26"/>
      <c r="B169" s="139"/>
      <c r="C169" s="28"/>
      <c r="D169" s="139"/>
      <c r="E169" s="20"/>
      <c r="F169" s="20"/>
      <c r="G169" s="222"/>
      <c r="H169" s="139"/>
      <c r="I169" s="45"/>
      <c r="J169" s="30"/>
      <c r="K169" s="31"/>
      <c r="L169" s="31"/>
      <c r="M169" s="31"/>
      <c r="N169" s="31"/>
      <c r="O169" s="31"/>
      <c r="P169" s="139"/>
      <c r="Q169" s="26"/>
      <c r="R169" s="139"/>
      <c r="S169" s="62"/>
      <c r="T169" s="32"/>
      <c r="U169" s="26"/>
    </row>
    <row r="170" spans="1:26" x14ac:dyDescent="0.2">
      <c r="A170" s="26"/>
      <c r="B170" s="139"/>
      <c r="C170" s="87"/>
      <c r="D170" s="139"/>
      <c r="E170" s="20"/>
      <c r="F170" s="20"/>
      <c r="G170" s="222"/>
      <c r="H170" s="139"/>
      <c r="I170" s="45"/>
      <c r="J170" s="139"/>
      <c r="K170" s="34"/>
      <c r="L170" s="34"/>
      <c r="M170" s="34"/>
      <c r="N170" s="34"/>
      <c r="O170" s="34"/>
      <c r="P170" s="139"/>
      <c r="Q170" s="26"/>
      <c r="R170" s="139"/>
      <c r="S170" s="62"/>
      <c r="T170" s="32"/>
      <c r="U170" s="26"/>
    </row>
    <row r="171" spans="1:26" ht="15.75" x14ac:dyDescent="0.25">
      <c r="A171" s="26"/>
      <c r="B171" s="32"/>
      <c r="C171" s="53" t="s">
        <v>34</v>
      </c>
      <c r="D171" s="32"/>
      <c r="E171" s="20"/>
      <c r="F171" s="20"/>
      <c r="G171" s="222"/>
      <c r="H171" s="32"/>
      <c r="I171" s="45"/>
      <c r="J171" s="32"/>
      <c r="K171" s="34"/>
      <c r="L171" s="34"/>
      <c r="M171" s="34"/>
      <c r="N171" s="34"/>
      <c r="O171" s="34"/>
      <c r="P171" s="32"/>
      <c r="Q171" s="26"/>
      <c r="R171" s="139"/>
      <c r="S171" s="62"/>
      <c r="T171" s="32"/>
      <c r="U171" s="26"/>
    </row>
    <row r="172" spans="1:26" s="139" customFormat="1" x14ac:dyDescent="0.2">
      <c r="A172" s="26"/>
      <c r="C172" s="33"/>
      <c r="E172" s="20"/>
      <c r="F172" s="20"/>
      <c r="G172" s="222"/>
      <c r="I172" s="45"/>
      <c r="K172" s="34"/>
      <c r="L172" s="34"/>
      <c r="M172" s="34"/>
      <c r="N172" s="34"/>
      <c r="O172" s="34"/>
      <c r="Q172" s="26"/>
      <c r="S172" s="62"/>
      <c r="T172" s="32"/>
      <c r="U172" s="26"/>
      <c r="W172" s="150"/>
      <c r="Y172" s="153"/>
    </row>
    <row r="173" spans="1:26" s="140" customFormat="1" x14ac:dyDescent="0.2">
      <c r="A173" s="35">
        <v>340.1</v>
      </c>
      <c r="C173" s="37" t="s">
        <v>91</v>
      </c>
      <c r="E173" s="38"/>
      <c r="F173" s="38"/>
      <c r="G173" s="226"/>
      <c r="I173" s="176"/>
      <c r="K173" s="41"/>
      <c r="L173" s="41"/>
      <c r="M173" s="41"/>
      <c r="N173" s="41"/>
      <c r="O173" s="41"/>
      <c r="Q173" s="26"/>
      <c r="R173" s="139"/>
      <c r="S173" s="62"/>
      <c r="T173" s="42"/>
      <c r="U173" s="26"/>
      <c r="W173" s="151"/>
      <c r="Y173" s="156"/>
    </row>
    <row r="174" spans="1:26" s="136" customFormat="1" x14ac:dyDescent="0.2">
      <c r="A174" s="35"/>
      <c r="B174" s="140"/>
      <c r="C174" s="88" t="s">
        <v>190</v>
      </c>
      <c r="D174" s="140"/>
      <c r="E174" s="38" t="s">
        <v>132</v>
      </c>
      <c r="F174" s="20" t="s">
        <v>64</v>
      </c>
      <c r="G174" s="226">
        <v>0</v>
      </c>
      <c r="H174" s="140"/>
      <c r="I174" s="90">
        <v>176409.31</v>
      </c>
      <c r="J174" s="140"/>
      <c r="K174" s="69">
        <v>99438</v>
      </c>
      <c r="L174" s="41"/>
      <c r="M174" s="200">
        <f t="shared" ref="M174" si="48">+((1-G174)*I174)-K174</f>
        <v>76971.31</v>
      </c>
      <c r="N174" s="41"/>
      <c r="O174" s="45">
        <f t="shared" ref="O174" si="49">M174/S174</f>
        <v>3947.2466666666664</v>
      </c>
      <c r="P174" s="140"/>
      <c r="Q174" s="116">
        <f>IF(O174/I174*100=0,"-     ",ROUND(O174/I174*100,2))</f>
        <v>2.2400000000000002</v>
      </c>
      <c r="R174" s="135"/>
      <c r="S174" s="117">
        <v>19.5</v>
      </c>
      <c r="T174" s="42"/>
      <c r="U174" s="116">
        <v>2.2400000000000002</v>
      </c>
      <c r="W174" s="145">
        <f t="shared" ref="W174" si="50">(I174/100)*U174</f>
        <v>3951.5685440000007</v>
      </c>
      <c r="Y174" s="159">
        <f>O174-W174</f>
        <v>-4.3218773333342142</v>
      </c>
    </row>
    <row r="175" spans="1:26" s="136" customFormat="1" x14ac:dyDescent="0.2">
      <c r="A175" s="35"/>
      <c r="B175" s="140"/>
      <c r="C175" s="37"/>
      <c r="D175" s="140"/>
      <c r="E175" s="38"/>
      <c r="F175" s="38"/>
      <c r="G175" s="226"/>
      <c r="H175" s="140"/>
      <c r="I175" s="176"/>
      <c r="J175" s="140"/>
      <c r="K175" s="41"/>
      <c r="L175" s="41"/>
      <c r="M175" s="41"/>
      <c r="N175" s="41"/>
      <c r="O175" s="41"/>
      <c r="P175" s="140"/>
      <c r="Q175" s="26"/>
      <c r="R175" s="139"/>
      <c r="S175" s="62"/>
      <c r="T175" s="42"/>
      <c r="U175" s="26"/>
      <c r="W175" s="152"/>
      <c r="Y175" s="157"/>
    </row>
    <row r="176" spans="1:26" s="136" customFormat="1" ht="15.75" x14ac:dyDescent="0.25">
      <c r="A176" s="35"/>
      <c r="B176" s="140"/>
      <c r="C176" s="89" t="s">
        <v>89</v>
      </c>
      <c r="D176" s="140"/>
      <c r="E176" s="38"/>
      <c r="F176" s="38"/>
      <c r="G176" s="226"/>
      <c r="H176" s="140"/>
      <c r="I176" s="104">
        <f>I174</f>
        <v>176409.31</v>
      </c>
      <c r="J176" s="72"/>
      <c r="K176" s="74">
        <f>K174</f>
        <v>99438</v>
      </c>
      <c r="L176" s="75"/>
      <c r="M176" s="74">
        <f>M174</f>
        <v>76971.31</v>
      </c>
      <c r="N176" s="75"/>
      <c r="O176" s="74">
        <f>O174</f>
        <v>3947.2466666666664</v>
      </c>
      <c r="P176" s="140"/>
      <c r="Q176" s="116">
        <f>IF(O176/I176*100=0,"-     ",ROUND(O176/I176*100,2))</f>
        <v>2.2400000000000002</v>
      </c>
      <c r="R176" s="135"/>
      <c r="S176" s="117">
        <v>19.5</v>
      </c>
      <c r="T176" s="42"/>
      <c r="U176" s="242">
        <f>W176/I176</f>
        <v>2.2400000000000003E-2</v>
      </c>
      <c r="W176" s="74">
        <f>W174</f>
        <v>3951.5685440000007</v>
      </c>
      <c r="Y176" s="74">
        <f>Y174</f>
        <v>-4.3218773333342142</v>
      </c>
    </row>
    <row r="177" spans="1:25" s="136" customFormat="1" x14ac:dyDescent="0.2">
      <c r="A177" s="35"/>
      <c r="B177" s="140"/>
      <c r="C177" s="37"/>
      <c r="D177" s="140"/>
      <c r="E177" s="38"/>
      <c r="F177" s="38"/>
      <c r="G177" s="226"/>
      <c r="H177" s="140"/>
      <c r="I177" s="176"/>
      <c r="J177" s="140"/>
      <c r="K177" s="41"/>
      <c r="L177" s="41"/>
      <c r="M177" s="41"/>
      <c r="N177" s="41"/>
      <c r="O177" s="41"/>
      <c r="P177" s="140"/>
      <c r="Q177" s="26"/>
      <c r="R177" s="139"/>
      <c r="S177" s="62"/>
      <c r="T177" s="42"/>
      <c r="U177" s="26"/>
      <c r="W177" s="152"/>
      <c r="Y177" s="157"/>
    </row>
    <row r="178" spans="1:25" x14ac:dyDescent="0.2">
      <c r="A178" s="26">
        <v>341</v>
      </c>
      <c r="B178" s="139"/>
      <c r="C178" s="63" t="s">
        <v>35</v>
      </c>
      <c r="D178" s="139"/>
      <c r="E178" s="56"/>
      <c r="F178" s="56"/>
      <c r="G178" s="224"/>
      <c r="H178" s="139"/>
      <c r="I178" s="45"/>
      <c r="J178" s="139"/>
      <c r="K178" s="34"/>
      <c r="L178" s="34"/>
      <c r="M178" s="34"/>
      <c r="N178" s="34"/>
      <c r="O178" s="34"/>
      <c r="P178" s="139"/>
      <c r="Q178" s="26"/>
      <c r="R178" s="139"/>
      <c r="S178" s="62"/>
      <c r="T178" s="32"/>
      <c r="U178" s="26"/>
    </row>
    <row r="179" spans="1:25" x14ac:dyDescent="0.2">
      <c r="A179" s="26"/>
      <c r="B179" s="139"/>
      <c r="C179" s="58" t="s">
        <v>113</v>
      </c>
      <c r="D179" s="139"/>
      <c r="E179" s="20" t="s">
        <v>142</v>
      </c>
      <c r="F179" s="20" t="s">
        <v>64</v>
      </c>
      <c r="G179" s="222">
        <f>'SKM Prod NS Weighting'!Q28</f>
        <v>0</v>
      </c>
      <c r="H179" s="139"/>
      <c r="I179" s="45">
        <v>3740231.32</v>
      </c>
      <c r="J179" s="44"/>
      <c r="K179" s="45">
        <v>1170949</v>
      </c>
      <c r="L179" s="45"/>
      <c r="M179" s="200">
        <f t="shared" ref="M179:M193" si="51">+((1-G179)*I179)-K179</f>
        <v>2569282.3199999998</v>
      </c>
      <c r="N179" s="45"/>
      <c r="O179" s="45">
        <f t="shared" ref="O179:O193" si="52">M179/S179</f>
        <v>135225.38526315789</v>
      </c>
      <c r="P179" s="139"/>
      <c r="Q179" s="116">
        <f t="shared" ref="Q179:Q193" si="53">IF(O179/I179*100=0,"-     ",ROUND(O179/I179*100,2))</f>
        <v>3.62</v>
      </c>
      <c r="S179" s="117">
        <v>19</v>
      </c>
      <c r="T179" s="32"/>
      <c r="U179" s="116">
        <v>3.87</v>
      </c>
      <c r="W179" s="145">
        <f t="shared" ref="W179:W193" si="54">(I179/100)*U179</f>
        <v>144746.95208399999</v>
      </c>
      <c r="Y179" s="157">
        <f t="shared" ref="Y179:Y193" si="55">O179-W179</f>
        <v>-9521.5668208420975</v>
      </c>
    </row>
    <row r="180" spans="1:25" x14ac:dyDescent="0.2">
      <c r="A180" s="26"/>
      <c r="B180" s="139"/>
      <c r="C180" s="58" t="s">
        <v>114</v>
      </c>
      <c r="D180" s="139"/>
      <c r="E180" s="20" t="s">
        <v>142</v>
      </c>
      <c r="F180" s="20" t="s">
        <v>64</v>
      </c>
      <c r="G180" s="222">
        <f>'SKM Prod NS Weighting'!Q29</f>
        <v>-6.3E-3</v>
      </c>
      <c r="H180" s="139"/>
      <c r="I180" s="45">
        <v>3588684.24</v>
      </c>
      <c r="J180" s="44"/>
      <c r="K180" s="45">
        <v>1130371</v>
      </c>
      <c r="L180" s="45"/>
      <c r="M180" s="200">
        <f t="shared" si="51"/>
        <v>2480921.950712</v>
      </c>
      <c r="N180" s="45"/>
      <c r="O180" s="45">
        <f t="shared" si="52"/>
        <v>130574.8395111579</v>
      </c>
      <c r="P180" s="139"/>
      <c r="Q180" s="116">
        <f t="shared" si="53"/>
        <v>3.64</v>
      </c>
      <c r="S180" s="117">
        <v>19</v>
      </c>
      <c r="T180" s="32"/>
      <c r="U180" s="116">
        <v>3.86</v>
      </c>
      <c r="W180" s="145">
        <f t="shared" si="54"/>
        <v>138523.211664</v>
      </c>
      <c r="Y180" s="157">
        <f t="shared" si="55"/>
        <v>-7948.3721528421011</v>
      </c>
    </row>
    <row r="181" spans="1:25" x14ac:dyDescent="0.2">
      <c r="A181" s="26"/>
      <c r="B181" s="139"/>
      <c r="C181" s="58" t="s">
        <v>115</v>
      </c>
      <c r="D181" s="139"/>
      <c r="E181" s="20" t="s">
        <v>142</v>
      </c>
      <c r="F181" s="20" t="s">
        <v>64</v>
      </c>
      <c r="G181" s="222">
        <f>'SKM Prod NS Weighting'!Q30</f>
        <v>-6.8000000000000005E-3</v>
      </c>
      <c r="H181" s="139"/>
      <c r="I181" s="45">
        <v>3559154.97</v>
      </c>
      <c r="J181" s="44"/>
      <c r="K181" s="45">
        <v>909260</v>
      </c>
      <c r="L181" s="45"/>
      <c r="M181" s="200">
        <f t="shared" si="51"/>
        <v>2674097.2237959998</v>
      </c>
      <c r="N181" s="45"/>
      <c r="O181" s="45">
        <f t="shared" si="52"/>
        <v>127947.23558832536</v>
      </c>
      <c r="P181" s="139"/>
      <c r="Q181" s="116">
        <f t="shared" si="53"/>
        <v>3.59</v>
      </c>
      <c r="S181" s="117">
        <v>20.9</v>
      </c>
      <c r="T181" s="32"/>
      <c r="U181" s="116">
        <v>3.8</v>
      </c>
      <c r="W181" s="145">
        <f t="shared" si="54"/>
        <v>135247.88886000001</v>
      </c>
      <c r="Y181" s="157">
        <f t="shared" si="55"/>
        <v>-7300.6532716746442</v>
      </c>
    </row>
    <row r="182" spans="1:25" x14ac:dyDescent="0.2">
      <c r="A182" s="26"/>
      <c r="B182" s="139"/>
      <c r="C182" s="58" t="s">
        <v>116</v>
      </c>
      <c r="D182" s="139"/>
      <c r="E182" s="20" t="s">
        <v>142</v>
      </c>
      <c r="F182" s="20" t="s">
        <v>64</v>
      </c>
      <c r="G182" s="222">
        <f>'SKM Prod NS Weighting'!Q31</f>
        <v>-1.5000000000000001E-4</v>
      </c>
      <c r="H182" s="139"/>
      <c r="I182" s="45">
        <v>3548851.71</v>
      </c>
      <c r="J182" s="44"/>
      <c r="K182" s="45">
        <v>906628</v>
      </c>
      <c r="L182" s="45"/>
      <c r="M182" s="200">
        <f t="shared" si="51"/>
        <v>2642756.0377565003</v>
      </c>
      <c r="N182" s="45"/>
      <c r="O182" s="45">
        <f t="shared" si="52"/>
        <v>126447.65730892347</v>
      </c>
      <c r="P182" s="139"/>
      <c r="Q182" s="116">
        <f t="shared" si="53"/>
        <v>3.56</v>
      </c>
      <c r="S182" s="117">
        <v>20.9</v>
      </c>
      <c r="T182" s="32"/>
      <c r="U182" s="116">
        <v>3.8</v>
      </c>
      <c r="W182" s="145">
        <f t="shared" si="54"/>
        <v>134856.36497999998</v>
      </c>
      <c r="Y182" s="157">
        <f t="shared" si="55"/>
        <v>-8408.7076710765105</v>
      </c>
    </row>
    <row r="183" spans="1:25" x14ac:dyDescent="0.2">
      <c r="A183" s="26"/>
      <c r="B183" s="139"/>
      <c r="C183" s="58" t="s">
        <v>117</v>
      </c>
      <c r="D183" s="139"/>
      <c r="E183" s="20" t="s">
        <v>142</v>
      </c>
      <c r="F183" s="20" t="s">
        <v>64</v>
      </c>
      <c r="G183" s="222">
        <f>'SKM Prod NS Weighting'!Q32</f>
        <v>-1E-3</v>
      </c>
      <c r="H183" s="139"/>
      <c r="I183" s="45">
        <v>3655976.41</v>
      </c>
      <c r="J183" s="44"/>
      <c r="K183" s="45">
        <v>923545</v>
      </c>
      <c r="L183" s="45"/>
      <c r="M183" s="200">
        <f t="shared" si="51"/>
        <v>2736087.3864099998</v>
      </c>
      <c r="N183" s="45"/>
      <c r="O183" s="45">
        <f t="shared" si="52"/>
        <v>130913.27207703349</v>
      </c>
      <c r="P183" s="139"/>
      <c r="Q183" s="116">
        <f t="shared" si="53"/>
        <v>3.58</v>
      </c>
      <c r="S183" s="117">
        <v>20.9</v>
      </c>
      <c r="T183" s="32"/>
      <c r="U183" s="116">
        <v>3.82</v>
      </c>
      <c r="W183" s="145">
        <f t="shared" si="54"/>
        <v>139658.298862</v>
      </c>
      <c r="Y183" s="157">
        <f t="shared" si="55"/>
        <v>-8745.0267849665106</v>
      </c>
    </row>
    <row r="184" spans="1:25" x14ac:dyDescent="0.2">
      <c r="A184" s="26"/>
      <c r="B184" s="139"/>
      <c r="C184" s="58" t="s">
        <v>118</v>
      </c>
      <c r="D184" s="139"/>
      <c r="E184" s="20" t="s">
        <v>142</v>
      </c>
      <c r="F184" s="20" t="s">
        <v>64</v>
      </c>
      <c r="G184" s="222">
        <f>'SKM Prod NS Weighting'!Q33</f>
        <v>0</v>
      </c>
      <c r="H184" s="139"/>
      <c r="I184" s="45">
        <v>3653029.99</v>
      </c>
      <c r="J184" s="44"/>
      <c r="K184" s="45">
        <v>922801</v>
      </c>
      <c r="L184" s="45"/>
      <c r="M184" s="200">
        <f t="shared" si="51"/>
        <v>2730228.99</v>
      </c>
      <c r="N184" s="45"/>
      <c r="O184" s="45">
        <f t="shared" si="52"/>
        <v>130632.96602870815</v>
      </c>
      <c r="P184" s="139"/>
      <c r="Q184" s="116">
        <f t="shared" si="53"/>
        <v>3.58</v>
      </c>
      <c r="S184" s="117">
        <v>20.9</v>
      </c>
      <c r="T184" s="32"/>
      <c r="U184" s="116">
        <v>3.82</v>
      </c>
      <c r="W184" s="145">
        <f t="shared" si="54"/>
        <v>139545.74561800002</v>
      </c>
      <c r="Y184" s="157">
        <f t="shared" si="55"/>
        <v>-8912.7795892918657</v>
      </c>
    </row>
    <row r="185" spans="1:25" x14ac:dyDescent="0.2">
      <c r="A185" s="26"/>
      <c r="B185" s="139"/>
      <c r="C185" s="58" t="s">
        <v>119</v>
      </c>
      <c r="D185" s="139"/>
      <c r="E185" s="20" t="s">
        <v>142</v>
      </c>
      <c r="F185" s="20" t="s">
        <v>64</v>
      </c>
      <c r="G185" s="222">
        <f>'SKM Prod NS Weighting'!Q34</f>
        <v>0</v>
      </c>
      <c r="H185" s="139"/>
      <c r="I185" s="45">
        <v>775081.85</v>
      </c>
      <c r="J185" s="44"/>
      <c r="K185" s="45">
        <v>270065</v>
      </c>
      <c r="L185" s="45"/>
      <c r="M185" s="200">
        <f t="shared" si="51"/>
        <v>505016.85</v>
      </c>
      <c r="N185" s="45"/>
      <c r="O185" s="45">
        <f t="shared" si="52"/>
        <v>27901.483425414361</v>
      </c>
      <c r="P185" s="139"/>
      <c r="Q185" s="116">
        <f t="shared" si="53"/>
        <v>3.6</v>
      </c>
      <c r="S185" s="117">
        <v>18.100000000000001</v>
      </c>
      <c r="T185" s="32"/>
      <c r="U185" s="116">
        <v>3.88</v>
      </c>
      <c r="W185" s="145">
        <f t="shared" si="54"/>
        <v>30073.175779999998</v>
      </c>
      <c r="Y185" s="157">
        <f t="shared" si="55"/>
        <v>-2171.6923545856371</v>
      </c>
    </row>
    <row r="186" spans="1:25" x14ac:dyDescent="0.2">
      <c r="A186" s="26"/>
      <c r="B186" s="139"/>
      <c r="C186" s="58" t="s">
        <v>120</v>
      </c>
      <c r="D186" s="139"/>
      <c r="E186" s="20" t="s">
        <v>142</v>
      </c>
      <c r="F186" s="20" t="s">
        <v>64</v>
      </c>
      <c r="G186" s="222">
        <f>'SKM Prod NS Weighting'!Q35</f>
        <v>0</v>
      </c>
      <c r="H186" s="139"/>
      <c r="I186" s="45">
        <v>192814.02</v>
      </c>
      <c r="J186" s="44"/>
      <c r="K186" s="45">
        <v>67757</v>
      </c>
      <c r="L186" s="45"/>
      <c r="M186" s="200">
        <f t="shared" si="51"/>
        <v>125057.01999999999</v>
      </c>
      <c r="N186" s="45"/>
      <c r="O186" s="45">
        <f t="shared" si="52"/>
        <v>7625.4280487804881</v>
      </c>
      <c r="P186" s="139"/>
      <c r="Q186" s="116">
        <f t="shared" si="53"/>
        <v>3.95</v>
      </c>
      <c r="S186" s="117">
        <v>16.399999999999999</v>
      </c>
      <c r="T186" s="32"/>
      <c r="U186" s="116">
        <v>4.25</v>
      </c>
      <c r="W186" s="145">
        <f t="shared" si="54"/>
        <v>8194.5958499999997</v>
      </c>
      <c r="Y186" s="157">
        <f t="shared" si="55"/>
        <v>-569.1678012195116</v>
      </c>
    </row>
    <row r="187" spans="1:25" x14ac:dyDescent="0.2">
      <c r="A187" s="26"/>
      <c r="B187" s="139"/>
      <c r="C187" s="58" t="s">
        <v>121</v>
      </c>
      <c r="D187" s="139"/>
      <c r="E187" s="20" t="s">
        <v>142</v>
      </c>
      <c r="F187" s="20" t="s">
        <v>64</v>
      </c>
      <c r="G187" s="222">
        <f>'SKM Prod NS Weighting'!Q36</f>
        <v>0</v>
      </c>
      <c r="H187" s="139"/>
      <c r="I187" s="45">
        <v>544965.97</v>
      </c>
      <c r="J187" s="44"/>
      <c r="K187" s="45">
        <v>207252</v>
      </c>
      <c r="L187" s="45"/>
      <c r="M187" s="200">
        <f t="shared" si="51"/>
        <v>337713.97</v>
      </c>
      <c r="N187" s="45"/>
      <c r="O187" s="45">
        <f t="shared" si="52"/>
        <v>20718.648466257666</v>
      </c>
      <c r="P187" s="139"/>
      <c r="Q187" s="116">
        <f t="shared" si="53"/>
        <v>3.8</v>
      </c>
      <c r="S187" s="117">
        <v>16.3</v>
      </c>
      <c r="T187" s="32"/>
      <c r="U187" s="116">
        <v>4.1100000000000003</v>
      </c>
      <c r="W187" s="145">
        <f t="shared" si="54"/>
        <v>22398.101367000003</v>
      </c>
      <c r="Y187" s="157">
        <f t="shared" si="55"/>
        <v>-1679.4529007423371</v>
      </c>
    </row>
    <row r="188" spans="1:25" x14ac:dyDescent="0.2">
      <c r="A188" s="26"/>
      <c r="B188" s="139"/>
      <c r="C188" s="58" t="s">
        <v>122</v>
      </c>
      <c r="D188" s="139"/>
      <c r="E188" s="20" t="s">
        <v>142</v>
      </c>
      <c r="F188" s="20" t="s">
        <v>64</v>
      </c>
      <c r="G188" s="222">
        <f>'SKM Prod NS Weighting'!Q37</f>
        <v>0</v>
      </c>
      <c r="H188" s="139"/>
      <c r="I188" s="45">
        <v>2012654.95</v>
      </c>
      <c r="J188" s="44"/>
      <c r="K188" s="45">
        <v>1151811</v>
      </c>
      <c r="L188" s="45"/>
      <c r="M188" s="200">
        <f t="shared" si="51"/>
        <v>860843.95</v>
      </c>
      <c r="N188" s="45"/>
      <c r="O188" s="45">
        <f t="shared" si="52"/>
        <v>68320.948412698417</v>
      </c>
      <c r="P188" s="139"/>
      <c r="Q188" s="116">
        <f t="shared" si="53"/>
        <v>3.39</v>
      </c>
      <c r="S188" s="117">
        <v>12.6</v>
      </c>
      <c r="T188" s="32"/>
      <c r="U188" s="116">
        <v>3.8</v>
      </c>
      <c r="W188" s="145">
        <f t="shared" si="54"/>
        <v>76480.888099999996</v>
      </c>
      <c r="Y188" s="157">
        <f t="shared" si="55"/>
        <v>-8159.9396873015794</v>
      </c>
    </row>
    <row r="189" spans="1:25" x14ac:dyDescent="0.2">
      <c r="A189" s="26"/>
      <c r="B189" s="139"/>
      <c r="C189" s="58" t="s">
        <v>123</v>
      </c>
      <c r="D189" s="139"/>
      <c r="E189" s="20" t="s">
        <v>142</v>
      </c>
      <c r="F189" s="20" t="s">
        <v>64</v>
      </c>
      <c r="G189" s="222">
        <f>'SKM Prod NS Weighting'!Q38</f>
        <v>0</v>
      </c>
      <c r="H189" s="139"/>
      <c r="I189" s="45">
        <v>4641054.8600000003</v>
      </c>
      <c r="J189" s="44"/>
      <c r="K189" s="45">
        <v>2628903</v>
      </c>
      <c r="L189" s="45"/>
      <c r="M189" s="200">
        <f t="shared" si="51"/>
        <v>2012151.8600000003</v>
      </c>
      <c r="N189" s="45"/>
      <c r="O189" s="45">
        <f t="shared" si="52"/>
        <v>116985.57325581397</v>
      </c>
      <c r="P189" s="139"/>
      <c r="Q189" s="116">
        <f t="shared" si="53"/>
        <v>2.52</v>
      </c>
      <c r="S189" s="117">
        <v>17.2</v>
      </c>
      <c r="T189" s="32"/>
      <c r="U189" s="116">
        <v>2.81</v>
      </c>
      <c r="W189" s="145">
        <f t="shared" si="54"/>
        <v>130413.64156600001</v>
      </c>
      <c r="Y189" s="157">
        <f t="shared" si="55"/>
        <v>-13428.068310186034</v>
      </c>
    </row>
    <row r="190" spans="1:25" x14ac:dyDescent="0.2">
      <c r="A190" s="26"/>
      <c r="B190" s="139"/>
      <c r="C190" s="58" t="s">
        <v>124</v>
      </c>
      <c r="D190" s="139"/>
      <c r="E190" s="20" t="s">
        <v>142</v>
      </c>
      <c r="F190" s="20" t="s">
        <v>64</v>
      </c>
      <c r="G190" s="222">
        <f>'SKM Prod NS Weighting'!Q39</f>
        <v>0</v>
      </c>
      <c r="H190" s="139"/>
      <c r="I190" s="45">
        <v>1865718.2</v>
      </c>
      <c r="J190" s="44"/>
      <c r="K190" s="45">
        <v>995177</v>
      </c>
      <c r="L190" s="45"/>
      <c r="M190" s="200">
        <f t="shared" si="51"/>
        <v>870541.2</v>
      </c>
      <c r="N190" s="45"/>
      <c r="O190" s="45">
        <f t="shared" si="52"/>
        <v>50612.860465116275</v>
      </c>
      <c r="P190" s="139"/>
      <c r="Q190" s="116">
        <f t="shared" si="53"/>
        <v>2.71</v>
      </c>
      <c r="S190" s="117">
        <v>17.2</v>
      </c>
      <c r="T190" s="32"/>
      <c r="U190" s="116">
        <v>3</v>
      </c>
      <c r="W190" s="145">
        <f t="shared" si="54"/>
        <v>55971.546000000002</v>
      </c>
      <c r="Y190" s="157">
        <f t="shared" si="55"/>
        <v>-5358.6855348837271</v>
      </c>
    </row>
    <row r="191" spans="1:25" x14ac:dyDescent="0.2">
      <c r="A191" s="26"/>
      <c r="B191" s="139"/>
      <c r="C191" s="58" t="s">
        <v>125</v>
      </c>
      <c r="D191" s="139"/>
      <c r="E191" s="20" t="s">
        <v>142</v>
      </c>
      <c r="F191" s="20" t="s">
        <v>64</v>
      </c>
      <c r="G191" s="222">
        <f>'SKM Prod NS Weighting'!Q40</f>
        <v>0</v>
      </c>
      <c r="H191" s="139"/>
      <c r="I191" s="45">
        <v>1895013.5</v>
      </c>
      <c r="J191" s="44"/>
      <c r="K191" s="45">
        <v>960868</v>
      </c>
      <c r="L191" s="45"/>
      <c r="M191" s="200">
        <f t="shared" si="51"/>
        <v>934145.5</v>
      </c>
      <c r="N191" s="45"/>
      <c r="O191" s="45">
        <f t="shared" si="52"/>
        <v>68687.169117647063</v>
      </c>
      <c r="P191" s="139"/>
      <c r="Q191" s="116">
        <f t="shared" si="53"/>
        <v>3.62</v>
      </c>
      <c r="S191" s="117">
        <v>13.6</v>
      </c>
      <c r="T191" s="32"/>
      <c r="U191" s="116">
        <v>4</v>
      </c>
      <c r="W191" s="145">
        <f t="shared" si="54"/>
        <v>75800.539999999994</v>
      </c>
      <c r="Y191" s="157">
        <f t="shared" si="55"/>
        <v>-7113.3708823529305</v>
      </c>
    </row>
    <row r="192" spans="1:25" x14ac:dyDescent="0.2">
      <c r="A192" s="26"/>
      <c r="B192" s="139"/>
      <c r="C192" s="58" t="s">
        <v>126</v>
      </c>
      <c r="D192" s="139"/>
      <c r="E192" s="20" t="s">
        <v>142</v>
      </c>
      <c r="F192" s="20" t="s">
        <v>64</v>
      </c>
      <c r="G192" s="222">
        <f>'SKM Prod NS Weighting'!Q41</f>
        <v>0</v>
      </c>
      <c r="H192" s="139"/>
      <c r="I192" s="45">
        <v>434853.46</v>
      </c>
      <c r="J192" s="44"/>
      <c r="K192" s="45">
        <v>87070</v>
      </c>
      <c r="L192" s="45"/>
      <c r="M192" s="200">
        <f t="shared" si="51"/>
        <v>347783.46</v>
      </c>
      <c r="N192" s="45"/>
      <c r="O192" s="45">
        <f t="shared" si="52"/>
        <v>41901.621686746985</v>
      </c>
      <c r="P192" s="139"/>
      <c r="Q192" s="116">
        <f t="shared" si="53"/>
        <v>9.64</v>
      </c>
      <c r="S192" s="117">
        <v>8.3000000000000007</v>
      </c>
      <c r="T192" s="32"/>
      <c r="U192" s="116">
        <v>10.24</v>
      </c>
      <c r="W192" s="145">
        <f t="shared" si="54"/>
        <v>44528.994304</v>
      </c>
      <c r="Y192" s="157">
        <f t="shared" si="55"/>
        <v>-2627.3726172530151</v>
      </c>
    </row>
    <row r="193" spans="1:25" x14ac:dyDescent="0.2">
      <c r="A193" s="26"/>
      <c r="B193" s="139"/>
      <c r="C193" s="58" t="s">
        <v>127</v>
      </c>
      <c r="D193" s="139"/>
      <c r="E193" s="20" t="s">
        <v>142</v>
      </c>
      <c r="F193" s="20" t="s">
        <v>64</v>
      </c>
      <c r="G193" s="222">
        <f>'SKM Prod NS Weighting'!Q42</f>
        <v>0</v>
      </c>
      <c r="H193" s="139"/>
      <c r="I193" s="90">
        <v>1910327.76</v>
      </c>
      <c r="J193" s="44"/>
      <c r="K193" s="45">
        <v>665405</v>
      </c>
      <c r="L193" s="45"/>
      <c r="M193" s="200">
        <f t="shared" si="51"/>
        <v>1244922.76</v>
      </c>
      <c r="N193" s="45"/>
      <c r="O193" s="45">
        <f t="shared" si="52"/>
        <v>68780.262983425404</v>
      </c>
      <c r="P193" s="139"/>
      <c r="Q193" s="116">
        <f t="shared" si="53"/>
        <v>3.6</v>
      </c>
      <c r="S193" s="117">
        <v>18.100000000000001</v>
      </c>
      <c r="T193" s="32"/>
      <c r="U193" s="116">
        <v>3.88</v>
      </c>
      <c r="W193" s="145">
        <f t="shared" si="54"/>
        <v>74120.717088000005</v>
      </c>
      <c r="Y193" s="159">
        <f t="shared" si="55"/>
        <v>-5340.4541045746009</v>
      </c>
    </row>
    <row r="194" spans="1:25" x14ac:dyDescent="0.2">
      <c r="A194" s="26"/>
      <c r="B194" s="139"/>
      <c r="C194" s="46"/>
      <c r="D194" s="139"/>
      <c r="E194" s="20"/>
      <c r="F194" s="20"/>
      <c r="G194" s="222"/>
      <c r="H194" s="139"/>
      <c r="I194" s="45"/>
      <c r="J194" s="139"/>
      <c r="K194" s="49"/>
      <c r="L194" s="34"/>
      <c r="M194" s="49"/>
      <c r="N194" s="34"/>
      <c r="O194" s="49"/>
      <c r="P194" s="139"/>
      <c r="Q194" s="26"/>
      <c r="R194" s="139"/>
      <c r="S194" s="62"/>
      <c r="T194" s="32"/>
      <c r="U194" s="26"/>
    </row>
    <row r="195" spans="1:25" ht="15.75" x14ac:dyDescent="0.25">
      <c r="A195" s="26"/>
      <c r="B195" s="139"/>
      <c r="C195" s="65" t="s">
        <v>36</v>
      </c>
      <c r="D195" s="139"/>
      <c r="E195" s="20"/>
      <c r="F195" s="20"/>
      <c r="G195" s="222"/>
      <c r="H195" s="139"/>
      <c r="I195" s="45">
        <f>SUM(I179:I193)</f>
        <v>36018413.209999993</v>
      </c>
      <c r="J195" s="139"/>
      <c r="K195" s="45">
        <f>SUM(K179:K193)</f>
        <v>12997862</v>
      </c>
      <c r="L195" s="34"/>
      <c r="M195" s="45">
        <f>SUM(M179:M193)</f>
        <v>23071550.478674497</v>
      </c>
      <c r="N195" s="34"/>
      <c r="O195" s="45">
        <f>SUM(O179:O193)</f>
        <v>1253275.351639207</v>
      </c>
      <c r="P195" s="139"/>
      <c r="Q195" s="116">
        <f>IF(O195/I195*100=0,"-     ",ROUND(O195/I195*100,2))</f>
        <v>3.48</v>
      </c>
      <c r="S195" s="117">
        <v>18.399999999999999</v>
      </c>
      <c r="T195" s="32"/>
      <c r="U195" s="242">
        <f>W195/I195</f>
        <v>3.7496395364469755E-2</v>
      </c>
      <c r="W195" s="45">
        <f>SUM(W179:W193)</f>
        <v>1350560.662123</v>
      </c>
      <c r="Y195" s="45">
        <f>SUM(Y179:Y193)</f>
        <v>-97285.310483793102</v>
      </c>
    </row>
    <row r="196" spans="1:25" x14ac:dyDescent="0.2">
      <c r="A196" s="26"/>
      <c r="B196" s="139"/>
      <c r="C196" s="46"/>
      <c r="D196" s="139"/>
      <c r="E196" s="20"/>
      <c r="F196" s="20"/>
      <c r="G196" s="222"/>
      <c r="H196" s="139"/>
      <c r="I196" s="45"/>
      <c r="J196" s="139"/>
      <c r="K196" s="34"/>
      <c r="L196" s="34"/>
      <c r="M196" s="34"/>
      <c r="N196" s="34"/>
      <c r="O196" s="34"/>
      <c r="P196" s="139"/>
      <c r="Q196" s="26"/>
      <c r="R196" s="139"/>
      <c r="S196" s="62"/>
      <c r="T196" s="32"/>
      <c r="U196" s="26"/>
    </row>
    <row r="197" spans="1:25" x14ac:dyDescent="0.2">
      <c r="A197" s="26">
        <v>342</v>
      </c>
      <c r="B197" s="139"/>
      <c r="C197" s="139" t="s">
        <v>88</v>
      </c>
      <c r="D197" s="139"/>
      <c r="E197" s="56"/>
      <c r="F197" s="56"/>
      <c r="G197" s="224"/>
      <c r="H197" s="139"/>
      <c r="I197" s="45"/>
      <c r="J197" s="139"/>
      <c r="K197" s="34"/>
      <c r="L197" s="34"/>
      <c r="M197" s="34"/>
      <c r="N197" s="34"/>
      <c r="O197" s="34"/>
      <c r="P197" s="139"/>
      <c r="Q197" s="26"/>
      <c r="R197" s="139"/>
      <c r="S197" s="62"/>
      <c r="T197" s="32"/>
      <c r="U197" s="26"/>
    </row>
    <row r="198" spans="1:25" x14ac:dyDescent="0.2">
      <c r="A198" s="26"/>
      <c r="B198" s="139"/>
      <c r="C198" s="58" t="s">
        <v>113</v>
      </c>
      <c r="D198" s="139"/>
      <c r="E198" s="20" t="s">
        <v>143</v>
      </c>
      <c r="F198" s="20" t="s">
        <v>64</v>
      </c>
      <c r="G198" s="222">
        <f>'SKM Prod NS Weighting'!Q$29</f>
        <v>-6.3E-3</v>
      </c>
      <c r="H198" s="139"/>
      <c r="I198" s="45">
        <v>239584.43</v>
      </c>
      <c r="J198" s="44"/>
      <c r="K198" s="45">
        <v>76081</v>
      </c>
      <c r="L198" s="45"/>
      <c r="M198" s="200">
        <f t="shared" ref="M198:M214" si="56">+((1-G198)*I198)-K198</f>
        <v>165012.81190899998</v>
      </c>
      <c r="N198" s="45"/>
      <c r="O198" s="45">
        <f t="shared" ref="O198:O214" si="57">M198/S198</f>
        <v>8505.8150468556705</v>
      </c>
      <c r="P198" s="139"/>
      <c r="Q198" s="116">
        <f t="shared" ref="Q198:Q214" si="58">IF(O198/I198*100=0,"-     ",ROUND(O198/I198*100,2))</f>
        <v>3.55</v>
      </c>
      <c r="S198" s="117">
        <v>19.399999999999999</v>
      </c>
      <c r="T198" s="32"/>
      <c r="U198" s="116">
        <v>3.78</v>
      </c>
      <c r="W198" s="145">
        <f t="shared" ref="W198:W214" si="59">(I198/100)*U198</f>
        <v>9056.2914539999983</v>
      </c>
      <c r="Y198" s="157">
        <f t="shared" ref="Y198:Y214" si="60">O198-W198</f>
        <v>-550.47640714432782</v>
      </c>
    </row>
    <row r="199" spans="1:25" x14ac:dyDescent="0.2">
      <c r="A199" s="26"/>
      <c r="B199" s="139"/>
      <c r="C199" s="58" t="s">
        <v>114</v>
      </c>
      <c r="D199" s="139"/>
      <c r="E199" s="20" t="s">
        <v>143</v>
      </c>
      <c r="F199" s="20" t="s">
        <v>64</v>
      </c>
      <c r="G199" s="222">
        <f>'SKM Prod NS Weighting'!Q$29</f>
        <v>-6.3E-3</v>
      </c>
      <c r="H199" s="139"/>
      <c r="I199" s="45">
        <v>239245.54</v>
      </c>
      <c r="J199" s="44"/>
      <c r="K199" s="45">
        <v>75986</v>
      </c>
      <c r="L199" s="45"/>
      <c r="M199" s="200">
        <f t="shared" si="56"/>
        <v>164766.78690199999</v>
      </c>
      <c r="N199" s="45"/>
      <c r="O199" s="45">
        <f t="shared" si="57"/>
        <v>8493.1333454639171</v>
      </c>
      <c r="P199" s="139"/>
      <c r="Q199" s="116">
        <f t="shared" si="58"/>
        <v>3.55</v>
      </c>
      <c r="S199" s="117">
        <v>19.399999999999999</v>
      </c>
      <c r="T199" s="32"/>
      <c r="U199" s="116">
        <v>3.78</v>
      </c>
      <c r="W199" s="145">
        <f t="shared" si="59"/>
        <v>9043.481412000001</v>
      </c>
      <c r="Y199" s="157">
        <f t="shared" si="60"/>
        <v>-550.34806653608393</v>
      </c>
    </row>
    <row r="200" spans="1:25" x14ac:dyDescent="0.2">
      <c r="A200" s="26"/>
      <c r="B200" s="139"/>
      <c r="C200" s="63" t="s">
        <v>189</v>
      </c>
      <c r="D200" s="139"/>
      <c r="E200" s="20" t="s">
        <v>143</v>
      </c>
      <c r="F200" s="20" t="s">
        <v>64</v>
      </c>
      <c r="G200" s="222">
        <f>'SKM Prod NS Weighting'!Q$29</f>
        <v>-6.3E-3</v>
      </c>
      <c r="H200" s="139"/>
      <c r="I200" s="45">
        <v>4850114.7300000004</v>
      </c>
      <c r="J200" s="44"/>
      <c r="K200" s="45">
        <v>1572837</v>
      </c>
      <c r="L200" s="45"/>
      <c r="M200" s="200">
        <f t="shared" si="56"/>
        <v>3307833.4527990008</v>
      </c>
      <c r="N200" s="45"/>
      <c r="O200" s="45">
        <f t="shared" si="57"/>
        <v>156769.35795255928</v>
      </c>
      <c r="P200" s="139"/>
      <c r="Q200" s="116">
        <f t="shared" si="58"/>
        <v>3.23</v>
      </c>
      <c r="S200" s="117">
        <v>21.1</v>
      </c>
      <c r="T200" s="32"/>
      <c r="U200" s="116">
        <v>3.44</v>
      </c>
      <c r="W200" s="145">
        <f t="shared" si="59"/>
        <v>166843.946712</v>
      </c>
      <c r="Y200" s="157">
        <f t="shared" si="60"/>
        <v>-10074.588759440725</v>
      </c>
    </row>
    <row r="201" spans="1:25" x14ac:dyDescent="0.2">
      <c r="A201" s="26"/>
      <c r="B201" s="139"/>
      <c r="C201" s="58" t="s">
        <v>115</v>
      </c>
      <c r="D201" s="139"/>
      <c r="E201" s="20" t="s">
        <v>143</v>
      </c>
      <c r="F201" s="20" t="s">
        <v>64</v>
      </c>
      <c r="G201" s="222">
        <f>'SKM Prod NS Weighting'!Q$29</f>
        <v>-6.3E-3</v>
      </c>
      <c r="H201" s="139"/>
      <c r="I201" s="45">
        <v>578059.38</v>
      </c>
      <c r="J201" s="44"/>
      <c r="K201" s="45">
        <v>149364</v>
      </c>
      <c r="L201" s="45"/>
      <c r="M201" s="200">
        <f t="shared" si="56"/>
        <v>432337.154094</v>
      </c>
      <c r="N201" s="45"/>
      <c r="O201" s="45">
        <f t="shared" si="57"/>
        <v>20297.518971549296</v>
      </c>
      <c r="P201" s="139"/>
      <c r="Q201" s="116">
        <f t="shared" si="58"/>
        <v>3.51</v>
      </c>
      <c r="S201" s="117">
        <v>21.3</v>
      </c>
      <c r="T201" s="32"/>
      <c r="U201" s="116">
        <v>3.72</v>
      </c>
      <c r="W201" s="145">
        <f t="shared" si="59"/>
        <v>21503.808936000001</v>
      </c>
      <c r="Y201" s="157">
        <f t="shared" si="60"/>
        <v>-1206.2899644507052</v>
      </c>
    </row>
    <row r="202" spans="1:25" x14ac:dyDescent="0.2">
      <c r="A202" s="26"/>
      <c r="B202" s="139"/>
      <c r="C202" s="58" t="s">
        <v>116</v>
      </c>
      <c r="D202" s="139"/>
      <c r="E202" s="20" t="s">
        <v>143</v>
      </c>
      <c r="F202" s="20" t="s">
        <v>64</v>
      </c>
      <c r="G202" s="222">
        <f>'SKM Prod NS Weighting'!Q$29</f>
        <v>-6.3E-3</v>
      </c>
      <c r="H202" s="139"/>
      <c r="I202" s="45">
        <v>576385.74</v>
      </c>
      <c r="J202" s="44"/>
      <c r="K202" s="45">
        <v>148931</v>
      </c>
      <c r="L202" s="45"/>
      <c r="M202" s="200">
        <f t="shared" si="56"/>
        <v>431085.97016199993</v>
      </c>
      <c r="N202" s="45"/>
      <c r="O202" s="45">
        <f t="shared" si="57"/>
        <v>20238.777941877932</v>
      </c>
      <c r="P202" s="139"/>
      <c r="Q202" s="116">
        <f t="shared" si="58"/>
        <v>3.51</v>
      </c>
      <c r="S202" s="117">
        <v>21.3</v>
      </c>
      <c r="T202" s="32"/>
      <c r="U202" s="116">
        <v>3.72</v>
      </c>
      <c r="W202" s="145">
        <f t="shared" si="59"/>
        <v>21441.549528</v>
      </c>
      <c r="Y202" s="157">
        <f t="shared" si="60"/>
        <v>-1202.7715861220677</v>
      </c>
    </row>
    <row r="203" spans="1:25" x14ac:dyDescent="0.2">
      <c r="A203" s="26"/>
      <c r="B203" s="139"/>
      <c r="C203" s="58" t="s">
        <v>117</v>
      </c>
      <c r="D203" s="139"/>
      <c r="E203" s="20" t="s">
        <v>143</v>
      </c>
      <c r="F203" s="20" t="s">
        <v>64</v>
      </c>
      <c r="G203" s="222">
        <f>'SKM Prod NS Weighting'!Q$29</f>
        <v>-6.3E-3</v>
      </c>
      <c r="H203" s="139"/>
      <c r="I203" s="45">
        <v>593786.01</v>
      </c>
      <c r="J203" s="44"/>
      <c r="K203" s="45">
        <v>151730</v>
      </c>
      <c r="L203" s="45"/>
      <c r="M203" s="200">
        <f t="shared" si="56"/>
        <v>445796.86186299997</v>
      </c>
      <c r="N203" s="45"/>
      <c r="O203" s="45">
        <f t="shared" si="57"/>
        <v>20929.430134413142</v>
      </c>
      <c r="P203" s="139"/>
      <c r="Q203" s="116">
        <f t="shared" si="58"/>
        <v>3.52</v>
      </c>
      <c r="S203" s="117">
        <v>21.3</v>
      </c>
      <c r="T203" s="32"/>
      <c r="U203" s="116">
        <v>3.73</v>
      </c>
      <c r="W203" s="145">
        <f t="shared" si="59"/>
        <v>22148.218173000001</v>
      </c>
      <c r="Y203" s="157">
        <f t="shared" si="60"/>
        <v>-1218.7880385868593</v>
      </c>
    </row>
    <row r="204" spans="1:25" x14ac:dyDescent="0.2">
      <c r="A204" s="26"/>
      <c r="B204" s="139"/>
      <c r="C204" s="58" t="s">
        <v>118</v>
      </c>
      <c r="D204" s="139"/>
      <c r="E204" s="20" t="s">
        <v>143</v>
      </c>
      <c r="F204" s="20" t="s">
        <v>64</v>
      </c>
      <c r="G204" s="222">
        <f>'SKM Prod NS Weighting'!Q$29</f>
        <v>-6.3E-3</v>
      </c>
      <c r="H204" s="139"/>
      <c r="I204" s="45">
        <v>622872.6</v>
      </c>
      <c r="J204" s="44"/>
      <c r="K204" s="45">
        <v>157134</v>
      </c>
      <c r="L204" s="45"/>
      <c r="M204" s="200">
        <f t="shared" si="56"/>
        <v>469662.69737999991</v>
      </c>
      <c r="N204" s="45"/>
      <c r="O204" s="45">
        <f t="shared" si="57"/>
        <v>22049.891895774643</v>
      </c>
      <c r="P204" s="139"/>
      <c r="Q204" s="116">
        <f t="shared" si="58"/>
        <v>3.54</v>
      </c>
      <c r="S204" s="117">
        <v>21.3</v>
      </c>
      <c r="T204" s="32"/>
      <c r="U204" s="116">
        <v>3.74</v>
      </c>
      <c r="W204" s="145">
        <f t="shared" si="59"/>
        <v>23295.435239999999</v>
      </c>
      <c r="Y204" s="157">
        <f t="shared" si="60"/>
        <v>-1245.5433442253561</v>
      </c>
    </row>
    <row r="205" spans="1:25" x14ac:dyDescent="0.2">
      <c r="A205" s="26"/>
      <c r="B205" s="139"/>
      <c r="C205" s="58" t="s">
        <v>119</v>
      </c>
      <c r="D205" s="139"/>
      <c r="E205" s="20" t="s">
        <v>143</v>
      </c>
      <c r="F205" s="20" t="s">
        <v>64</v>
      </c>
      <c r="G205" s="222">
        <f>'SKM Prod NS Weighting'!Q$29</f>
        <v>-6.3E-3</v>
      </c>
      <c r="H205" s="139"/>
      <c r="I205" s="45">
        <v>795787.89</v>
      </c>
      <c r="J205" s="44"/>
      <c r="K205" s="45">
        <v>126367</v>
      </c>
      <c r="L205" s="45"/>
      <c r="M205" s="200">
        <f t="shared" si="56"/>
        <v>674434.35370700003</v>
      </c>
      <c r="N205" s="45"/>
      <c r="O205" s="45">
        <f t="shared" si="57"/>
        <v>36259.911489623657</v>
      </c>
      <c r="P205" s="139"/>
      <c r="Q205" s="116">
        <f t="shared" si="58"/>
        <v>4.5599999999999996</v>
      </c>
      <c r="S205" s="117">
        <v>18.600000000000001</v>
      </c>
      <c r="T205" s="32"/>
      <c r="U205" s="116">
        <v>4.78</v>
      </c>
      <c r="W205" s="145">
        <f t="shared" si="59"/>
        <v>38038.661141999997</v>
      </c>
      <c r="Y205" s="157">
        <f t="shared" si="60"/>
        <v>-1778.7496523763402</v>
      </c>
    </row>
    <row r="206" spans="1:25" x14ac:dyDescent="0.2">
      <c r="A206" s="26"/>
      <c r="B206" s="139"/>
      <c r="C206" s="58" t="s">
        <v>120</v>
      </c>
      <c r="D206" s="139"/>
      <c r="E206" s="20" t="s">
        <v>143</v>
      </c>
      <c r="F206" s="20" t="s">
        <v>64</v>
      </c>
      <c r="G206" s="222">
        <f>'SKM Prod NS Weighting'!Q$29</f>
        <v>-6.3E-3</v>
      </c>
      <c r="H206" s="139"/>
      <c r="I206" s="45">
        <v>406460.01</v>
      </c>
      <c r="J206" s="44"/>
      <c r="K206" s="45">
        <v>17424</v>
      </c>
      <c r="L206" s="45"/>
      <c r="M206" s="200">
        <f t="shared" si="56"/>
        <v>391596.708063</v>
      </c>
      <c r="N206" s="45"/>
      <c r="O206" s="45">
        <f t="shared" si="57"/>
        <v>23035.100474294119</v>
      </c>
      <c r="P206" s="139"/>
      <c r="Q206" s="116">
        <f t="shared" si="58"/>
        <v>5.67</v>
      </c>
      <c r="S206" s="117">
        <v>17</v>
      </c>
      <c r="T206" s="32"/>
      <c r="U206" s="116">
        <v>5.92</v>
      </c>
      <c r="W206" s="145">
        <f t="shared" si="59"/>
        <v>24062.432592000001</v>
      </c>
      <c r="Y206" s="157">
        <f t="shared" si="60"/>
        <v>-1027.3321177058824</v>
      </c>
    </row>
    <row r="207" spans="1:25" x14ac:dyDescent="0.2">
      <c r="A207" s="26"/>
      <c r="B207" s="139"/>
      <c r="C207" s="58" t="s">
        <v>121</v>
      </c>
      <c r="D207" s="139"/>
      <c r="E207" s="20" t="s">
        <v>143</v>
      </c>
      <c r="F207" s="20" t="s">
        <v>64</v>
      </c>
      <c r="G207" s="222">
        <f>'SKM Prod NS Weighting'!Q$29</f>
        <v>-6.3E-3</v>
      </c>
      <c r="H207" s="139"/>
      <c r="I207" s="45">
        <v>405870.95</v>
      </c>
      <c r="J207" s="44"/>
      <c r="K207" s="45">
        <v>12973</v>
      </c>
      <c r="L207" s="45"/>
      <c r="M207" s="200">
        <f t="shared" si="56"/>
        <v>395454.93698499998</v>
      </c>
      <c r="N207" s="45"/>
      <c r="O207" s="45">
        <f t="shared" si="57"/>
        <v>23262.055116764706</v>
      </c>
      <c r="P207" s="139"/>
      <c r="Q207" s="116">
        <f t="shared" si="58"/>
        <v>5.73</v>
      </c>
      <c r="S207" s="117">
        <v>17</v>
      </c>
      <c r="T207" s="32"/>
      <c r="U207" s="116">
        <v>5.99</v>
      </c>
      <c r="W207" s="145">
        <f t="shared" si="59"/>
        <v>24311.669904999999</v>
      </c>
      <c r="Y207" s="157">
        <f t="shared" si="60"/>
        <v>-1049.6147882352925</v>
      </c>
    </row>
    <row r="208" spans="1:25" x14ac:dyDescent="0.2">
      <c r="A208" s="26"/>
      <c r="B208" s="139"/>
      <c r="C208" s="58" t="s">
        <v>122</v>
      </c>
      <c r="D208" s="139"/>
      <c r="E208" s="20" t="s">
        <v>143</v>
      </c>
      <c r="F208" s="20" t="s">
        <v>64</v>
      </c>
      <c r="G208" s="222">
        <f>'SKM Prod NS Weighting'!Q$29</f>
        <v>-6.3E-3</v>
      </c>
      <c r="H208" s="139"/>
      <c r="I208" s="45">
        <v>252005.73</v>
      </c>
      <c r="J208" s="44"/>
      <c r="K208" s="45">
        <v>22171</v>
      </c>
      <c r="L208" s="45"/>
      <c r="M208" s="200">
        <f t="shared" si="56"/>
        <v>231422.36609900001</v>
      </c>
      <c r="N208" s="45"/>
      <c r="O208" s="45">
        <f t="shared" si="57"/>
        <v>17400.17790218045</v>
      </c>
      <c r="P208" s="139"/>
      <c r="Q208" s="116">
        <f t="shared" si="58"/>
        <v>6.9</v>
      </c>
      <c r="S208" s="117">
        <v>13.3</v>
      </c>
      <c r="T208" s="32"/>
      <c r="U208" s="116">
        <v>7.25</v>
      </c>
      <c r="W208" s="145">
        <f t="shared" si="59"/>
        <v>18270.415424999999</v>
      </c>
      <c r="Y208" s="157">
        <f t="shared" si="60"/>
        <v>-870.23752281954876</v>
      </c>
    </row>
    <row r="209" spans="1:25" x14ac:dyDescent="0.2">
      <c r="A209" s="26"/>
      <c r="B209" s="139"/>
      <c r="C209" s="58" t="s">
        <v>123</v>
      </c>
      <c r="D209" s="139"/>
      <c r="E209" s="20" t="s">
        <v>143</v>
      </c>
      <c r="F209" s="20" t="s">
        <v>64</v>
      </c>
      <c r="G209" s="222">
        <f>'SKM Prod NS Weighting'!Q$29</f>
        <v>-6.3E-3</v>
      </c>
      <c r="H209" s="139"/>
      <c r="I209" s="45">
        <v>2018753.68</v>
      </c>
      <c r="J209" s="44"/>
      <c r="K209" s="45">
        <v>903046</v>
      </c>
      <c r="L209" s="45"/>
      <c r="M209" s="200">
        <f t="shared" si="56"/>
        <v>1128425.828184</v>
      </c>
      <c r="N209" s="45"/>
      <c r="O209" s="45">
        <f t="shared" si="57"/>
        <v>62343.968407955792</v>
      </c>
      <c r="P209" s="139"/>
      <c r="Q209" s="116">
        <f t="shared" si="58"/>
        <v>3.09</v>
      </c>
      <c r="S209" s="117">
        <v>18.100000000000001</v>
      </c>
      <c r="T209" s="32"/>
      <c r="U209" s="116">
        <v>3.33</v>
      </c>
      <c r="W209" s="145">
        <f t="shared" si="59"/>
        <v>67224.497543999998</v>
      </c>
      <c r="Y209" s="157">
        <f t="shared" si="60"/>
        <v>-4880.5291360442061</v>
      </c>
    </row>
    <row r="210" spans="1:25" x14ac:dyDescent="0.2">
      <c r="A210" s="26"/>
      <c r="B210" s="139"/>
      <c r="C210" s="58" t="s">
        <v>124</v>
      </c>
      <c r="D210" s="139"/>
      <c r="E210" s="20" t="s">
        <v>143</v>
      </c>
      <c r="F210" s="20" t="s">
        <v>64</v>
      </c>
      <c r="G210" s="222">
        <f>'SKM Prod NS Weighting'!Q$29</f>
        <v>-6.3E-3</v>
      </c>
      <c r="H210" s="139"/>
      <c r="I210" s="45">
        <v>264130.81</v>
      </c>
      <c r="J210" s="44"/>
      <c r="K210" s="45">
        <v>29700</v>
      </c>
      <c r="L210" s="45"/>
      <c r="M210" s="200">
        <f t="shared" si="56"/>
        <v>236094.834103</v>
      </c>
      <c r="N210" s="45"/>
      <c r="O210" s="45">
        <f t="shared" si="57"/>
        <v>12491.790164179894</v>
      </c>
      <c r="P210" s="139"/>
      <c r="Q210" s="116">
        <f t="shared" si="58"/>
        <v>4.7300000000000004</v>
      </c>
      <c r="S210" s="117">
        <v>18.899999999999999</v>
      </c>
      <c r="T210" s="32"/>
      <c r="U210" s="116">
        <v>4.96</v>
      </c>
      <c r="W210" s="145">
        <f t="shared" si="59"/>
        <v>13100.888176</v>
      </c>
      <c r="Y210" s="157">
        <f t="shared" si="60"/>
        <v>-609.09801182010597</v>
      </c>
    </row>
    <row r="211" spans="1:25" x14ac:dyDescent="0.2">
      <c r="A211" s="26"/>
      <c r="B211" s="139"/>
      <c r="C211" s="58" t="s">
        <v>125</v>
      </c>
      <c r="D211" s="139"/>
      <c r="E211" s="20" t="s">
        <v>143</v>
      </c>
      <c r="F211" s="20" t="s">
        <v>64</v>
      </c>
      <c r="G211" s="222">
        <f>'SKM Prod NS Weighting'!Q$29</f>
        <v>-6.3E-3</v>
      </c>
      <c r="H211" s="139"/>
      <c r="I211" s="45">
        <v>284822.69</v>
      </c>
      <c r="J211" s="44"/>
      <c r="K211" s="45">
        <v>38816</v>
      </c>
      <c r="L211" s="45"/>
      <c r="M211" s="200">
        <f t="shared" si="56"/>
        <v>247801.07294699998</v>
      </c>
      <c r="N211" s="45"/>
      <c r="O211" s="45">
        <f t="shared" si="57"/>
        <v>17450.779784999999</v>
      </c>
      <c r="P211" s="139"/>
      <c r="Q211" s="116">
        <f t="shared" si="58"/>
        <v>6.13</v>
      </c>
      <c r="S211" s="117">
        <v>14.2</v>
      </c>
      <c r="T211" s="32"/>
      <c r="U211" s="116">
        <v>6.43</v>
      </c>
      <c r="W211" s="145">
        <f t="shared" si="59"/>
        <v>18314.098967000002</v>
      </c>
      <c r="Y211" s="157">
        <f t="shared" si="60"/>
        <v>-863.31918200000291</v>
      </c>
    </row>
    <row r="212" spans="1:25" x14ac:dyDescent="0.2">
      <c r="A212" s="26"/>
      <c r="B212" s="139"/>
      <c r="C212" s="88" t="s">
        <v>190</v>
      </c>
      <c r="D212" s="139"/>
      <c r="E212" s="20" t="s">
        <v>143</v>
      </c>
      <c r="F212" s="20" t="s">
        <v>64</v>
      </c>
      <c r="G212" s="222">
        <f>'SKM Prod NS Weighting'!Q$29</f>
        <v>-6.3E-3</v>
      </c>
      <c r="H212" s="139"/>
      <c r="I212" s="45">
        <v>8106130.6600000001</v>
      </c>
      <c r="J212" s="44"/>
      <c r="K212" s="45">
        <v>4385668</v>
      </c>
      <c r="L212" s="45"/>
      <c r="M212" s="200">
        <f t="shared" si="56"/>
        <v>3771531.2831579996</v>
      </c>
      <c r="N212" s="45"/>
      <c r="O212" s="45">
        <f t="shared" si="57"/>
        <v>211883.77995269661</v>
      </c>
      <c r="P212" s="139"/>
      <c r="Q212" s="116">
        <f t="shared" si="58"/>
        <v>2.61</v>
      </c>
      <c r="S212" s="117">
        <v>17.8</v>
      </c>
      <c r="T212" s="32"/>
      <c r="U212" s="116">
        <v>2.87</v>
      </c>
      <c r="W212" s="145">
        <f t="shared" si="59"/>
        <v>232645.94994200001</v>
      </c>
      <c r="Y212" s="157">
        <f t="shared" si="60"/>
        <v>-20762.169989303395</v>
      </c>
    </row>
    <row r="213" spans="1:25" x14ac:dyDescent="0.2">
      <c r="A213" s="26"/>
      <c r="B213" s="139"/>
      <c r="C213" s="58" t="s">
        <v>126</v>
      </c>
      <c r="D213" s="139"/>
      <c r="E213" s="20" t="s">
        <v>143</v>
      </c>
      <c r="F213" s="20" t="s">
        <v>64</v>
      </c>
      <c r="G213" s="222">
        <f>'SKM Prod NS Weighting'!Q$29</f>
        <v>-6.3E-3</v>
      </c>
      <c r="H213" s="139"/>
      <c r="I213" s="45">
        <v>518704.54</v>
      </c>
      <c r="J213" s="44"/>
      <c r="K213" s="45">
        <v>88960</v>
      </c>
      <c r="L213" s="45"/>
      <c r="M213" s="200">
        <f t="shared" si="56"/>
        <v>433012.37860199995</v>
      </c>
      <c r="N213" s="45"/>
      <c r="O213" s="45">
        <f t="shared" si="57"/>
        <v>52170.166096626497</v>
      </c>
      <c r="P213" s="139"/>
      <c r="Q213" s="116">
        <f t="shared" si="58"/>
        <v>10.06</v>
      </c>
      <c r="S213" s="117">
        <v>8.3000000000000007</v>
      </c>
      <c r="T213" s="32"/>
      <c r="U213" s="116">
        <v>10.62</v>
      </c>
      <c r="W213" s="145">
        <f t="shared" si="59"/>
        <v>55086.422147999998</v>
      </c>
      <c r="Y213" s="157">
        <f t="shared" si="60"/>
        <v>-2916.2560513735007</v>
      </c>
    </row>
    <row r="214" spans="1:25" x14ac:dyDescent="0.2">
      <c r="A214" s="26"/>
      <c r="B214" s="139"/>
      <c r="C214" s="58" t="s">
        <v>127</v>
      </c>
      <c r="D214" s="139"/>
      <c r="E214" s="20" t="s">
        <v>143</v>
      </c>
      <c r="F214" s="20" t="s">
        <v>64</v>
      </c>
      <c r="G214" s="222">
        <f>'SKM Prod NS Weighting'!Q$29</f>
        <v>-6.3E-3</v>
      </c>
      <c r="H214" s="139"/>
      <c r="I214" s="90">
        <v>1995101.02</v>
      </c>
      <c r="J214" s="44"/>
      <c r="K214" s="45">
        <v>695267</v>
      </c>
      <c r="L214" s="45"/>
      <c r="M214" s="200">
        <f t="shared" si="56"/>
        <v>1312403.1564259999</v>
      </c>
      <c r="N214" s="45"/>
      <c r="O214" s="45">
        <f t="shared" si="57"/>
        <v>70940.711158162158</v>
      </c>
      <c r="P214" s="139"/>
      <c r="Q214" s="116">
        <f t="shared" si="58"/>
        <v>3.56</v>
      </c>
      <c r="S214" s="117">
        <v>18.5</v>
      </c>
      <c r="T214" s="32"/>
      <c r="U214" s="116">
        <v>3.8</v>
      </c>
      <c r="W214" s="145">
        <f t="shared" si="59"/>
        <v>75813.838759999999</v>
      </c>
      <c r="Y214" s="159">
        <f t="shared" si="60"/>
        <v>-4873.1276018378412</v>
      </c>
    </row>
    <row r="215" spans="1:25" x14ac:dyDescent="0.2">
      <c r="A215" s="26"/>
      <c r="B215" s="139"/>
      <c r="C215" s="139"/>
      <c r="D215" s="139"/>
      <c r="E215" s="20"/>
      <c r="F215" s="20"/>
      <c r="G215" s="222"/>
      <c r="H215" s="139"/>
      <c r="I215" s="45"/>
      <c r="J215" s="139"/>
      <c r="K215" s="49"/>
      <c r="L215" s="34"/>
      <c r="M215" s="49"/>
      <c r="N215" s="34"/>
      <c r="O215" s="49"/>
      <c r="P215" s="139"/>
      <c r="Q215" s="26"/>
      <c r="R215" s="139"/>
      <c r="S215" s="62"/>
      <c r="T215" s="32"/>
      <c r="U215" s="26"/>
    </row>
    <row r="216" spans="1:25" ht="15.75" x14ac:dyDescent="0.25">
      <c r="A216" s="26"/>
      <c r="B216" s="139"/>
      <c r="C216" s="65" t="s">
        <v>154</v>
      </c>
      <c r="D216" s="139"/>
      <c r="E216" s="20"/>
      <c r="F216" s="20"/>
      <c r="G216" s="222"/>
      <c r="H216" s="139"/>
      <c r="I216" s="45">
        <f>SUM(I198:I214)</f>
        <v>22747816.41</v>
      </c>
      <c r="J216" s="240"/>
      <c r="K216" s="45">
        <f>SUM(K198:K214)</f>
        <v>8652455</v>
      </c>
      <c r="L216" s="34"/>
      <c r="M216" s="45">
        <f>SUM(M198:M214)</f>
        <v>14238672.653382998</v>
      </c>
      <c r="N216" s="34"/>
      <c r="O216" s="45">
        <f>SUM(O198:O214)</f>
        <v>784522.36583597772</v>
      </c>
      <c r="P216" s="139"/>
      <c r="Q216" s="116">
        <f>IF(O216/I216*100=0,"-     ",ROUND(O216/I216*100,2))</f>
        <v>3.45</v>
      </c>
      <c r="S216" s="117">
        <v>18.100000000000001</v>
      </c>
      <c r="T216" s="32"/>
      <c r="U216" s="242">
        <f>W216/I216</f>
        <v>3.6935483868537164E-2</v>
      </c>
      <c r="W216" s="45">
        <f>SUM(W198:W214)</f>
        <v>840201.60605599999</v>
      </c>
      <c r="X216" s="16"/>
      <c r="Y216" s="45">
        <f>SUM(Y198:Y214)</f>
        <v>-55679.240220022235</v>
      </c>
    </row>
    <row r="217" spans="1:25" x14ac:dyDescent="0.2">
      <c r="A217" s="26"/>
      <c r="B217" s="139"/>
      <c r="C217" s="139"/>
      <c r="D217" s="139"/>
      <c r="E217" s="20"/>
      <c r="F217" s="20"/>
      <c r="G217" s="222"/>
      <c r="H217" s="139"/>
      <c r="I217" s="45"/>
      <c r="J217" s="139"/>
      <c r="K217" s="34"/>
      <c r="L217" s="34"/>
      <c r="M217" s="34"/>
      <c r="N217" s="34"/>
      <c r="O217" s="34"/>
      <c r="P217" s="139"/>
      <c r="Q217" s="26"/>
      <c r="R217" s="139"/>
      <c r="S217" s="62"/>
      <c r="T217" s="32"/>
      <c r="U217" s="26"/>
    </row>
    <row r="218" spans="1:25" x14ac:dyDescent="0.2">
      <c r="A218" s="26">
        <v>343</v>
      </c>
      <c r="B218" s="139"/>
      <c r="C218" s="139" t="s">
        <v>62</v>
      </c>
      <c r="D218" s="139"/>
      <c r="E218" s="56"/>
      <c r="F218" s="56"/>
      <c r="G218" s="224"/>
      <c r="H218" s="139"/>
      <c r="I218" s="45"/>
      <c r="J218" s="139"/>
      <c r="K218" s="34"/>
      <c r="L218" s="34"/>
      <c r="M218" s="34"/>
      <c r="N218" s="34"/>
      <c r="O218" s="34"/>
      <c r="P218" s="139"/>
      <c r="Q218" s="26"/>
      <c r="R218" s="139"/>
      <c r="S218" s="62"/>
      <c r="T218" s="32"/>
      <c r="U218" s="26"/>
    </row>
    <row r="219" spans="1:25" x14ac:dyDescent="0.2">
      <c r="A219" s="26"/>
      <c r="B219" s="139"/>
      <c r="C219" s="58" t="s">
        <v>113</v>
      </c>
      <c r="D219" s="139"/>
      <c r="E219" s="20" t="s">
        <v>194</v>
      </c>
      <c r="F219" s="20" t="s">
        <v>64</v>
      </c>
      <c r="G219" s="222">
        <f>'SKM Prod NS Weighting'!Q$30</f>
        <v>-6.8000000000000005E-3</v>
      </c>
      <c r="H219" s="139"/>
      <c r="I219" s="45">
        <v>31137756.050000001</v>
      </c>
      <c r="J219" s="44"/>
      <c r="K219" s="45">
        <v>10133882</v>
      </c>
      <c r="L219" s="45"/>
      <c r="M219" s="200">
        <f t="shared" ref="M219:M232" si="61">+((1-G219)*I219)-K219</f>
        <v>21215610.791139998</v>
      </c>
      <c r="N219" s="45"/>
      <c r="O219" s="45">
        <f t="shared" ref="O219:O232" si="62">M219/S219</f>
        <v>1185229.6531363127</v>
      </c>
      <c r="P219" s="139"/>
      <c r="Q219" s="116">
        <f t="shared" ref="Q219:Q232" si="63">IF(O219/I219*100=0,"-     ",ROUND(O219/I219*100,2))</f>
        <v>3.81</v>
      </c>
      <c r="S219" s="117">
        <v>17.899999999999999</v>
      </c>
      <c r="T219" s="32"/>
      <c r="U219" s="116">
        <v>4.04</v>
      </c>
      <c r="W219" s="145">
        <f t="shared" ref="W219:W232" si="64">(I219/100)*U219</f>
        <v>1257965.3444200002</v>
      </c>
      <c r="Y219" s="157">
        <f t="shared" ref="Y219:Y232" si="65">O219-W219</f>
        <v>-72735.691283687484</v>
      </c>
    </row>
    <row r="220" spans="1:25" x14ac:dyDescent="0.2">
      <c r="A220" s="26"/>
      <c r="B220" s="139"/>
      <c r="C220" s="58" t="s">
        <v>114</v>
      </c>
      <c r="D220" s="139"/>
      <c r="E220" s="20" t="s">
        <v>194</v>
      </c>
      <c r="F220" s="20" t="s">
        <v>64</v>
      </c>
      <c r="G220" s="222">
        <f>'SKM Prod NS Weighting'!Q$30</f>
        <v>-6.8000000000000005E-3</v>
      </c>
      <c r="H220" s="139"/>
      <c r="I220" s="45">
        <v>32030243.239999998</v>
      </c>
      <c r="J220" s="44"/>
      <c r="K220" s="45">
        <v>8059467</v>
      </c>
      <c r="L220" s="45"/>
      <c r="M220" s="200">
        <f t="shared" si="61"/>
        <v>24188581.894031994</v>
      </c>
      <c r="N220" s="45"/>
      <c r="O220" s="45">
        <f t="shared" si="62"/>
        <v>1343810.1052239996</v>
      </c>
      <c r="P220" s="139"/>
      <c r="Q220" s="116">
        <f t="shared" si="63"/>
        <v>4.2</v>
      </c>
      <c r="S220" s="117">
        <v>18</v>
      </c>
      <c r="T220" s="32"/>
      <c r="U220" s="116">
        <v>4.43</v>
      </c>
      <c r="W220" s="145">
        <f t="shared" si="64"/>
        <v>1418939.7755319998</v>
      </c>
      <c r="Y220" s="157">
        <f t="shared" si="65"/>
        <v>-75129.670308000175</v>
      </c>
    </row>
    <row r="221" spans="1:25" x14ac:dyDescent="0.2">
      <c r="A221" s="26"/>
      <c r="B221" s="139"/>
      <c r="C221" s="58" t="s">
        <v>115</v>
      </c>
      <c r="D221" s="139"/>
      <c r="E221" s="20" t="s">
        <v>194</v>
      </c>
      <c r="F221" s="20" t="s">
        <v>64</v>
      </c>
      <c r="G221" s="222">
        <f>'SKM Prod NS Weighting'!Q$30</f>
        <v>-6.8000000000000005E-3</v>
      </c>
      <c r="H221" s="139"/>
      <c r="I221" s="45">
        <v>23223115.609999999</v>
      </c>
      <c r="J221" s="44"/>
      <c r="K221" s="45">
        <v>6218174</v>
      </c>
      <c r="L221" s="45"/>
      <c r="M221" s="200">
        <f t="shared" si="61"/>
        <v>17162858.796147998</v>
      </c>
      <c r="N221" s="45"/>
      <c r="O221" s="45">
        <f t="shared" si="62"/>
        <v>875656.06102795899</v>
      </c>
      <c r="P221" s="139"/>
      <c r="Q221" s="116">
        <f t="shared" si="63"/>
        <v>3.77</v>
      </c>
      <c r="S221" s="117">
        <v>19.600000000000001</v>
      </c>
      <c r="T221" s="32"/>
      <c r="U221" s="116">
        <v>3.99</v>
      </c>
      <c r="W221" s="145">
        <f t="shared" si="64"/>
        <v>926602.31283900002</v>
      </c>
      <c r="Y221" s="157">
        <f t="shared" si="65"/>
        <v>-50946.251811041031</v>
      </c>
    </row>
    <row r="222" spans="1:25" x14ac:dyDescent="0.2">
      <c r="A222" s="26"/>
      <c r="B222" s="139"/>
      <c r="C222" s="58" t="s">
        <v>116</v>
      </c>
      <c r="D222" s="139"/>
      <c r="E222" s="20" t="s">
        <v>194</v>
      </c>
      <c r="F222" s="20" t="s">
        <v>64</v>
      </c>
      <c r="G222" s="222">
        <f>'SKM Prod NS Weighting'!Q$30</f>
        <v>-6.8000000000000005E-3</v>
      </c>
      <c r="H222" s="139"/>
      <c r="I222" s="45">
        <v>23034740.629999999</v>
      </c>
      <c r="J222" s="44"/>
      <c r="K222" s="45">
        <v>6163385</v>
      </c>
      <c r="L222" s="45"/>
      <c r="M222" s="200">
        <f t="shared" si="61"/>
        <v>17027991.866283998</v>
      </c>
      <c r="N222" s="45"/>
      <c r="O222" s="45">
        <f t="shared" si="62"/>
        <v>868775.09521857125</v>
      </c>
      <c r="P222" s="139"/>
      <c r="Q222" s="116">
        <f t="shared" si="63"/>
        <v>3.77</v>
      </c>
      <c r="S222" s="117">
        <v>19.600000000000001</v>
      </c>
      <c r="T222" s="32"/>
      <c r="U222" s="116">
        <v>3.99</v>
      </c>
      <c r="W222" s="145">
        <f t="shared" si="64"/>
        <v>919086.15113700007</v>
      </c>
      <c r="Y222" s="157">
        <f t="shared" si="65"/>
        <v>-50311.055918428814</v>
      </c>
    </row>
    <row r="223" spans="1:25" x14ac:dyDescent="0.2">
      <c r="A223" s="26"/>
      <c r="B223" s="139"/>
      <c r="C223" s="58" t="s">
        <v>117</v>
      </c>
      <c r="D223" s="139"/>
      <c r="E223" s="20" t="s">
        <v>194</v>
      </c>
      <c r="F223" s="20" t="s">
        <v>64</v>
      </c>
      <c r="G223" s="222">
        <f>'SKM Prod NS Weighting'!Q$30</f>
        <v>-6.8000000000000005E-3</v>
      </c>
      <c r="H223" s="139"/>
      <c r="I223" s="45">
        <v>22902195.539999999</v>
      </c>
      <c r="J223" s="44"/>
      <c r="K223" s="45">
        <v>5896000</v>
      </c>
      <c r="L223" s="45"/>
      <c r="M223" s="200">
        <f t="shared" si="61"/>
        <v>17161930.469671998</v>
      </c>
      <c r="N223" s="45"/>
      <c r="O223" s="45">
        <f t="shared" si="62"/>
        <v>875608.69743224478</v>
      </c>
      <c r="P223" s="139"/>
      <c r="Q223" s="116">
        <f t="shared" si="63"/>
        <v>3.82</v>
      </c>
      <c r="S223" s="117">
        <v>19.600000000000001</v>
      </c>
      <c r="T223" s="32"/>
      <c r="U223" s="116">
        <v>4.04</v>
      </c>
      <c r="W223" s="145">
        <f t="shared" si="64"/>
        <v>925248.69981599995</v>
      </c>
      <c r="Y223" s="157">
        <f t="shared" si="65"/>
        <v>-49640.002383755171</v>
      </c>
    </row>
    <row r="224" spans="1:25" x14ac:dyDescent="0.2">
      <c r="A224" s="26"/>
      <c r="B224" s="139"/>
      <c r="C224" s="58" t="s">
        <v>118</v>
      </c>
      <c r="D224" s="139"/>
      <c r="E224" s="20" t="s">
        <v>194</v>
      </c>
      <c r="F224" s="20" t="s">
        <v>64</v>
      </c>
      <c r="G224" s="222">
        <f>'SKM Prod NS Weighting'!Q$30</f>
        <v>-6.8000000000000005E-3</v>
      </c>
      <c r="H224" s="139"/>
      <c r="I224" s="45">
        <v>22850722.460000001</v>
      </c>
      <c r="J224" s="44"/>
      <c r="K224" s="45">
        <v>5890691</v>
      </c>
      <c r="L224" s="45"/>
      <c r="M224" s="200">
        <f t="shared" si="61"/>
        <v>17115416.372727998</v>
      </c>
      <c r="N224" s="45"/>
      <c r="O224" s="45">
        <f t="shared" si="62"/>
        <v>873235.5292208161</v>
      </c>
      <c r="P224" s="139"/>
      <c r="Q224" s="116">
        <f t="shared" si="63"/>
        <v>3.82</v>
      </c>
      <c r="S224" s="117">
        <v>19.600000000000001</v>
      </c>
      <c r="T224" s="32"/>
      <c r="U224" s="116">
        <v>4.04</v>
      </c>
      <c r="W224" s="145">
        <f t="shared" si="64"/>
        <v>923169.18738400005</v>
      </c>
      <c r="Y224" s="157">
        <f t="shared" si="65"/>
        <v>-49933.658163183951</v>
      </c>
    </row>
    <row r="225" spans="1:25" x14ac:dyDescent="0.2">
      <c r="A225" s="26"/>
      <c r="B225" s="139"/>
      <c r="C225" s="58" t="s">
        <v>119</v>
      </c>
      <c r="D225" s="139"/>
      <c r="E225" s="20" t="s">
        <v>194</v>
      </c>
      <c r="F225" s="20" t="s">
        <v>64</v>
      </c>
      <c r="G225" s="222">
        <f>'SKM Prod NS Weighting'!Q$30</f>
        <v>-6.8000000000000005E-3</v>
      </c>
      <c r="H225" s="139"/>
      <c r="I225" s="45">
        <v>14666936.33</v>
      </c>
      <c r="J225" s="44"/>
      <c r="K225" s="45">
        <v>4448405</v>
      </c>
      <c r="L225" s="45"/>
      <c r="M225" s="200">
        <f t="shared" si="61"/>
        <v>10318266.497043999</v>
      </c>
      <c r="N225" s="45"/>
      <c r="O225" s="45">
        <f t="shared" si="62"/>
        <v>599899.21494441852</v>
      </c>
      <c r="P225" s="139"/>
      <c r="Q225" s="116">
        <f t="shared" si="63"/>
        <v>4.09</v>
      </c>
      <c r="S225" s="117">
        <v>17.2</v>
      </c>
      <c r="T225" s="32"/>
      <c r="U225" s="116">
        <v>4.33</v>
      </c>
      <c r="W225" s="145">
        <f t="shared" si="64"/>
        <v>635078.34308899997</v>
      </c>
      <c r="Y225" s="157">
        <f t="shared" si="65"/>
        <v>-35179.128144581453</v>
      </c>
    </row>
    <row r="226" spans="1:25" ht="16.5" customHeight="1" x14ac:dyDescent="0.2">
      <c r="A226" s="114" t="s">
        <v>130</v>
      </c>
      <c r="B226" s="139"/>
      <c r="C226" s="58" t="s">
        <v>120</v>
      </c>
      <c r="D226" s="139"/>
      <c r="E226" s="20" t="s">
        <v>194</v>
      </c>
      <c r="F226" s="20" t="s">
        <v>64</v>
      </c>
      <c r="G226" s="222">
        <f>'SKM Prod NS Weighting'!Q$30</f>
        <v>-6.8000000000000005E-3</v>
      </c>
      <c r="H226" s="139"/>
      <c r="I226" s="45">
        <v>34600149.280000001</v>
      </c>
      <c r="J226" s="44"/>
      <c r="K226" s="45">
        <v>7991509</v>
      </c>
      <c r="L226" s="45"/>
      <c r="M226" s="200">
        <f t="shared" si="61"/>
        <v>26843921.295103997</v>
      </c>
      <c r="N226" s="45"/>
      <c r="O226" s="45">
        <f t="shared" si="62"/>
        <v>1720764.1855835896</v>
      </c>
      <c r="P226" s="139"/>
      <c r="Q226" s="116">
        <f t="shared" si="63"/>
        <v>4.97</v>
      </c>
      <c r="S226" s="117">
        <v>15.6</v>
      </c>
      <c r="T226" s="32"/>
      <c r="U226" s="116">
        <v>5.24</v>
      </c>
      <c r="W226" s="145">
        <f t="shared" si="64"/>
        <v>1813047.8222720001</v>
      </c>
      <c r="Y226" s="157">
        <f t="shared" si="65"/>
        <v>-92283.636688410537</v>
      </c>
    </row>
    <row r="227" spans="1:25" x14ac:dyDescent="0.2">
      <c r="A227" s="26"/>
      <c r="B227" s="139"/>
      <c r="C227" s="58" t="s">
        <v>121</v>
      </c>
      <c r="D227" s="139"/>
      <c r="E227" s="20" t="s">
        <v>194</v>
      </c>
      <c r="F227" s="20" t="s">
        <v>64</v>
      </c>
      <c r="G227" s="222">
        <f>'SKM Prod NS Weighting'!Q$30</f>
        <v>-6.8000000000000005E-3</v>
      </c>
      <c r="H227" s="139"/>
      <c r="I227" s="45">
        <v>31657718.920000002</v>
      </c>
      <c r="J227" s="44"/>
      <c r="K227" s="45">
        <v>7847473</v>
      </c>
      <c r="L227" s="45"/>
      <c r="M227" s="200">
        <f t="shared" si="61"/>
        <v>24025518.408655997</v>
      </c>
      <c r="N227" s="45"/>
      <c r="O227" s="45">
        <f t="shared" si="62"/>
        <v>1540097.333888205</v>
      </c>
      <c r="P227" s="139"/>
      <c r="Q227" s="116">
        <f t="shared" si="63"/>
        <v>4.8600000000000003</v>
      </c>
      <c r="S227" s="117">
        <v>15.6</v>
      </c>
      <c r="T227" s="32"/>
      <c r="U227" s="116">
        <v>5.15</v>
      </c>
      <c r="W227" s="145">
        <f t="shared" si="64"/>
        <v>1630372.5243800003</v>
      </c>
      <c r="Y227" s="157">
        <f t="shared" si="65"/>
        <v>-90275.190491795307</v>
      </c>
    </row>
    <row r="228" spans="1:25" x14ac:dyDescent="0.2">
      <c r="A228" s="26"/>
      <c r="B228" s="139"/>
      <c r="C228" s="58" t="s">
        <v>122</v>
      </c>
      <c r="D228" s="139"/>
      <c r="E228" s="20" t="s">
        <v>194</v>
      </c>
      <c r="F228" s="20" t="s">
        <v>64</v>
      </c>
      <c r="G228" s="222">
        <f>'SKM Prod NS Weighting'!Q$30</f>
        <v>-6.8000000000000005E-3</v>
      </c>
      <c r="H228" s="139"/>
      <c r="I228" s="45">
        <v>26710989.989999998</v>
      </c>
      <c r="J228" s="44"/>
      <c r="K228" s="45">
        <v>10068236</v>
      </c>
      <c r="L228" s="45"/>
      <c r="M228" s="200">
        <f t="shared" si="61"/>
        <v>16824388.721931998</v>
      </c>
      <c r="N228" s="45"/>
      <c r="O228" s="45">
        <f t="shared" si="62"/>
        <v>1356805.54209129</v>
      </c>
      <c r="P228" s="139"/>
      <c r="Q228" s="116">
        <f t="shared" si="63"/>
        <v>5.08</v>
      </c>
      <c r="S228" s="117">
        <v>12.4</v>
      </c>
      <c r="T228" s="32"/>
      <c r="U228" s="116">
        <v>5.45</v>
      </c>
      <c r="W228" s="145">
        <f t="shared" si="64"/>
        <v>1455748.9544549999</v>
      </c>
      <c r="Y228" s="157">
        <f t="shared" si="65"/>
        <v>-98943.412363709882</v>
      </c>
    </row>
    <row r="229" spans="1:25" x14ac:dyDescent="0.2">
      <c r="A229" s="68"/>
      <c r="B229" s="139"/>
      <c r="C229" s="58" t="s">
        <v>123</v>
      </c>
      <c r="D229" s="139"/>
      <c r="E229" s="20" t="s">
        <v>194</v>
      </c>
      <c r="F229" s="20" t="s">
        <v>64</v>
      </c>
      <c r="G229" s="222">
        <f>'SKM Prod NS Weighting'!Q$30</f>
        <v>-6.8000000000000005E-3</v>
      </c>
      <c r="H229" s="139"/>
      <c r="I229" s="45">
        <v>23335363.18</v>
      </c>
      <c r="J229" s="44"/>
      <c r="K229" s="45">
        <v>11433236</v>
      </c>
      <c r="L229" s="45"/>
      <c r="M229" s="200">
        <f t="shared" si="61"/>
        <v>12060807.649623998</v>
      </c>
      <c r="N229" s="45"/>
      <c r="O229" s="45">
        <f t="shared" si="62"/>
        <v>739926.84967018384</v>
      </c>
      <c r="P229" s="139"/>
      <c r="Q229" s="116">
        <f t="shared" si="63"/>
        <v>3.17</v>
      </c>
      <c r="S229" s="117">
        <v>16.3</v>
      </c>
      <c r="T229" s="32"/>
      <c r="U229" s="116">
        <v>3.43</v>
      </c>
      <c r="W229" s="145">
        <f t="shared" si="64"/>
        <v>800402.95707400003</v>
      </c>
      <c r="Y229" s="157">
        <f t="shared" si="65"/>
        <v>-60476.10740381619</v>
      </c>
    </row>
    <row r="230" spans="1:25" x14ac:dyDescent="0.2">
      <c r="A230" s="26"/>
      <c r="B230" s="139"/>
      <c r="C230" s="58" t="s">
        <v>124</v>
      </c>
      <c r="D230" s="139"/>
      <c r="E230" s="20" t="s">
        <v>194</v>
      </c>
      <c r="F230" s="20" t="s">
        <v>64</v>
      </c>
      <c r="G230" s="222">
        <f>'SKM Prod NS Weighting'!Q$30</f>
        <v>-6.8000000000000005E-3</v>
      </c>
      <c r="H230" s="139"/>
      <c r="I230" s="45">
        <v>20074765.960000001</v>
      </c>
      <c r="J230" s="44"/>
      <c r="K230" s="45">
        <v>9663038</v>
      </c>
      <c r="L230" s="45"/>
      <c r="M230" s="200">
        <f t="shared" si="61"/>
        <v>10548236.368528001</v>
      </c>
      <c r="N230" s="45"/>
      <c r="O230" s="45">
        <f t="shared" si="62"/>
        <v>647131.06555386505</v>
      </c>
      <c r="P230" s="139"/>
      <c r="Q230" s="116">
        <f t="shared" si="63"/>
        <v>3.22</v>
      </c>
      <c r="S230" s="117">
        <v>16.3</v>
      </c>
      <c r="T230" s="32"/>
      <c r="U230" s="116">
        <v>3.49</v>
      </c>
      <c r="W230" s="145">
        <f t="shared" si="64"/>
        <v>700609.33200400008</v>
      </c>
      <c r="Y230" s="157">
        <f t="shared" si="65"/>
        <v>-53478.266450135037</v>
      </c>
    </row>
    <row r="231" spans="1:25" x14ac:dyDescent="0.2">
      <c r="A231" s="26"/>
      <c r="B231" s="139"/>
      <c r="C231" s="58" t="s">
        <v>125</v>
      </c>
      <c r="D231" s="139"/>
      <c r="E231" s="20" t="s">
        <v>194</v>
      </c>
      <c r="F231" s="20" t="s">
        <v>64</v>
      </c>
      <c r="G231" s="222">
        <f>'SKM Prod NS Weighting'!Q$30</f>
        <v>-6.8000000000000005E-3</v>
      </c>
      <c r="H231" s="139"/>
      <c r="I231" s="45">
        <v>34794971.170000002</v>
      </c>
      <c r="J231" s="44"/>
      <c r="K231" s="45">
        <v>15401000</v>
      </c>
      <c r="L231" s="45"/>
      <c r="M231" s="200">
        <f t="shared" si="61"/>
        <v>19630576.973955996</v>
      </c>
      <c r="N231" s="45"/>
      <c r="O231" s="45">
        <f t="shared" si="62"/>
        <v>1498517.326256183</v>
      </c>
      <c r="P231" s="139"/>
      <c r="Q231" s="116">
        <f t="shared" si="63"/>
        <v>4.3099999999999996</v>
      </c>
      <c r="S231" s="117">
        <v>13.1</v>
      </c>
      <c r="T231" s="32"/>
      <c r="U231" s="116">
        <v>4.6500000000000004</v>
      </c>
      <c r="W231" s="145">
        <f t="shared" si="64"/>
        <v>1617966.1594050003</v>
      </c>
      <c r="Y231" s="157">
        <f t="shared" si="65"/>
        <v>-119448.8331488173</v>
      </c>
    </row>
    <row r="232" spans="1:25" x14ac:dyDescent="0.2">
      <c r="A232" s="26"/>
      <c r="B232" s="139"/>
      <c r="C232" s="58" t="s">
        <v>127</v>
      </c>
      <c r="D232" s="139"/>
      <c r="E232" s="20" t="s">
        <v>194</v>
      </c>
      <c r="F232" s="20" t="s">
        <v>64</v>
      </c>
      <c r="G232" s="222">
        <f>'SKM Prod NS Weighting'!Q$30</f>
        <v>-6.8000000000000005E-3</v>
      </c>
      <c r="H232" s="139"/>
      <c r="I232" s="90">
        <v>17803364.010000002</v>
      </c>
      <c r="J232" s="44"/>
      <c r="K232" s="90">
        <v>4875055</v>
      </c>
      <c r="L232" s="45"/>
      <c r="M232" s="200">
        <f t="shared" si="61"/>
        <v>13049371.885267999</v>
      </c>
      <c r="N232" s="45"/>
      <c r="O232" s="45">
        <f t="shared" si="62"/>
        <v>763121.16288116947</v>
      </c>
      <c r="P232" s="139"/>
      <c r="Q232" s="116">
        <f t="shared" si="63"/>
        <v>4.29</v>
      </c>
      <c r="S232" s="117">
        <v>17.100000000000001</v>
      </c>
      <c r="T232" s="32"/>
      <c r="U232" s="116">
        <v>4.53</v>
      </c>
      <c r="W232" s="145">
        <f t="shared" si="64"/>
        <v>806492.38965300017</v>
      </c>
      <c r="Y232" s="159">
        <f t="shared" si="65"/>
        <v>-43371.226771830698</v>
      </c>
    </row>
    <row r="233" spans="1:25" x14ac:dyDescent="0.2">
      <c r="A233" s="26"/>
      <c r="B233" s="139"/>
      <c r="C233" s="139"/>
      <c r="D233" s="139"/>
      <c r="E233" s="20"/>
      <c r="F233" s="20"/>
      <c r="G233" s="222"/>
      <c r="H233" s="139"/>
      <c r="I233" s="45"/>
      <c r="J233" s="44"/>
      <c r="K233" s="45"/>
      <c r="L233" s="45"/>
      <c r="M233" s="45"/>
      <c r="N233" s="45"/>
      <c r="O233" s="45"/>
      <c r="P233" s="139"/>
      <c r="Q233" s="26"/>
      <c r="R233" s="139"/>
      <c r="S233" s="62"/>
      <c r="T233" s="32"/>
      <c r="U233" s="26"/>
    </row>
    <row r="234" spans="1:25" ht="15.75" x14ac:dyDescent="0.25">
      <c r="A234" s="26"/>
      <c r="B234" s="139"/>
      <c r="C234" s="65" t="s">
        <v>63</v>
      </c>
      <c r="D234" s="139"/>
      <c r="E234" s="20"/>
      <c r="F234" s="20"/>
      <c r="G234" s="222"/>
      <c r="H234" s="139"/>
      <c r="I234" s="45">
        <f>SUM(I219:I232)</f>
        <v>358823032.37</v>
      </c>
      <c r="J234" s="139"/>
      <c r="K234" s="45">
        <f>SUM(K219:K232)</f>
        <v>114089551</v>
      </c>
      <c r="L234" s="34"/>
      <c r="M234" s="45">
        <f>SUM(M219:M232)</f>
        <v>247173477.99011597</v>
      </c>
      <c r="N234" s="34"/>
      <c r="O234" s="45">
        <f>SUM(O219:O232)</f>
        <v>14888577.822128806</v>
      </c>
      <c r="P234" s="139"/>
      <c r="Q234" s="116">
        <f>IF(O234/I234*100=0,"-     ",ROUND(O234/I234*100,2))</f>
        <v>4.1500000000000004</v>
      </c>
      <c r="S234" s="117">
        <v>16.600000000000001</v>
      </c>
      <c r="T234" s="32"/>
      <c r="U234" s="242">
        <f>W234/I234</f>
        <v>4.4118488852009252E-2</v>
      </c>
      <c r="W234" s="45">
        <f>SUM(W219:W232)</f>
        <v>15830729.95346</v>
      </c>
      <c r="Y234" s="45">
        <f>SUM(Y219:Y232)</f>
        <v>-942152.13133119303</v>
      </c>
    </row>
    <row r="235" spans="1:25" x14ac:dyDescent="0.2">
      <c r="A235" s="26"/>
      <c r="B235" s="139"/>
      <c r="C235" s="139"/>
      <c r="D235" s="139"/>
      <c r="E235" s="20"/>
      <c r="F235" s="20"/>
      <c r="G235" s="222"/>
      <c r="H235" s="139"/>
      <c r="I235" s="45"/>
      <c r="J235" s="139"/>
      <c r="K235" s="34"/>
      <c r="L235" s="34"/>
      <c r="M235" s="34"/>
      <c r="N235" s="34"/>
      <c r="O235" s="34"/>
      <c r="P235" s="139"/>
      <c r="Q235" s="26"/>
      <c r="R235" s="139"/>
      <c r="S235" s="62"/>
      <c r="T235" s="32"/>
      <c r="U235" s="26"/>
    </row>
    <row r="236" spans="1:25" x14ac:dyDescent="0.2">
      <c r="A236" s="26">
        <v>344</v>
      </c>
      <c r="B236" s="139"/>
      <c r="C236" s="139" t="s">
        <v>37</v>
      </c>
      <c r="D236" s="139"/>
      <c r="E236" s="56"/>
      <c r="F236" s="56"/>
      <c r="G236" s="224"/>
      <c r="H236" s="139"/>
      <c r="I236" s="45"/>
      <c r="J236" s="139"/>
      <c r="K236" s="34"/>
      <c r="L236" s="34"/>
      <c r="M236" s="34"/>
      <c r="N236" s="34"/>
      <c r="O236" s="34"/>
      <c r="P236" s="139"/>
      <c r="Q236" s="26"/>
      <c r="R236" s="139"/>
      <c r="S236" s="62"/>
      <c r="T236" s="32"/>
      <c r="U236" s="26"/>
    </row>
    <row r="237" spans="1:25" x14ac:dyDescent="0.2">
      <c r="A237" s="26"/>
      <c r="B237" s="139"/>
      <c r="C237" s="58" t="s">
        <v>113</v>
      </c>
      <c r="D237" s="139"/>
      <c r="E237" s="20" t="s">
        <v>144</v>
      </c>
      <c r="F237" s="20" t="s">
        <v>64</v>
      </c>
      <c r="G237" s="222">
        <f>'SKM Prod NS Weighting'!Q$31</f>
        <v>-1.5000000000000001E-4</v>
      </c>
      <c r="H237" s="139"/>
      <c r="I237" s="45">
        <v>3763274.51</v>
      </c>
      <c r="J237" s="44"/>
      <c r="K237" s="45">
        <v>1176387</v>
      </c>
      <c r="L237" s="45"/>
      <c r="M237" s="200">
        <f t="shared" ref="M237:M251" si="66">+((1-G237)*I237)-K237</f>
        <v>2587452.0011765002</v>
      </c>
      <c r="N237" s="45"/>
      <c r="O237" s="45">
        <f t="shared" ref="O237:O251" si="67">M237/S237</f>
        <v>126835.88241061277</v>
      </c>
      <c r="P237" s="139"/>
      <c r="Q237" s="116">
        <f t="shared" ref="Q237:Q251" si="68">IF(O237/I237*100=0,"-     ",ROUND(O237/I237*100,2))</f>
        <v>3.37</v>
      </c>
      <c r="S237" s="117">
        <v>20.399999999999999</v>
      </c>
      <c r="T237" s="32"/>
      <c r="U237" s="116">
        <v>3.62</v>
      </c>
      <c r="W237" s="145">
        <f t="shared" ref="W237:W251" si="69">(I237/100)*U237</f>
        <v>136230.537262</v>
      </c>
      <c r="Y237" s="157">
        <f t="shared" ref="Y237:Y251" si="70">O237-W237</f>
        <v>-9394.6548513872258</v>
      </c>
    </row>
    <row r="238" spans="1:25" x14ac:dyDescent="0.2">
      <c r="A238" s="26"/>
      <c r="B238" s="139"/>
      <c r="C238" s="58" t="s">
        <v>114</v>
      </c>
      <c r="D238" s="139"/>
      <c r="E238" s="20" t="s">
        <v>144</v>
      </c>
      <c r="F238" s="20" t="s">
        <v>64</v>
      </c>
      <c r="G238" s="222">
        <f>'SKM Prod NS Weighting'!Q$31</f>
        <v>-1.5000000000000001E-4</v>
      </c>
      <c r="H238" s="139"/>
      <c r="I238" s="45">
        <v>3757946.57</v>
      </c>
      <c r="J238" s="44"/>
      <c r="K238" s="45">
        <v>1174917</v>
      </c>
      <c r="L238" s="45"/>
      <c r="M238" s="200">
        <f t="shared" si="66"/>
        <v>2583593.2619855003</v>
      </c>
      <c r="N238" s="45"/>
      <c r="O238" s="45">
        <f t="shared" si="67"/>
        <v>126646.728528701</v>
      </c>
      <c r="P238" s="139"/>
      <c r="Q238" s="116">
        <f t="shared" si="68"/>
        <v>3.37</v>
      </c>
      <c r="S238" s="117">
        <v>20.399999999999999</v>
      </c>
      <c r="T238" s="32"/>
      <c r="U238" s="116">
        <v>3.62</v>
      </c>
      <c r="W238" s="145">
        <f t="shared" si="69"/>
        <v>136037.66583400001</v>
      </c>
      <c r="Y238" s="157">
        <f t="shared" si="70"/>
        <v>-9390.9373052990122</v>
      </c>
    </row>
    <row r="239" spans="1:25" x14ac:dyDescent="0.2">
      <c r="A239" s="26"/>
      <c r="B239" s="139"/>
      <c r="C239" s="58" t="s">
        <v>115</v>
      </c>
      <c r="D239" s="139"/>
      <c r="E239" s="20" t="s">
        <v>144</v>
      </c>
      <c r="F239" s="20" t="s">
        <v>64</v>
      </c>
      <c r="G239" s="222">
        <f>'SKM Prod NS Weighting'!Q$31</f>
        <v>-1.5000000000000001E-4</v>
      </c>
      <c r="H239" s="139"/>
      <c r="I239" s="45">
        <v>2950282.37</v>
      </c>
      <c r="J239" s="44"/>
      <c r="K239" s="45">
        <v>748548</v>
      </c>
      <c r="L239" s="45"/>
      <c r="M239" s="200">
        <f t="shared" si="66"/>
        <v>2202176.9123555003</v>
      </c>
      <c r="N239" s="45"/>
      <c r="O239" s="45">
        <f t="shared" si="67"/>
        <v>98311.469301584846</v>
      </c>
      <c r="P239" s="139"/>
      <c r="Q239" s="116">
        <f t="shared" si="68"/>
        <v>3.33</v>
      </c>
      <c r="S239" s="117">
        <v>22.4</v>
      </c>
      <c r="T239" s="32"/>
      <c r="U239" s="116">
        <v>3.56</v>
      </c>
      <c r="W239" s="145">
        <f t="shared" si="69"/>
        <v>105030.05237200001</v>
      </c>
      <c r="Y239" s="157">
        <f t="shared" si="70"/>
        <v>-6718.5830704151595</v>
      </c>
    </row>
    <row r="240" spans="1:25" x14ac:dyDescent="0.2">
      <c r="A240" s="26"/>
      <c r="B240" s="139"/>
      <c r="C240" s="58" t="s">
        <v>116</v>
      </c>
      <c r="D240" s="139"/>
      <c r="E240" s="20" t="s">
        <v>144</v>
      </c>
      <c r="F240" s="20" t="s">
        <v>64</v>
      </c>
      <c r="G240" s="222">
        <f>'SKM Prod NS Weighting'!Q$31</f>
        <v>-1.5000000000000001E-4</v>
      </c>
      <c r="H240" s="139"/>
      <c r="I240" s="45">
        <v>2937930.22</v>
      </c>
      <c r="J240" s="44"/>
      <c r="K240" s="45">
        <v>745414</v>
      </c>
      <c r="L240" s="45"/>
      <c r="M240" s="200">
        <f t="shared" si="66"/>
        <v>2192956.9095330006</v>
      </c>
      <c r="N240" s="45"/>
      <c r="O240" s="45">
        <f t="shared" si="67"/>
        <v>97899.862032723249</v>
      </c>
      <c r="P240" s="139"/>
      <c r="Q240" s="116">
        <f t="shared" si="68"/>
        <v>3.33</v>
      </c>
      <c r="S240" s="117">
        <v>22.4</v>
      </c>
      <c r="T240" s="32"/>
      <c r="U240" s="116">
        <v>3.56</v>
      </c>
      <c r="W240" s="145">
        <f t="shared" si="69"/>
        <v>104590.31583200001</v>
      </c>
      <c r="Y240" s="157">
        <f t="shared" si="70"/>
        <v>-6690.4537992767582</v>
      </c>
    </row>
    <row r="241" spans="1:25" x14ac:dyDescent="0.2">
      <c r="A241" s="26"/>
      <c r="B241" s="139"/>
      <c r="C241" s="58" t="s">
        <v>117</v>
      </c>
      <c r="D241" s="139"/>
      <c r="E241" s="20" t="s">
        <v>144</v>
      </c>
      <c r="F241" s="20" t="s">
        <v>64</v>
      </c>
      <c r="G241" s="222">
        <f>'SKM Prod NS Weighting'!Q$31</f>
        <v>-1.5000000000000001E-4</v>
      </c>
      <c r="H241" s="139"/>
      <c r="I241" s="45">
        <v>2957520.12</v>
      </c>
      <c r="J241" s="44"/>
      <c r="K241" s="45">
        <v>741931</v>
      </c>
      <c r="L241" s="45"/>
      <c r="M241" s="200">
        <f t="shared" si="66"/>
        <v>2216032.7480180003</v>
      </c>
      <c r="N241" s="45"/>
      <c r="O241" s="45">
        <f t="shared" si="67"/>
        <v>98930.033393660735</v>
      </c>
      <c r="P241" s="139"/>
      <c r="Q241" s="116">
        <f t="shared" si="68"/>
        <v>3.35</v>
      </c>
      <c r="S241" s="117">
        <v>22.4</v>
      </c>
      <c r="T241" s="32"/>
      <c r="U241" s="116">
        <v>3.57</v>
      </c>
      <c r="W241" s="145">
        <f t="shared" si="69"/>
        <v>105583.46828399999</v>
      </c>
      <c r="Y241" s="157">
        <f t="shared" si="70"/>
        <v>-6653.4348903392529</v>
      </c>
    </row>
    <row r="242" spans="1:25" x14ac:dyDescent="0.2">
      <c r="A242" s="26"/>
      <c r="B242" s="139"/>
      <c r="C242" s="58" t="s">
        <v>118</v>
      </c>
      <c r="D242" s="139"/>
      <c r="E242" s="20" t="s">
        <v>144</v>
      </c>
      <c r="F242" s="20" t="s">
        <v>64</v>
      </c>
      <c r="G242" s="222">
        <f>'SKM Prod NS Weighting'!Q$31</f>
        <v>-1.5000000000000001E-4</v>
      </c>
      <c r="H242" s="139"/>
      <c r="I242" s="45">
        <v>2954148.53</v>
      </c>
      <c r="J242" s="44"/>
      <c r="K242" s="45">
        <v>741085</v>
      </c>
      <c r="L242" s="45"/>
      <c r="M242" s="200">
        <f t="shared" si="66"/>
        <v>2213506.6522794999</v>
      </c>
      <c r="N242" s="45"/>
      <c r="O242" s="45">
        <f t="shared" si="67"/>
        <v>98817.261262477681</v>
      </c>
      <c r="P242" s="139"/>
      <c r="Q242" s="116">
        <f t="shared" si="68"/>
        <v>3.35</v>
      </c>
      <c r="S242" s="117">
        <v>22.4</v>
      </c>
      <c r="T242" s="32"/>
      <c r="U242" s="116">
        <v>3.57</v>
      </c>
      <c r="W242" s="145">
        <f t="shared" si="69"/>
        <v>105463.10252099998</v>
      </c>
      <c r="Y242" s="157">
        <f t="shared" si="70"/>
        <v>-6645.8412585222977</v>
      </c>
    </row>
    <row r="243" spans="1:25" x14ac:dyDescent="0.2">
      <c r="A243" s="26"/>
      <c r="B243" s="139"/>
      <c r="C243" s="58" t="s">
        <v>119</v>
      </c>
      <c r="D243" s="139"/>
      <c r="E243" s="20" t="s">
        <v>144</v>
      </c>
      <c r="F243" s="20" t="s">
        <v>64</v>
      </c>
      <c r="G243" s="222">
        <f>'SKM Prod NS Weighting'!Q$31</f>
        <v>-1.5000000000000001E-4</v>
      </c>
      <c r="H243" s="139"/>
      <c r="I243" s="45">
        <v>2858147.66</v>
      </c>
      <c r="J243" s="44"/>
      <c r="K243" s="45">
        <v>934297</v>
      </c>
      <c r="L243" s="45"/>
      <c r="M243" s="200">
        <f t="shared" si="66"/>
        <v>1924279.3821490002</v>
      </c>
      <c r="N243" s="45"/>
      <c r="O243" s="45">
        <f t="shared" si="67"/>
        <v>99189.658873659806</v>
      </c>
      <c r="P243" s="139"/>
      <c r="Q243" s="116">
        <f t="shared" si="68"/>
        <v>3.47</v>
      </c>
      <c r="S243" s="117">
        <v>19.399999999999999</v>
      </c>
      <c r="T243" s="32"/>
      <c r="U243" s="116">
        <v>3.73</v>
      </c>
      <c r="W243" s="145">
        <f t="shared" si="69"/>
        <v>106608.907718</v>
      </c>
      <c r="Y243" s="157">
        <f t="shared" si="70"/>
        <v>-7419.2488443401962</v>
      </c>
    </row>
    <row r="244" spans="1:25" x14ac:dyDescent="0.2">
      <c r="A244" s="26"/>
      <c r="B244" s="139"/>
      <c r="C244" s="58" t="s">
        <v>120</v>
      </c>
      <c r="D244" s="139"/>
      <c r="E244" s="20" t="s">
        <v>144</v>
      </c>
      <c r="F244" s="20" t="s">
        <v>64</v>
      </c>
      <c r="G244" s="222">
        <f>'SKM Prod NS Weighting'!Q$31</f>
        <v>-1.5000000000000001E-4</v>
      </c>
      <c r="H244" s="139"/>
      <c r="I244" s="45">
        <v>3712619.52</v>
      </c>
      <c r="J244" s="44"/>
      <c r="K244" s="45">
        <v>1492911</v>
      </c>
      <c r="L244" s="45"/>
      <c r="M244" s="200">
        <f t="shared" si="66"/>
        <v>2220265.4129280006</v>
      </c>
      <c r="N244" s="45"/>
      <c r="O244" s="45">
        <f t="shared" si="67"/>
        <v>127601.46051310349</v>
      </c>
      <c r="P244" s="139"/>
      <c r="Q244" s="116">
        <f t="shared" si="68"/>
        <v>3.44</v>
      </c>
      <c r="S244" s="117">
        <v>17.399999999999999</v>
      </c>
      <c r="T244" s="32"/>
      <c r="U244" s="116">
        <v>3.73</v>
      </c>
      <c r="W244" s="145">
        <f t="shared" si="69"/>
        <v>138480.70809600002</v>
      </c>
      <c r="Y244" s="157">
        <f t="shared" si="70"/>
        <v>-10879.247582896525</v>
      </c>
    </row>
    <row r="245" spans="1:25" x14ac:dyDescent="0.2">
      <c r="A245" s="26"/>
      <c r="B245" s="139"/>
      <c r="C245" s="58" t="s">
        <v>121</v>
      </c>
      <c r="D245" s="139"/>
      <c r="E245" s="20" t="s">
        <v>144</v>
      </c>
      <c r="F245" s="20" t="s">
        <v>64</v>
      </c>
      <c r="G245" s="222">
        <f>'SKM Prod NS Weighting'!Q$31</f>
        <v>-1.5000000000000001E-4</v>
      </c>
      <c r="H245" s="139"/>
      <c r="I245" s="45">
        <v>3722788.46</v>
      </c>
      <c r="J245" s="44"/>
      <c r="K245" s="45">
        <v>1463283</v>
      </c>
      <c r="L245" s="45"/>
      <c r="M245" s="200">
        <f t="shared" si="66"/>
        <v>2260063.8782690004</v>
      </c>
      <c r="N245" s="45"/>
      <c r="O245" s="45">
        <f t="shared" si="67"/>
        <v>129888.72863614946</v>
      </c>
      <c r="P245" s="139"/>
      <c r="Q245" s="116">
        <f t="shared" si="68"/>
        <v>3.49</v>
      </c>
      <c r="S245" s="117">
        <v>17.399999999999999</v>
      </c>
      <c r="T245" s="32"/>
      <c r="U245" s="116">
        <v>3.78</v>
      </c>
      <c r="W245" s="145">
        <f t="shared" si="69"/>
        <v>140721.403788</v>
      </c>
      <c r="Y245" s="157">
        <f t="shared" si="70"/>
        <v>-10832.675151850533</v>
      </c>
    </row>
    <row r="246" spans="1:25" x14ac:dyDescent="0.2">
      <c r="A246" s="26"/>
      <c r="B246" s="139"/>
      <c r="C246" s="58" t="s">
        <v>122</v>
      </c>
      <c r="D246" s="139"/>
      <c r="E246" s="20" t="s">
        <v>144</v>
      </c>
      <c r="F246" s="20" t="s">
        <v>64</v>
      </c>
      <c r="G246" s="222">
        <f>'SKM Prod NS Weighting'!Q$31</f>
        <v>-1.5000000000000001E-4</v>
      </c>
      <c r="H246" s="139"/>
      <c r="I246" s="45">
        <v>4953960.72</v>
      </c>
      <c r="J246" s="44"/>
      <c r="K246" s="45">
        <v>2809555</v>
      </c>
      <c r="L246" s="45"/>
      <c r="M246" s="200">
        <f t="shared" si="66"/>
        <v>2145148.8141080001</v>
      </c>
      <c r="N246" s="45"/>
      <c r="O246" s="45">
        <f t="shared" si="67"/>
        <v>160085.73239611942</v>
      </c>
      <c r="P246" s="139"/>
      <c r="Q246" s="116">
        <f t="shared" si="68"/>
        <v>3.23</v>
      </c>
      <c r="S246" s="117">
        <v>13.4</v>
      </c>
      <c r="T246" s="32"/>
      <c r="U246" s="116">
        <v>3.61</v>
      </c>
      <c r="W246" s="145">
        <f t="shared" si="69"/>
        <v>178837.98199199999</v>
      </c>
      <c r="Y246" s="157">
        <f t="shared" si="70"/>
        <v>-18752.249595880567</v>
      </c>
    </row>
    <row r="247" spans="1:25" x14ac:dyDescent="0.2">
      <c r="A247" s="26"/>
      <c r="B247" s="139"/>
      <c r="C247" s="58" t="s">
        <v>123</v>
      </c>
      <c r="D247" s="139"/>
      <c r="E247" s="20" t="s">
        <v>144</v>
      </c>
      <c r="F247" s="20" t="s">
        <v>64</v>
      </c>
      <c r="G247" s="222">
        <f>'SKM Prod NS Weighting'!Q$31</f>
        <v>-1.5000000000000001E-4</v>
      </c>
      <c r="H247" s="139"/>
      <c r="I247" s="45">
        <v>5452040.9699999997</v>
      </c>
      <c r="J247" s="44"/>
      <c r="K247" s="45">
        <v>3081447</v>
      </c>
      <c r="L247" s="45"/>
      <c r="M247" s="200">
        <f t="shared" si="66"/>
        <v>2371411.7761455001</v>
      </c>
      <c r="N247" s="45"/>
      <c r="O247" s="45">
        <f t="shared" si="67"/>
        <v>124811.14611292107</v>
      </c>
      <c r="P247" s="139"/>
      <c r="Q247" s="116">
        <f t="shared" si="68"/>
        <v>2.29</v>
      </c>
      <c r="S247" s="117">
        <v>19</v>
      </c>
      <c r="T247" s="32"/>
      <c r="U247" s="116">
        <v>2.5499999999999998</v>
      </c>
      <c r="W247" s="145">
        <f t="shared" si="69"/>
        <v>139027.04473499997</v>
      </c>
      <c r="Y247" s="157">
        <f t="shared" si="70"/>
        <v>-14215.898622078908</v>
      </c>
    </row>
    <row r="248" spans="1:25" x14ac:dyDescent="0.2">
      <c r="A248" s="26"/>
      <c r="B248" s="139"/>
      <c r="C248" s="58" t="s">
        <v>124</v>
      </c>
      <c r="D248" s="139"/>
      <c r="E248" s="20" t="s">
        <v>144</v>
      </c>
      <c r="F248" s="20" t="s">
        <v>64</v>
      </c>
      <c r="G248" s="222">
        <f>'SKM Prod NS Weighting'!Q$31</f>
        <v>-1.5000000000000001E-4</v>
      </c>
      <c r="H248" s="139"/>
      <c r="I248" s="45">
        <v>4944422.71</v>
      </c>
      <c r="J248" s="44"/>
      <c r="K248" s="45">
        <v>2624840</v>
      </c>
      <c r="L248" s="45"/>
      <c r="M248" s="200">
        <f t="shared" si="66"/>
        <v>2320324.3734065006</v>
      </c>
      <c r="N248" s="45"/>
      <c r="O248" s="45">
        <f t="shared" si="67"/>
        <v>121482.95148725132</v>
      </c>
      <c r="P248" s="139"/>
      <c r="Q248" s="116">
        <f t="shared" si="68"/>
        <v>2.46</v>
      </c>
      <c r="S248" s="117">
        <v>19.100000000000001</v>
      </c>
      <c r="T248" s="32"/>
      <c r="U248" s="116">
        <v>2.72</v>
      </c>
      <c r="W248" s="145">
        <f t="shared" si="69"/>
        <v>134488.297712</v>
      </c>
      <c r="Y248" s="157">
        <f t="shared" si="70"/>
        <v>-13005.346224748675</v>
      </c>
    </row>
    <row r="249" spans="1:25" x14ac:dyDescent="0.2">
      <c r="A249" s="26"/>
      <c r="B249" s="32"/>
      <c r="C249" s="58" t="s">
        <v>125</v>
      </c>
      <c r="D249" s="32"/>
      <c r="E249" s="20" t="s">
        <v>144</v>
      </c>
      <c r="F249" s="20" t="s">
        <v>64</v>
      </c>
      <c r="G249" s="222">
        <f>'SKM Prod NS Weighting'!Q$31</f>
        <v>-1.5000000000000001E-4</v>
      </c>
      <c r="H249" s="32"/>
      <c r="I249" s="45">
        <v>5187040.3</v>
      </c>
      <c r="J249" s="44"/>
      <c r="K249" s="45">
        <v>2724699</v>
      </c>
      <c r="L249" s="45"/>
      <c r="M249" s="200">
        <f t="shared" si="66"/>
        <v>2463119.3560450003</v>
      </c>
      <c r="N249" s="45"/>
      <c r="O249" s="45">
        <f t="shared" si="67"/>
        <v>171049.9552809028</v>
      </c>
      <c r="P249" s="32"/>
      <c r="Q249" s="116">
        <f t="shared" si="68"/>
        <v>3.3</v>
      </c>
      <c r="S249" s="117">
        <v>14.4</v>
      </c>
      <c r="T249" s="32"/>
      <c r="U249" s="116">
        <v>3.65</v>
      </c>
      <c r="W249" s="145">
        <f t="shared" si="69"/>
        <v>189326.97094999999</v>
      </c>
      <c r="Y249" s="157">
        <f t="shared" si="70"/>
        <v>-18277.015669097193</v>
      </c>
    </row>
    <row r="250" spans="1:25" x14ac:dyDescent="0.2">
      <c r="A250" s="26"/>
      <c r="B250" s="139"/>
      <c r="C250" s="58" t="s">
        <v>126</v>
      </c>
      <c r="D250" s="139"/>
      <c r="E250" s="20" t="s">
        <v>144</v>
      </c>
      <c r="F250" s="20" t="s">
        <v>64</v>
      </c>
      <c r="G250" s="222">
        <f>'SKM Prod NS Weighting'!Q$31</f>
        <v>-1.5000000000000001E-4</v>
      </c>
      <c r="H250" s="139"/>
      <c r="I250" s="45">
        <v>4023002.37</v>
      </c>
      <c r="J250" s="44"/>
      <c r="K250" s="45">
        <v>3504167</v>
      </c>
      <c r="L250" s="45"/>
      <c r="M250" s="200">
        <f t="shared" si="66"/>
        <v>519438.82035550056</v>
      </c>
      <c r="N250" s="45"/>
      <c r="O250" s="45">
        <f t="shared" si="67"/>
        <v>66594.720558397516</v>
      </c>
      <c r="P250" s="139"/>
      <c r="Q250" s="116">
        <f t="shared" si="68"/>
        <v>1.66</v>
      </c>
      <c r="S250" s="117">
        <v>7.8</v>
      </c>
      <c r="T250" s="32"/>
      <c r="U250" s="116">
        <v>2.31</v>
      </c>
      <c r="W250" s="145">
        <f t="shared" si="69"/>
        <v>92931.35474699999</v>
      </c>
      <c r="Y250" s="157">
        <f t="shared" si="70"/>
        <v>-26336.634188602475</v>
      </c>
    </row>
    <row r="251" spans="1:25" x14ac:dyDescent="0.2">
      <c r="A251" s="26"/>
      <c r="B251" s="139"/>
      <c r="C251" s="58" t="s">
        <v>127</v>
      </c>
      <c r="D251" s="139"/>
      <c r="E251" s="20" t="s">
        <v>144</v>
      </c>
      <c r="F251" s="20" t="s">
        <v>64</v>
      </c>
      <c r="G251" s="222">
        <f>'SKM Prod NS Weighting'!Q$31</f>
        <v>-1.5000000000000001E-4</v>
      </c>
      <c r="H251" s="139"/>
      <c r="I251" s="90">
        <v>5185636.1100000003</v>
      </c>
      <c r="J251" s="44"/>
      <c r="K251" s="45">
        <v>1792632</v>
      </c>
      <c r="L251" s="45"/>
      <c r="M251" s="200">
        <f t="shared" si="66"/>
        <v>3393781.9554165006</v>
      </c>
      <c r="N251" s="45"/>
      <c r="O251" s="45">
        <f t="shared" si="67"/>
        <v>174937.21419672685</v>
      </c>
      <c r="P251" s="139"/>
      <c r="Q251" s="116">
        <f t="shared" si="68"/>
        <v>3.37</v>
      </c>
      <c r="S251" s="117">
        <v>19.399999999999999</v>
      </c>
      <c r="T251" s="32"/>
      <c r="U251" s="116">
        <v>3.64</v>
      </c>
      <c r="W251" s="145">
        <f t="shared" si="69"/>
        <v>188757.154404</v>
      </c>
      <c r="Y251" s="159">
        <f t="shared" si="70"/>
        <v>-13819.940207273146</v>
      </c>
    </row>
    <row r="252" spans="1:25" x14ac:dyDescent="0.2">
      <c r="A252" s="26"/>
      <c r="B252" s="139"/>
      <c r="C252" s="139"/>
      <c r="D252" s="139"/>
      <c r="E252" s="20"/>
      <c r="F252" s="20"/>
      <c r="G252" s="222"/>
      <c r="H252" s="139"/>
      <c r="I252" s="45"/>
      <c r="J252" s="139"/>
      <c r="K252" s="49"/>
      <c r="L252" s="34"/>
      <c r="M252" s="49"/>
      <c r="N252" s="34"/>
      <c r="O252" s="49"/>
      <c r="P252" s="139"/>
      <c r="Q252" s="26"/>
      <c r="R252" s="139"/>
      <c r="S252" s="62"/>
      <c r="T252" s="32"/>
      <c r="U252" s="26"/>
    </row>
    <row r="253" spans="1:25" ht="15.75" x14ac:dyDescent="0.25">
      <c r="A253" s="26"/>
      <c r="B253" s="139"/>
      <c r="C253" s="65" t="s">
        <v>38</v>
      </c>
      <c r="D253" s="139"/>
      <c r="E253" s="20"/>
      <c r="F253" s="20"/>
      <c r="G253" s="222"/>
      <c r="H253" s="139"/>
      <c r="I253" s="45">
        <f>SUM(I237:I251)</f>
        <v>59360761.139999993</v>
      </c>
      <c r="J253" s="139"/>
      <c r="K253" s="45">
        <f>SUM(K237:K251)</f>
        <v>25756113</v>
      </c>
      <c r="L253" s="34"/>
      <c r="M253" s="45">
        <f>SUM(M237:M251)</f>
        <v>33613552.254170999</v>
      </c>
      <c r="N253" s="34"/>
      <c r="O253" s="45">
        <f>SUM(O237:O251)</f>
        <v>1823082.8049849924</v>
      </c>
      <c r="P253" s="139"/>
      <c r="Q253" s="116">
        <f>IF(O253/I253*100=0,"-     ",ROUND(O253/I253*100,2))</f>
        <v>3.07</v>
      </c>
      <c r="S253" s="117">
        <v>18.3</v>
      </c>
      <c r="T253" s="32"/>
      <c r="U253" s="242">
        <f>W253/I253</f>
        <v>3.3727919383059989E-2</v>
      </c>
      <c r="W253" s="45">
        <f>SUM(W237:W251)</f>
        <v>2002114.9662469998</v>
      </c>
      <c r="Y253" s="45">
        <f>SUM(Y237:Y251)</f>
        <v>-179032.16126200792</v>
      </c>
    </row>
    <row r="254" spans="1:25" x14ac:dyDescent="0.2">
      <c r="A254" s="26"/>
      <c r="B254" s="139"/>
      <c r="C254" s="139"/>
      <c r="D254" s="139"/>
      <c r="E254" s="20"/>
      <c r="F254" s="20"/>
      <c r="G254" s="222"/>
      <c r="H254" s="139"/>
      <c r="I254" s="45"/>
      <c r="J254" s="139"/>
      <c r="K254" s="34"/>
      <c r="L254" s="34"/>
      <c r="M254" s="34"/>
      <c r="N254" s="34"/>
      <c r="O254" s="34"/>
      <c r="P254" s="139"/>
      <c r="Q254" s="26"/>
      <c r="R254" s="139"/>
      <c r="S254" s="62"/>
      <c r="T254" s="32"/>
      <c r="U254" s="26"/>
    </row>
    <row r="255" spans="1:25" x14ac:dyDescent="0.2">
      <c r="A255" s="26">
        <v>345</v>
      </c>
      <c r="B255" s="139"/>
      <c r="C255" s="139" t="s">
        <v>39</v>
      </c>
      <c r="D255" s="139"/>
      <c r="E255" s="56"/>
      <c r="F255" s="56"/>
      <c r="G255" s="224"/>
      <c r="H255" s="139"/>
      <c r="I255" s="45"/>
      <c r="J255" s="139"/>
      <c r="K255" s="34"/>
      <c r="L255" s="34"/>
      <c r="M255" s="34"/>
      <c r="N255" s="34"/>
      <c r="O255" s="34"/>
      <c r="P255" s="139"/>
      <c r="Q255" s="26"/>
      <c r="R255" s="139"/>
      <c r="S255" s="62"/>
      <c r="T255" s="32"/>
      <c r="U255" s="26"/>
    </row>
    <row r="256" spans="1:25" x14ac:dyDescent="0.2">
      <c r="A256" s="26"/>
      <c r="B256" s="139"/>
      <c r="C256" s="58" t="s">
        <v>113</v>
      </c>
      <c r="D256" s="139"/>
      <c r="E256" s="20" t="s">
        <v>145</v>
      </c>
      <c r="F256" s="20" t="s">
        <v>64</v>
      </c>
      <c r="G256" s="222">
        <f>'SKM Prod NS Weighting'!Q$32</f>
        <v>-1E-3</v>
      </c>
      <c r="H256" s="139"/>
      <c r="I256" s="45">
        <v>1693975.04</v>
      </c>
      <c r="J256" s="44"/>
      <c r="K256" s="45">
        <v>513697</v>
      </c>
      <c r="L256" s="45"/>
      <c r="M256" s="200">
        <f t="shared" ref="M256:M270" si="71">+((1-G256)*I256)-K256</f>
        <v>1181972.0150399997</v>
      </c>
      <c r="N256" s="45"/>
      <c r="O256" s="45">
        <f t="shared" ref="O256:O270" si="72">M256/S256</f>
        <v>59998.579443654809</v>
      </c>
      <c r="P256" s="139"/>
      <c r="Q256" s="116">
        <f t="shared" ref="Q256:Q270" si="73">IF(O256/I256*100=0,"-     ",ROUND(O256/I256*100,2))</f>
        <v>3.54</v>
      </c>
      <c r="S256" s="117">
        <v>19.7</v>
      </c>
      <c r="T256" s="32"/>
      <c r="U256" s="116">
        <v>3.8</v>
      </c>
      <c r="W256" s="145">
        <f t="shared" ref="W256:W270" si="74">(I256/100)*U256</f>
        <v>64371.051520000001</v>
      </c>
      <c r="Y256" s="157">
        <f t="shared" ref="Y256:Y270" si="75">O256-W256</f>
        <v>-4372.4720763451915</v>
      </c>
    </row>
    <row r="257" spans="1:25" x14ac:dyDescent="0.2">
      <c r="A257" s="26"/>
      <c r="B257" s="139"/>
      <c r="C257" s="58" t="s">
        <v>114</v>
      </c>
      <c r="D257" s="139"/>
      <c r="E257" s="20" t="s">
        <v>145</v>
      </c>
      <c r="F257" s="20" t="s">
        <v>64</v>
      </c>
      <c r="G257" s="222">
        <f>'SKM Prod NS Weighting'!Q$32</f>
        <v>-1E-3</v>
      </c>
      <c r="H257" s="139"/>
      <c r="I257" s="45">
        <v>4324591.46</v>
      </c>
      <c r="J257" s="44"/>
      <c r="K257" s="45">
        <v>1036892</v>
      </c>
      <c r="L257" s="45"/>
      <c r="M257" s="200">
        <f t="shared" si="71"/>
        <v>3292024.0514599998</v>
      </c>
      <c r="N257" s="45"/>
      <c r="O257" s="45">
        <f t="shared" si="72"/>
        <v>167107.81987106599</v>
      </c>
      <c r="P257" s="139"/>
      <c r="Q257" s="116">
        <f t="shared" si="73"/>
        <v>3.86</v>
      </c>
      <c r="S257" s="117">
        <v>19.7</v>
      </c>
      <c r="T257" s="32"/>
      <c r="U257" s="116">
        <v>4.12</v>
      </c>
      <c r="W257" s="145">
        <f t="shared" si="74"/>
        <v>178173.168152</v>
      </c>
      <c r="Y257" s="157">
        <f t="shared" si="75"/>
        <v>-11065.348280934006</v>
      </c>
    </row>
    <row r="258" spans="1:25" x14ac:dyDescent="0.2">
      <c r="A258" s="26"/>
      <c r="B258" s="139"/>
      <c r="C258" s="58" t="s">
        <v>115</v>
      </c>
      <c r="D258" s="139"/>
      <c r="E258" s="20" t="s">
        <v>145</v>
      </c>
      <c r="F258" s="20" t="s">
        <v>64</v>
      </c>
      <c r="G258" s="222">
        <f>'SKM Prod NS Weighting'!Q$32</f>
        <v>-1E-3</v>
      </c>
      <c r="H258" s="139"/>
      <c r="I258" s="45">
        <v>3148439.35</v>
      </c>
      <c r="J258" s="44"/>
      <c r="K258" s="45">
        <v>792088</v>
      </c>
      <c r="L258" s="45"/>
      <c r="M258" s="200">
        <f t="shared" si="71"/>
        <v>2359499.7893499997</v>
      </c>
      <c r="N258" s="45"/>
      <c r="O258" s="45">
        <f t="shared" si="72"/>
        <v>109236.10135879628</v>
      </c>
      <c r="P258" s="139"/>
      <c r="Q258" s="116">
        <f t="shared" si="73"/>
        <v>3.47</v>
      </c>
      <c r="S258" s="117">
        <v>21.6</v>
      </c>
      <c r="T258" s="32"/>
      <c r="U258" s="116">
        <v>3.69</v>
      </c>
      <c r="W258" s="145">
        <f t="shared" si="74"/>
        <v>116177.41201500001</v>
      </c>
      <c r="Y258" s="157">
        <f t="shared" si="75"/>
        <v>-6941.3106562037283</v>
      </c>
    </row>
    <row r="259" spans="1:25" x14ac:dyDescent="0.2">
      <c r="A259" s="26"/>
      <c r="B259" s="139"/>
      <c r="C259" s="58" t="s">
        <v>116</v>
      </c>
      <c r="D259" s="139"/>
      <c r="E259" s="20" t="s">
        <v>145</v>
      </c>
      <c r="F259" s="20" t="s">
        <v>64</v>
      </c>
      <c r="G259" s="222">
        <f>'SKM Prod NS Weighting'!Q$32</f>
        <v>-1E-3</v>
      </c>
      <c r="H259" s="139"/>
      <c r="I259" s="45">
        <v>3139331.68</v>
      </c>
      <c r="J259" s="44"/>
      <c r="K259" s="45">
        <v>789796</v>
      </c>
      <c r="L259" s="45"/>
      <c r="M259" s="200">
        <f t="shared" si="71"/>
        <v>2352675.01168</v>
      </c>
      <c r="N259" s="45"/>
      <c r="O259" s="45">
        <f t="shared" si="72"/>
        <v>108920.13942962962</v>
      </c>
      <c r="P259" s="139"/>
      <c r="Q259" s="116">
        <f t="shared" si="73"/>
        <v>3.47</v>
      </c>
      <c r="S259" s="117">
        <v>21.6</v>
      </c>
      <c r="T259" s="32"/>
      <c r="U259" s="116">
        <v>3.69</v>
      </c>
      <c r="W259" s="145">
        <f t="shared" si="74"/>
        <v>115841.338992</v>
      </c>
      <c r="Y259" s="157">
        <f t="shared" si="75"/>
        <v>-6921.1995623703842</v>
      </c>
    </row>
    <row r="260" spans="1:25" x14ac:dyDescent="0.2">
      <c r="A260" s="26"/>
      <c r="B260" s="139"/>
      <c r="C260" s="58" t="s">
        <v>117</v>
      </c>
      <c r="D260" s="139"/>
      <c r="E260" s="20" t="s">
        <v>145</v>
      </c>
      <c r="F260" s="20" t="s">
        <v>64</v>
      </c>
      <c r="G260" s="222">
        <f>'SKM Prod NS Weighting'!Q$32</f>
        <v>-1E-3</v>
      </c>
      <c r="H260" s="139"/>
      <c r="I260" s="45">
        <v>3234031.47</v>
      </c>
      <c r="J260" s="44"/>
      <c r="K260" s="45">
        <v>804392</v>
      </c>
      <c r="L260" s="45"/>
      <c r="M260" s="200">
        <f t="shared" si="71"/>
        <v>2432873.50147</v>
      </c>
      <c r="N260" s="45"/>
      <c r="O260" s="45">
        <f t="shared" si="72"/>
        <v>112633.03247546295</v>
      </c>
      <c r="P260" s="139"/>
      <c r="Q260" s="116">
        <f t="shared" si="73"/>
        <v>3.48</v>
      </c>
      <c r="S260" s="117">
        <v>21.6</v>
      </c>
      <c r="T260" s="32"/>
      <c r="U260" s="116">
        <v>3.71</v>
      </c>
      <c r="W260" s="145">
        <f t="shared" si="74"/>
        <v>119982.56753700001</v>
      </c>
      <c r="Y260" s="157">
        <f t="shared" si="75"/>
        <v>-7349.5350615370553</v>
      </c>
    </row>
    <row r="261" spans="1:25" x14ac:dyDescent="0.2">
      <c r="A261" s="26"/>
      <c r="B261" s="139"/>
      <c r="C261" s="58" t="s">
        <v>118</v>
      </c>
      <c r="D261" s="139"/>
      <c r="E261" s="20" t="s">
        <v>145</v>
      </c>
      <c r="F261" s="20" t="s">
        <v>64</v>
      </c>
      <c r="G261" s="222">
        <f>'SKM Prod NS Weighting'!Q$32</f>
        <v>-1E-3</v>
      </c>
      <c r="H261" s="139"/>
      <c r="I261" s="45">
        <v>7196618.3399999999</v>
      </c>
      <c r="J261" s="44"/>
      <c r="K261" s="45">
        <v>1451369</v>
      </c>
      <c r="L261" s="45"/>
      <c r="M261" s="200">
        <f t="shared" si="71"/>
        <v>5752445.9583399994</v>
      </c>
      <c r="N261" s="45"/>
      <c r="O261" s="45">
        <f t="shared" si="72"/>
        <v>266316.94251574069</v>
      </c>
      <c r="P261" s="139"/>
      <c r="Q261" s="116">
        <f t="shared" si="73"/>
        <v>3.7</v>
      </c>
      <c r="S261" s="117">
        <v>21.6</v>
      </c>
      <c r="T261" s="32"/>
      <c r="U261" s="116">
        <v>3.92</v>
      </c>
      <c r="W261" s="145">
        <f t="shared" si="74"/>
        <v>282107.43892799999</v>
      </c>
      <c r="Y261" s="157">
        <f t="shared" si="75"/>
        <v>-15790.496412259294</v>
      </c>
    </row>
    <row r="262" spans="1:25" x14ac:dyDescent="0.2">
      <c r="A262" s="26"/>
      <c r="B262" s="139"/>
      <c r="C262" s="58" t="s">
        <v>119</v>
      </c>
      <c r="D262" s="139"/>
      <c r="E262" s="20" t="s">
        <v>145</v>
      </c>
      <c r="F262" s="20" t="s">
        <v>64</v>
      </c>
      <c r="G262" s="222">
        <f>'SKM Prod NS Weighting'!Q$32</f>
        <v>-1E-3</v>
      </c>
      <c r="H262" s="139"/>
      <c r="I262" s="45">
        <v>2277020.4900000002</v>
      </c>
      <c r="J262" s="44"/>
      <c r="K262" s="45">
        <v>662990</v>
      </c>
      <c r="L262" s="45"/>
      <c r="M262" s="200">
        <f t="shared" si="71"/>
        <v>1616307.5104899998</v>
      </c>
      <c r="N262" s="45"/>
      <c r="O262" s="45">
        <f t="shared" si="72"/>
        <v>86433.556710695178</v>
      </c>
      <c r="P262" s="139"/>
      <c r="Q262" s="116">
        <f t="shared" si="73"/>
        <v>3.8</v>
      </c>
      <c r="S262" s="117">
        <v>18.7</v>
      </c>
      <c r="T262" s="32"/>
      <c r="U262" s="116">
        <v>4.0599999999999996</v>
      </c>
      <c r="W262" s="145">
        <f t="shared" si="74"/>
        <v>92447.031894</v>
      </c>
      <c r="Y262" s="157">
        <f t="shared" si="75"/>
        <v>-6013.4751833048213</v>
      </c>
    </row>
    <row r="263" spans="1:25" x14ac:dyDescent="0.2">
      <c r="A263" s="26"/>
      <c r="B263" s="139"/>
      <c r="C263" s="58" t="s">
        <v>120</v>
      </c>
      <c r="D263" s="139"/>
      <c r="E263" s="20" t="s">
        <v>145</v>
      </c>
      <c r="F263" s="20" t="s">
        <v>64</v>
      </c>
      <c r="G263" s="222">
        <f>'SKM Prod NS Weighting'!Q$32</f>
        <v>-1E-3</v>
      </c>
      <c r="H263" s="139"/>
      <c r="I263" s="45">
        <v>1975216.41</v>
      </c>
      <c r="J263" s="44"/>
      <c r="K263" s="45">
        <v>691980</v>
      </c>
      <c r="L263" s="45"/>
      <c r="M263" s="200">
        <f t="shared" si="71"/>
        <v>1285211.6264099998</v>
      </c>
      <c r="N263" s="45"/>
      <c r="O263" s="45">
        <f t="shared" si="72"/>
        <v>76500.692048214274</v>
      </c>
      <c r="P263" s="139"/>
      <c r="Q263" s="116">
        <f t="shared" si="73"/>
        <v>3.87</v>
      </c>
      <c r="S263" s="117">
        <v>16.8</v>
      </c>
      <c r="T263" s="32"/>
      <c r="U263" s="116">
        <v>4.17</v>
      </c>
      <c r="W263" s="145">
        <f t="shared" si="74"/>
        <v>82366.524296999996</v>
      </c>
      <c r="Y263" s="157">
        <f t="shared" si="75"/>
        <v>-5865.8322487857222</v>
      </c>
    </row>
    <row r="264" spans="1:25" x14ac:dyDescent="0.2">
      <c r="A264" s="26"/>
      <c r="B264" s="139"/>
      <c r="C264" s="58" t="s">
        <v>121</v>
      </c>
      <c r="D264" s="139"/>
      <c r="E264" s="20" t="s">
        <v>145</v>
      </c>
      <c r="F264" s="20" t="s">
        <v>64</v>
      </c>
      <c r="G264" s="222">
        <f>'SKM Prod NS Weighting'!Q$32</f>
        <v>-1E-3</v>
      </c>
      <c r="H264" s="139"/>
      <c r="I264" s="45">
        <v>1935781.98</v>
      </c>
      <c r="J264" s="44"/>
      <c r="K264" s="45">
        <v>675547</v>
      </c>
      <c r="L264" s="45"/>
      <c r="M264" s="200">
        <f t="shared" si="71"/>
        <v>1262170.7619799997</v>
      </c>
      <c r="N264" s="45"/>
      <c r="O264" s="45">
        <f t="shared" si="72"/>
        <v>75129.212022619031</v>
      </c>
      <c r="P264" s="139"/>
      <c r="Q264" s="116">
        <f t="shared" si="73"/>
        <v>3.88</v>
      </c>
      <c r="S264" s="117">
        <v>16.8</v>
      </c>
      <c r="T264" s="32"/>
      <c r="U264" s="116">
        <v>4.18</v>
      </c>
      <c r="W264" s="145">
        <f t="shared" si="74"/>
        <v>80915.686763999998</v>
      </c>
      <c r="Y264" s="157">
        <f t="shared" si="75"/>
        <v>-5786.4747413809673</v>
      </c>
    </row>
    <row r="265" spans="1:25" x14ac:dyDescent="0.2">
      <c r="A265" s="26"/>
      <c r="B265" s="139"/>
      <c r="C265" s="58" t="s">
        <v>122</v>
      </c>
      <c r="D265" s="139"/>
      <c r="E265" s="20" t="s">
        <v>145</v>
      </c>
      <c r="F265" s="20" t="s">
        <v>64</v>
      </c>
      <c r="G265" s="222">
        <f>'SKM Prod NS Weighting'!Q$32</f>
        <v>-1E-3</v>
      </c>
      <c r="H265" s="139"/>
      <c r="I265" s="45">
        <v>2720729.67</v>
      </c>
      <c r="J265" s="44"/>
      <c r="K265" s="45">
        <v>1361195</v>
      </c>
      <c r="L265" s="45"/>
      <c r="M265" s="200">
        <f t="shared" si="71"/>
        <v>1362255.3996699997</v>
      </c>
      <c r="N265" s="45"/>
      <c r="O265" s="45">
        <f t="shared" si="72"/>
        <v>105601.1937728682</v>
      </c>
      <c r="P265" s="139"/>
      <c r="Q265" s="116">
        <f t="shared" si="73"/>
        <v>3.88</v>
      </c>
      <c r="S265" s="117">
        <v>12.9</v>
      </c>
      <c r="T265" s="32"/>
      <c r="U265" s="116">
        <v>4.26</v>
      </c>
      <c r="W265" s="145">
        <f t="shared" si="74"/>
        <v>115903.08394199998</v>
      </c>
      <c r="Y265" s="157">
        <f t="shared" si="75"/>
        <v>-10301.890169131788</v>
      </c>
    </row>
    <row r="266" spans="1:25" x14ac:dyDescent="0.2">
      <c r="A266" s="26"/>
      <c r="B266" s="139"/>
      <c r="C266" s="58" t="s">
        <v>123</v>
      </c>
      <c r="D266" s="139"/>
      <c r="E266" s="20" t="s">
        <v>145</v>
      </c>
      <c r="F266" s="20" t="s">
        <v>64</v>
      </c>
      <c r="G266" s="222">
        <f>'SKM Prod NS Weighting'!Q$32</f>
        <v>-1E-3</v>
      </c>
      <c r="H266" s="139"/>
      <c r="I266" s="45">
        <v>4205847.29</v>
      </c>
      <c r="J266" s="44"/>
      <c r="K266" s="45">
        <v>1987226</v>
      </c>
      <c r="L266" s="45"/>
      <c r="M266" s="200">
        <f t="shared" si="71"/>
        <v>2222827.13729</v>
      </c>
      <c r="N266" s="45"/>
      <c r="O266" s="45">
        <f t="shared" si="72"/>
        <v>122808.12913204418</v>
      </c>
      <c r="P266" s="139"/>
      <c r="Q266" s="116">
        <f t="shared" si="73"/>
        <v>2.92</v>
      </c>
      <c r="S266" s="117">
        <v>18.100000000000001</v>
      </c>
      <c r="T266" s="32"/>
      <c r="U266" s="116">
        <v>3.19</v>
      </c>
      <c r="W266" s="145">
        <f t="shared" si="74"/>
        <v>134166.528551</v>
      </c>
      <c r="Y266" s="157">
        <f t="shared" si="75"/>
        <v>-11358.399418955814</v>
      </c>
    </row>
    <row r="267" spans="1:25" x14ac:dyDescent="0.2">
      <c r="A267" s="26"/>
      <c r="B267" s="139"/>
      <c r="C267" s="58" t="s">
        <v>124</v>
      </c>
      <c r="D267" s="139"/>
      <c r="E267" s="20" t="s">
        <v>145</v>
      </c>
      <c r="F267" s="20" t="s">
        <v>64</v>
      </c>
      <c r="G267" s="222">
        <f>'SKM Prod NS Weighting'!Q$32</f>
        <v>-1E-3</v>
      </c>
      <c r="H267" s="139"/>
      <c r="I267" s="45">
        <v>2744492.7</v>
      </c>
      <c r="J267" s="44"/>
      <c r="K267" s="45">
        <v>1316949</v>
      </c>
      <c r="L267" s="45"/>
      <c r="M267" s="200">
        <f t="shared" si="71"/>
        <v>1430288.1927</v>
      </c>
      <c r="N267" s="45"/>
      <c r="O267" s="45">
        <f t="shared" si="72"/>
        <v>79460.455149999994</v>
      </c>
      <c r="P267" s="45"/>
      <c r="Q267" s="116">
        <f t="shared" si="73"/>
        <v>2.9</v>
      </c>
      <c r="S267" s="117">
        <v>18</v>
      </c>
      <c r="T267" s="32"/>
      <c r="U267" s="116">
        <v>3.17</v>
      </c>
      <c r="W267" s="145">
        <f t="shared" si="74"/>
        <v>87000.418590000016</v>
      </c>
      <c r="Y267" s="157">
        <f t="shared" si="75"/>
        <v>-7539.9634400000214</v>
      </c>
    </row>
    <row r="268" spans="1:25" x14ac:dyDescent="0.2">
      <c r="A268" s="26"/>
      <c r="B268" s="139"/>
      <c r="C268" s="58" t="s">
        <v>125</v>
      </c>
      <c r="D268" s="139"/>
      <c r="E268" s="20" t="s">
        <v>145</v>
      </c>
      <c r="F268" s="20" t="s">
        <v>64</v>
      </c>
      <c r="G268" s="222">
        <f>'SKM Prod NS Weighting'!Q$32</f>
        <v>-1E-3</v>
      </c>
      <c r="H268" s="139"/>
      <c r="I268" s="45">
        <v>1863053.15</v>
      </c>
      <c r="J268" s="44"/>
      <c r="K268" s="45">
        <v>778412</v>
      </c>
      <c r="L268" s="45"/>
      <c r="M268" s="200">
        <f t="shared" si="71"/>
        <v>1086504.2031499997</v>
      </c>
      <c r="N268" s="45"/>
      <c r="O268" s="45">
        <f t="shared" si="72"/>
        <v>78165.770010791341</v>
      </c>
      <c r="P268" s="139"/>
      <c r="Q268" s="116">
        <f t="shared" si="73"/>
        <v>4.2</v>
      </c>
      <c r="S268" s="117">
        <v>13.9</v>
      </c>
      <c r="T268" s="32"/>
      <c r="U268" s="116">
        <v>4.55</v>
      </c>
      <c r="W268" s="145">
        <f t="shared" si="74"/>
        <v>84768.918324999991</v>
      </c>
      <c r="Y268" s="157">
        <f t="shared" si="75"/>
        <v>-6603.1483142086508</v>
      </c>
    </row>
    <row r="269" spans="1:25" x14ac:dyDescent="0.2">
      <c r="A269" s="26"/>
      <c r="B269" s="139"/>
      <c r="C269" s="58" t="s">
        <v>126</v>
      </c>
      <c r="D269" s="139"/>
      <c r="E269" s="20" t="s">
        <v>145</v>
      </c>
      <c r="F269" s="20" t="s">
        <v>64</v>
      </c>
      <c r="G269" s="222">
        <f>'SKM Prod NS Weighting'!Q$32</f>
        <v>-1E-3</v>
      </c>
      <c r="H269" s="139"/>
      <c r="I269" s="45">
        <v>1451957.03</v>
      </c>
      <c r="J269" s="44"/>
      <c r="K269" s="45">
        <v>563545</v>
      </c>
      <c r="L269" s="45"/>
      <c r="M269" s="200">
        <f t="shared" si="71"/>
        <v>889863.98702999996</v>
      </c>
      <c r="N269" s="45"/>
      <c r="O269" s="45">
        <f t="shared" si="72"/>
        <v>108519.99841829269</v>
      </c>
      <c r="P269" s="139"/>
      <c r="Q269" s="116">
        <f t="shared" si="73"/>
        <v>7.47</v>
      </c>
      <c r="S269" s="117">
        <v>8.1999999999999993</v>
      </c>
      <c r="T269" s="32"/>
      <c r="U269" s="116">
        <v>8.0500000000000007</v>
      </c>
      <c r="W269" s="145">
        <f t="shared" si="74"/>
        <v>116882.54091500001</v>
      </c>
      <c r="Y269" s="157">
        <f t="shared" si="75"/>
        <v>-8362.5424967073195</v>
      </c>
    </row>
    <row r="270" spans="1:25" x14ac:dyDescent="0.2">
      <c r="A270" s="26"/>
      <c r="B270" s="139"/>
      <c r="C270" s="58" t="s">
        <v>127</v>
      </c>
      <c r="D270" s="139"/>
      <c r="E270" s="20" t="s">
        <v>145</v>
      </c>
      <c r="F270" s="20" t="s">
        <v>64</v>
      </c>
      <c r="G270" s="222">
        <f>'SKM Prod NS Weighting'!Q$32</f>
        <v>-1E-3</v>
      </c>
      <c r="H270" s="139"/>
      <c r="I270" s="90">
        <v>2456320.0099999998</v>
      </c>
      <c r="J270" s="44"/>
      <c r="K270" s="45">
        <v>844832</v>
      </c>
      <c r="L270" s="45"/>
      <c r="M270" s="200">
        <f t="shared" si="71"/>
        <v>1613944.3300099997</v>
      </c>
      <c r="N270" s="45"/>
      <c r="O270" s="45">
        <f t="shared" si="72"/>
        <v>86307.18342299464</v>
      </c>
      <c r="P270" s="139"/>
      <c r="Q270" s="116">
        <f t="shared" si="73"/>
        <v>3.51</v>
      </c>
      <c r="S270" s="117">
        <v>18.7</v>
      </c>
      <c r="T270" s="32"/>
      <c r="U270" s="116">
        <v>3.78</v>
      </c>
      <c r="W270" s="145">
        <f t="shared" si="74"/>
        <v>92848.89637799999</v>
      </c>
      <c r="Y270" s="159">
        <f t="shared" si="75"/>
        <v>-6541.7129550053505</v>
      </c>
    </row>
    <row r="271" spans="1:25" x14ac:dyDescent="0.2">
      <c r="A271" s="26"/>
      <c r="B271" s="139"/>
      <c r="C271" s="139"/>
      <c r="D271" s="139"/>
      <c r="E271" s="20"/>
      <c r="F271" s="20"/>
      <c r="G271" s="222"/>
      <c r="H271" s="139"/>
      <c r="I271" s="45"/>
      <c r="J271" s="139"/>
      <c r="K271" s="49"/>
      <c r="L271" s="34"/>
      <c r="M271" s="49"/>
      <c r="N271" s="34"/>
      <c r="O271" s="49"/>
      <c r="P271" s="139"/>
      <c r="Q271" s="26"/>
      <c r="R271" s="139"/>
      <c r="S271" s="62"/>
      <c r="T271" s="32"/>
      <c r="U271" s="26"/>
    </row>
    <row r="272" spans="1:25" ht="15.75" x14ac:dyDescent="0.25">
      <c r="A272" s="26"/>
      <c r="B272" s="139"/>
      <c r="C272" s="65" t="s">
        <v>40</v>
      </c>
      <c r="D272" s="139"/>
      <c r="E272" s="20"/>
      <c r="F272" s="20"/>
      <c r="G272" s="222"/>
      <c r="H272" s="139"/>
      <c r="I272" s="45">
        <f>SUM(I256:I270)</f>
        <v>44367406.07</v>
      </c>
      <c r="J272" s="139"/>
      <c r="K272" s="45">
        <f>SUM(K256:K270)</f>
        <v>14270910</v>
      </c>
      <c r="L272" s="34"/>
      <c r="M272" s="45">
        <f>SUM(M256:M270)</f>
        <v>30140863.476070002</v>
      </c>
      <c r="N272" s="34"/>
      <c r="O272" s="45">
        <f>SUM(O256:O270)</f>
        <v>1643138.8057828699</v>
      </c>
      <c r="P272" s="139"/>
      <c r="Q272" s="116">
        <f>IF(O272/I272*100=0,"-     ",ROUND(O272/I272*100,2))</f>
        <v>3.7</v>
      </c>
      <c r="S272" s="117">
        <v>18.3</v>
      </c>
      <c r="T272" s="32"/>
      <c r="U272" s="242">
        <f>W272/I272</f>
        <v>3.975784845336576E-2</v>
      </c>
      <c r="W272" s="45">
        <f>SUM(W256:W270)</f>
        <v>1763952.6068000002</v>
      </c>
      <c r="Y272" s="45">
        <f>SUM(Y256:Y270)</f>
        <v>-120813.80101713011</v>
      </c>
    </row>
    <row r="273" spans="1:25" x14ac:dyDescent="0.2">
      <c r="A273" s="26"/>
      <c r="B273" s="139"/>
      <c r="C273" s="139"/>
      <c r="D273" s="139"/>
      <c r="E273" s="20"/>
      <c r="F273" s="20"/>
      <c r="G273" s="222"/>
      <c r="H273" s="139"/>
      <c r="I273" s="45"/>
      <c r="J273" s="139"/>
      <c r="K273" s="34"/>
      <c r="L273" s="34"/>
      <c r="M273" s="34"/>
      <c r="N273" s="34"/>
      <c r="O273" s="34"/>
      <c r="P273" s="139"/>
      <c r="Q273" s="26"/>
      <c r="R273" s="139"/>
      <c r="S273" s="62"/>
      <c r="T273" s="32"/>
      <c r="U273" s="26"/>
    </row>
    <row r="274" spans="1:25" x14ac:dyDescent="0.2">
      <c r="A274" s="26">
        <v>346</v>
      </c>
      <c r="B274" s="139"/>
      <c r="C274" s="59" t="s">
        <v>176</v>
      </c>
      <c r="D274" s="139"/>
      <c r="E274" s="56"/>
      <c r="F274" s="56"/>
      <c r="G274" s="224"/>
      <c r="H274" s="139"/>
      <c r="I274" s="45"/>
      <c r="J274" s="139"/>
      <c r="K274" s="34"/>
      <c r="L274" s="34"/>
      <c r="M274" s="34"/>
      <c r="N274" s="34"/>
      <c r="O274" s="34"/>
      <c r="P274" s="139"/>
      <c r="Q274" s="26"/>
      <c r="R274" s="139"/>
      <c r="S274" s="62"/>
      <c r="T274" s="32"/>
      <c r="U274" s="26"/>
    </row>
    <row r="275" spans="1:25" x14ac:dyDescent="0.2">
      <c r="A275" s="26"/>
      <c r="B275" s="139"/>
      <c r="C275" s="58" t="s">
        <v>113</v>
      </c>
      <c r="D275" s="139"/>
      <c r="E275" s="20" t="s">
        <v>146</v>
      </c>
      <c r="F275" s="20" t="s">
        <v>64</v>
      </c>
      <c r="G275" s="222">
        <f>'SKM Prod NS Weighting'!Q$33</f>
        <v>0</v>
      </c>
      <c r="H275" s="139"/>
      <c r="I275" s="45">
        <v>28963.63</v>
      </c>
      <c r="J275" s="44"/>
      <c r="K275" s="45">
        <v>8377</v>
      </c>
      <c r="L275" s="45"/>
      <c r="M275" s="200">
        <f t="shared" ref="M275:M288" si="76">+((1-G275)*I275)-K275</f>
        <v>20586.63</v>
      </c>
      <c r="N275" s="45"/>
      <c r="O275" s="45">
        <f t="shared" ref="O275:O288" si="77">M275/S275</f>
        <v>1095.0335106382979</v>
      </c>
      <c r="P275" s="139"/>
      <c r="Q275" s="116">
        <f t="shared" ref="Q275:Q288" si="78">IF(O275/I275*100=0,"-     ",ROUND(O275/I275*100,2))</f>
        <v>3.78</v>
      </c>
      <c r="S275" s="117">
        <v>18.8</v>
      </c>
      <c r="T275" s="32"/>
      <c r="U275" s="116">
        <v>4.04</v>
      </c>
      <c r="W275" s="145">
        <f t="shared" ref="W275:W288" si="79">(I275/100)*U275</f>
        <v>1170.1306520000001</v>
      </c>
      <c r="Y275" s="157">
        <f t="shared" ref="Y275:Y288" si="80">O275-W275</f>
        <v>-75.097141361702143</v>
      </c>
    </row>
    <row r="276" spans="1:25" x14ac:dyDescent="0.2">
      <c r="A276" s="26"/>
      <c r="B276" s="139"/>
      <c r="C276" s="58" t="s">
        <v>115</v>
      </c>
      <c r="D276" s="139"/>
      <c r="E276" s="20" t="s">
        <v>146</v>
      </c>
      <c r="F276" s="20" t="s">
        <v>64</v>
      </c>
      <c r="G276" s="222">
        <f>'SKM Prod NS Weighting'!Q$33</f>
        <v>0</v>
      </c>
      <c r="H276" s="139"/>
      <c r="I276" s="45">
        <v>8888.93</v>
      </c>
      <c r="J276" s="44"/>
      <c r="K276" s="45">
        <v>2318</v>
      </c>
      <c r="L276" s="45"/>
      <c r="M276" s="200">
        <f t="shared" si="76"/>
        <v>6570.93</v>
      </c>
      <c r="N276" s="45"/>
      <c r="O276" s="45">
        <f t="shared" si="77"/>
        <v>330.19748743718594</v>
      </c>
      <c r="P276" s="139"/>
      <c r="Q276" s="116">
        <f t="shared" si="78"/>
        <v>3.71</v>
      </c>
      <c r="S276" s="117">
        <v>19.899999999999999</v>
      </c>
      <c r="T276" s="32"/>
      <c r="U276" s="116">
        <v>3.97</v>
      </c>
      <c r="W276" s="145">
        <f t="shared" si="79"/>
        <v>352.89052100000004</v>
      </c>
      <c r="Y276" s="157">
        <f t="shared" si="80"/>
        <v>-22.693033562814094</v>
      </c>
    </row>
    <row r="277" spans="1:25" x14ac:dyDescent="0.2">
      <c r="A277" s="26"/>
      <c r="B277" s="139"/>
      <c r="C277" s="58" t="s">
        <v>116</v>
      </c>
      <c r="D277" s="139"/>
      <c r="E277" s="20" t="s">
        <v>146</v>
      </c>
      <c r="F277" s="20" t="s">
        <v>64</v>
      </c>
      <c r="G277" s="222">
        <f>'SKM Prod NS Weighting'!Q$33</f>
        <v>0</v>
      </c>
      <c r="H277" s="139"/>
      <c r="I277" s="45">
        <v>8861.01</v>
      </c>
      <c r="J277" s="44"/>
      <c r="K277" s="45">
        <v>2310</v>
      </c>
      <c r="L277" s="45"/>
      <c r="M277" s="200">
        <f t="shared" si="76"/>
        <v>6551.01</v>
      </c>
      <c r="N277" s="45"/>
      <c r="O277" s="45">
        <f t="shared" si="77"/>
        <v>329.19648241206033</v>
      </c>
      <c r="P277" s="139"/>
      <c r="Q277" s="116">
        <f t="shared" si="78"/>
        <v>3.72</v>
      </c>
      <c r="S277" s="117">
        <v>19.899999999999999</v>
      </c>
      <c r="T277" s="32"/>
      <c r="U277" s="116">
        <v>3.97</v>
      </c>
      <c r="W277" s="145">
        <f t="shared" si="79"/>
        <v>351.78209700000002</v>
      </c>
      <c r="Y277" s="157">
        <f t="shared" si="80"/>
        <v>-22.585614587939688</v>
      </c>
    </row>
    <row r="278" spans="1:25" x14ac:dyDescent="0.2">
      <c r="A278" s="26"/>
      <c r="B278" s="139"/>
      <c r="C278" s="58" t="s">
        <v>117</v>
      </c>
      <c r="D278" s="139"/>
      <c r="E278" s="20" t="s">
        <v>146</v>
      </c>
      <c r="F278" s="20" t="s">
        <v>64</v>
      </c>
      <c r="G278" s="222">
        <f>'SKM Prod NS Weighting'!Q$33</f>
        <v>0</v>
      </c>
      <c r="H278" s="139"/>
      <c r="I278" s="45">
        <v>9113.52</v>
      </c>
      <c r="J278" s="44"/>
      <c r="K278" s="45">
        <v>2350</v>
      </c>
      <c r="L278" s="45"/>
      <c r="M278" s="200">
        <f t="shared" si="76"/>
        <v>6763.52</v>
      </c>
      <c r="N278" s="45"/>
      <c r="O278" s="45">
        <f t="shared" si="77"/>
        <v>339.87537688442217</v>
      </c>
      <c r="P278" s="139"/>
      <c r="Q278" s="116">
        <f t="shared" si="78"/>
        <v>3.73</v>
      </c>
      <c r="S278" s="117">
        <v>19.899999999999999</v>
      </c>
      <c r="T278" s="32"/>
      <c r="U278" s="116">
        <v>3.98</v>
      </c>
      <c r="W278" s="145">
        <f t="shared" si="79"/>
        <v>362.718096</v>
      </c>
      <c r="Y278" s="157">
        <f t="shared" si="80"/>
        <v>-22.842719115577836</v>
      </c>
    </row>
    <row r="279" spans="1:25" x14ac:dyDescent="0.2">
      <c r="A279" s="26"/>
      <c r="B279" s="139"/>
      <c r="C279" s="58" t="s">
        <v>118</v>
      </c>
      <c r="D279" s="139"/>
      <c r="E279" s="20" t="s">
        <v>146</v>
      </c>
      <c r="F279" s="20" t="s">
        <v>64</v>
      </c>
      <c r="G279" s="222">
        <f>'SKM Prod NS Weighting'!Q$33</f>
        <v>0</v>
      </c>
      <c r="H279" s="139"/>
      <c r="I279" s="45">
        <v>41868.51</v>
      </c>
      <c r="J279" s="44"/>
      <c r="K279" s="45">
        <v>4157</v>
      </c>
      <c r="L279" s="45"/>
      <c r="M279" s="200">
        <f t="shared" si="76"/>
        <v>37711.51</v>
      </c>
      <c r="N279" s="45"/>
      <c r="O279" s="45">
        <f t="shared" si="77"/>
        <v>1821.8120772946861</v>
      </c>
      <c r="P279" s="139"/>
      <c r="Q279" s="116">
        <f t="shared" si="78"/>
        <v>4.3499999999999996</v>
      </c>
      <c r="S279" s="117">
        <v>20.7</v>
      </c>
      <c r="T279" s="32"/>
      <c r="U279" s="116">
        <v>4.59</v>
      </c>
      <c r="W279" s="145">
        <f t="shared" si="79"/>
        <v>1921.7646090000001</v>
      </c>
      <c r="Y279" s="157">
        <f t="shared" si="80"/>
        <v>-99.952531705313959</v>
      </c>
    </row>
    <row r="280" spans="1:25" x14ac:dyDescent="0.2">
      <c r="A280" s="26"/>
      <c r="B280" s="139"/>
      <c r="C280" s="58" t="s">
        <v>119</v>
      </c>
      <c r="D280" s="139"/>
      <c r="E280" s="20" t="s">
        <v>146</v>
      </c>
      <c r="F280" s="20" t="s">
        <v>64</v>
      </c>
      <c r="G280" s="222">
        <f>'SKM Prod NS Weighting'!Q$33</f>
        <v>0</v>
      </c>
      <c r="H280" s="139"/>
      <c r="I280" s="45">
        <v>2139352.61</v>
      </c>
      <c r="J280" s="44"/>
      <c r="K280" s="45">
        <v>749750</v>
      </c>
      <c r="L280" s="45"/>
      <c r="M280" s="200">
        <f t="shared" si="76"/>
        <v>1389602.6099999999</v>
      </c>
      <c r="N280" s="45"/>
      <c r="O280" s="45">
        <f t="shared" si="77"/>
        <v>80323.850289017326</v>
      </c>
      <c r="P280" s="139"/>
      <c r="Q280" s="116">
        <f t="shared" si="78"/>
        <v>3.75</v>
      </c>
      <c r="S280" s="117">
        <v>17.3</v>
      </c>
      <c r="T280" s="32"/>
      <c r="U280" s="116">
        <v>4.0599999999999996</v>
      </c>
      <c r="W280" s="145">
        <f t="shared" si="79"/>
        <v>86857.715965999989</v>
      </c>
      <c r="Y280" s="157">
        <f t="shared" si="80"/>
        <v>-6533.865676982663</v>
      </c>
    </row>
    <row r="281" spans="1:25" x14ac:dyDescent="0.2">
      <c r="A281" s="114" t="s">
        <v>163</v>
      </c>
      <c r="B281" s="139"/>
      <c r="C281" s="58" t="s">
        <v>120</v>
      </c>
      <c r="D281" s="139"/>
      <c r="E281" s="20" t="s">
        <v>146</v>
      </c>
      <c r="F281" s="20" t="s">
        <v>64</v>
      </c>
      <c r="G281" s="222">
        <f>'SKM Prod NS Weighting'!Q$33</f>
        <v>0</v>
      </c>
      <c r="H281" s="139"/>
      <c r="I281" s="45">
        <v>53748.85</v>
      </c>
      <c r="J281" s="44"/>
      <c r="K281" s="45">
        <v>17904</v>
      </c>
      <c r="L281" s="45"/>
      <c r="M281" s="200">
        <f t="shared" si="76"/>
        <v>35844.85</v>
      </c>
      <c r="N281" s="45"/>
      <c r="O281" s="45">
        <f t="shared" si="77"/>
        <v>2240.3031249999999</v>
      </c>
      <c r="P281" s="139"/>
      <c r="Q281" s="116">
        <f t="shared" si="78"/>
        <v>4.17</v>
      </c>
      <c r="S281" s="117">
        <v>16</v>
      </c>
      <c r="T281" s="32"/>
      <c r="U281" s="116">
        <v>4.47</v>
      </c>
      <c r="W281" s="145">
        <f t="shared" si="79"/>
        <v>2402.5735949999994</v>
      </c>
      <c r="Y281" s="157">
        <f t="shared" si="80"/>
        <v>-162.27046999999948</v>
      </c>
    </row>
    <row r="282" spans="1:25" x14ac:dyDescent="0.2">
      <c r="A282" s="26"/>
      <c r="B282" s="139"/>
      <c r="C282" s="58" t="s">
        <v>121</v>
      </c>
      <c r="D282" s="139"/>
      <c r="E282" s="20" t="s">
        <v>146</v>
      </c>
      <c r="F282" s="20" t="s">
        <v>64</v>
      </c>
      <c r="G282" s="222">
        <f>'SKM Prod NS Weighting'!Q$33</f>
        <v>0</v>
      </c>
      <c r="H282" s="139"/>
      <c r="I282" s="45">
        <v>35647.39</v>
      </c>
      <c r="J282" s="44"/>
      <c r="K282" s="45">
        <v>13487</v>
      </c>
      <c r="L282" s="45"/>
      <c r="M282" s="200">
        <f t="shared" si="76"/>
        <v>22160.39</v>
      </c>
      <c r="N282" s="45"/>
      <c r="O282" s="45">
        <f t="shared" si="77"/>
        <v>1402.556329113924</v>
      </c>
      <c r="P282" s="139"/>
      <c r="Q282" s="116">
        <f t="shared" si="78"/>
        <v>3.93</v>
      </c>
      <c r="S282" s="117">
        <v>15.8</v>
      </c>
      <c r="T282" s="32"/>
      <c r="U282" s="116">
        <v>4.25</v>
      </c>
      <c r="W282" s="145">
        <f t="shared" si="79"/>
        <v>1515.014075</v>
      </c>
      <c r="Y282" s="157">
        <f t="shared" si="80"/>
        <v>-112.45774588607605</v>
      </c>
    </row>
    <row r="283" spans="1:25" x14ac:dyDescent="0.2">
      <c r="A283" s="26"/>
      <c r="B283" s="139"/>
      <c r="C283" s="58" t="s">
        <v>122</v>
      </c>
      <c r="D283" s="139"/>
      <c r="E283" s="20" t="s">
        <v>146</v>
      </c>
      <c r="F283" s="20" t="s">
        <v>64</v>
      </c>
      <c r="G283" s="222">
        <f>'SKM Prod NS Weighting'!Q$33</f>
        <v>0</v>
      </c>
      <c r="H283" s="139"/>
      <c r="I283" s="45">
        <v>285932.33</v>
      </c>
      <c r="J283" s="44"/>
      <c r="K283" s="45">
        <v>133886</v>
      </c>
      <c r="L283" s="45"/>
      <c r="M283" s="200">
        <f t="shared" si="76"/>
        <v>152046.33000000002</v>
      </c>
      <c r="N283" s="45"/>
      <c r="O283" s="45">
        <f t="shared" si="77"/>
        <v>12261.800806451614</v>
      </c>
      <c r="P283" s="139"/>
      <c r="Q283" s="116">
        <f t="shared" si="78"/>
        <v>4.29</v>
      </c>
      <c r="S283" s="117">
        <v>12.4</v>
      </c>
      <c r="T283" s="32"/>
      <c r="U283" s="116">
        <v>4.7</v>
      </c>
      <c r="W283" s="145">
        <f t="shared" si="79"/>
        <v>13438.819510000001</v>
      </c>
      <c r="Y283" s="157">
        <f t="shared" si="80"/>
        <v>-1177.0187035483868</v>
      </c>
    </row>
    <row r="284" spans="1:25" x14ac:dyDescent="0.2">
      <c r="A284" s="26"/>
      <c r="B284" s="139"/>
      <c r="C284" s="58" t="s">
        <v>123</v>
      </c>
      <c r="D284" s="139"/>
      <c r="E284" s="20" t="s">
        <v>146</v>
      </c>
      <c r="F284" s="20" t="s">
        <v>64</v>
      </c>
      <c r="G284" s="222">
        <f>'SKM Prod NS Weighting'!Q$33</f>
        <v>0</v>
      </c>
      <c r="H284" s="139"/>
      <c r="I284" s="45">
        <v>760255.37</v>
      </c>
      <c r="J284" s="44"/>
      <c r="K284" s="45">
        <v>435836</v>
      </c>
      <c r="L284" s="45"/>
      <c r="M284" s="200">
        <f t="shared" si="76"/>
        <v>324419.37</v>
      </c>
      <c r="N284" s="45"/>
      <c r="O284" s="45">
        <f t="shared" si="77"/>
        <v>20403.733962264148</v>
      </c>
      <c r="P284" s="139"/>
      <c r="Q284" s="116">
        <f t="shared" si="78"/>
        <v>2.68</v>
      </c>
      <c r="S284" s="117">
        <v>15.9</v>
      </c>
      <c r="T284" s="32"/>
      <c r="U284" s="116">
        <v>2.99</v>
      </c>
      <c r="W284" s="145">
        <f t="shared" si="79"/>
        <v>22731.635563000003</v>
      </c>
      <c r="Y284" s="157">
        <f t="shared" si="80"/>
        <v>-2327.901600735855</v>
      </c>
    </row>
    <row r="285" spans="1:25" x14ac:dyDescent="0.2">
      <c r="A285" s="26"/>
      <c r="B285" s="139"/>
      <c r="C285" s="58" t="s">
        <v>124</v>
      </c>
      <c r="D285" s="139"/>
      <c r="E285" s="20" t="s">
        <v>146</v>
      </c>
      <c r="F285" s="20" t="s">
        <v>64</v>
      </c>
      <c r="G285" s="222">
        <f>'SKM Prod NS Weighting'!Q$33</f>
        <v>0</v>
      </c>
      <c r="H285" s="139"/>
      <c r="I285" s="45">
        <v>274390.87</v>
      </c>
      <c r="J285" s="44"/>
      <c r="K285" s="45">
        <v>136467</v>
      </c>
      <c r="L285" s="45"/>
      <c r="M285" s="200">
        <f t="shared" si="76"/>
        <v>137923.87</v>
      </c>
      <c r="N285" s="45"/>
      <c r="O285" s="45">
        <f t="shared" si="77"/>
        <v>8461.5871165644166</v>
      </c>
      <c r="P285" s="139"/>
      <c r="Q285" s="116">
        <f t="shared" si="78"/>
        <v>3.08</v>
      </c>
      <c r="S285" s="117">
        <v>16.3</v>
      </c>
      <c r="T285" s="32"/>
      <c r="U285" s="116">
        <v>3.4</v>
      </c>
      <c r="W285" s="145">
        <f t="shared" si="79"/>
        <v>9329.2895799999988</v>
      </c>
      <c r="Y285" s="157">
        <f t="shared" si="80"/>
        <v>-867.7024634355821</v>
      </c>
    </row>
    <row r="286" spans="1:25" x14ac:dyDescent="0.2">
      <c r="A286" s="26"/>
      <c r="B286" s="139"/>
      <c r="C286" s="58" t="s">
        <v>125</v>
      </c>
      <c r="D286" s="139"/>
      <c r="E286" s="20" t="s">
        <v>146</v>
      </c>
      <c r="F286" s="20" t="s">
        <v>64</v>
      </c>
      <c r="G286" s="222">
        <f>'SKM Prod NS Weighting'!Q$33</f>
        <v>0</v>
      </c>
      <c r="H286" s="139"/>
      <c r="I286" s="45">
        <v>590562.81999999995</v>
      </c>
      <c r="J286" s="44"/>
      <c r="K286" s="45">
        <v>219404</v>
      </c>
      <c r="L286" s="45"/>
      <c r="M286" s="200">
        <f t="shared" si="76"/>
        <v>371158.81999999995</v>
      </c>
      <c r="N286" s="45"/>
      <c r="O286" s="45">
        <f t="shared" si="77"/>
        <v>27493.245925925923</v>
      </c>
      <c r="P286" s="139"/>
      <c r="Q286" s="116">
        <f t="shared" si="78"/>
        <v>4.66</v>
      </c>
      <c r="S286" s="117">
        <v>13.5</v>
      </c>
      <c r="T286" s="32"/>
      <c r="U286" s="116">
        <v>5.04</v>
      </c>
      <c r="W286" s="145">
        <f t="shared" si="79"/>
        <v>29764.366127999998</v>
      </c>
      <c r="Y286" s="157">
        <f t="shared" si="80"/>
        <v>-2271.1202020740748</v>
      </c>
    </row>
    <row r="287" spans="1:25" x14ac:dyDescent="0.2">
      <c r="A287" s="26"/>
      <c r="B287" s="139"/>
      <c r="C287" s="58" t="s">
        <v>126</v>
      </c>
      <c r="D287" s="139"/>
      <c r="E287" s="20" t="s">
        <v>146</v>
      </c>
      <c r="F287" s="20" t="s">
        <v>64</v>
      </c>
      <c r="G287" s="222">
        <f>'SKM Prod NS Weighting'!Q$33</f>
        <v>0</v>
      </c>
      <c r="H287" s="139"/>
      <c r="I287" s="45">
        <v>35805.199999999997</v>
      </c>
      <c r="J287" s="44"/>
      <c r="K287" s="45">
        <v>34289</v>
      </c>
      <c r="L287" s="45"/>
      <c r="M287" s="200">
        <f t="shared" si="76"/>
        <v>1516.1999999999971</v>
      </c>
      <c r="N287" s="45"/>
      <c r="O287" s="45">
        <f t="shared" si="77"/>
        <v>275.67272727272672</v>
      </c>
      <c r="P287" s="139"/>
      <c r="Q287" s="116">
        <f t="shared" si="78"/>
        <v>0.77</v>
      </c>
      <c r="S287" s="117">
        <v>5.5</v>
      </c>
      <c r="T287" s="32"/>
      <c r="U287" s="116">
        <v>1.67</v>
      </c>
      <c r="W287" s="145">
        <f t="shared" si="79"/>
        <v>597.94683999999995</v>
      </c>
      <c r="Y287" s="157">
        <f t="shared" si="80"/>
        <v>-322.27411272727323</v>
      </c>
    </row>
    <row r="288" spans="1:25" x14ac:dyDescent="0.2">
      <c r="A288" s="26"/>
      <c r="B288" s="139"/>
      <c r="C288" s="58" t="s">
        <v>127</v>
      </c>
      <c r="D288" s="139"/>
      <c r="E288" s="20" t="s">
        <v>146</v>
      </c>
      <c r="F288" s="20" t="s">
        <v>64</v>
      </c>
      <c r="G288" s="222">
        <f>'SKM Prod NS Weighting'!Q$33</f>
        <v>0</v>
      </c>
      <c r="H288" s="139"/>
      <c r="I288" s="90">
        <v>1089550.03</v>
      </c>
      <c r="J288" s="44"/>
      <c r="K288" s="45">
        <v>384938</v>
      </c>
      <c r="L288" s="45"/>
      <c r="M288" s="200">
        <f t="shared" si="76"/>
        <v>704612.03</v>
      </c>
      <c r="N288" s="45"/>
      <c r="O288" s="45">
        <f t="shared" si="77"/>
        <v>40965.815697674421</v>
      </c>
      <c r="P288" s="139"/>
      <c r="Q288" s="116">
        <f t="shared" si="78"/>
        <v>3.76</v>
      </c>
      <c r="S288" s="117">
        <v>17.2</v>
      </c>
      <c r="T288" s="32"/>
      <c r="U288" s="116">
        <v>4.04</v>
      </c>
      <c r="W288" s="145">
        <f t="shared" si="79"/>
        <v>44017.821212000003</v>
      </c>
      <c r="Y288" s="159">
        <f t="shared" si="80"/>
        <v>-3052.0055143255813</v>
      </c>
    </row>
    <row r="289" spans="1:26" x14ac:dyDescent="0.2">
      <c r="A289" s="26"/>
      <c r="B289" s="139"/>
      <c r="C289" s="139"/>
      <c r="D289" s="139"/>
      <c r="E289" s="20"/>
      <c r="F289" s="20"/>
      <c r="G289" s="253"/>
      <c r="H289" s="139"/>
      <c r="I289" s="45"/>
      <c r="J289" s="139"/>
      <c r="K289" s="49"/>
      <c r="L289" s="34"/>
      <c r="M289" s="49"/>
      <c r="N289" s="34"/>
      <c r="O289" s="49"/>
      <c r="P289" s="139"/>
      <c r="Q289" s="26"/>
      <c r="R289" s="139"/>
      <c r="S289" s="62"/>
      <c r="T289" s="32"/>
      <c r="U289" s="26"/>
    </row>
    <row r="290" spans="1:26" ht="15.75" x14ac:dyDescent="0.25">
      <c r="A290" s="26"/>
      <c r="B290" s="139"/>
      <c r="C290" s="65" t="s">
        <v>177</v>
      </c>
      <c r="D290" s="139"/>
      <c r="E290" s="20"/>
      <c r="F290" s="20"/>
      <c r="G290" s="253"/>
      <c r="H290" s="139"/>
      <c r="I290" s="90">
        <f>SUM(I275:I288)</f>
        <v>5362941.0700000012</v>
      </c>
      <c r="J290" s="139"/>
      <c r="K290" s="69">
        <f>+SUBTOTAL(9,K275:K289)</f>
        <v>2145473</v>
      </c>
      <c r="L290" s="34"/>
      <c r="M290" s="69">
        <f>+SUBTOTAL(9,M275:M289)</f>
        <v>3217468.0700000003</v>
      </c>
      <c r="N290" s="34"/>
      <c r="O290" s="69">
        <f>+SUBTOTAL(9,O275:O289)</f>
        <v>197744.68091395119</v>
      </c>
      <c r="P290" s="139"/>
      <c r="Q290" s="116">
        <f>IF(O290/I290*100=0,"-     ",ROUND(O290/I290*100,2))</f>
        <v>3.69</v>
      </c>
      <c r="S290" s="117">
        <v>16.2</v>
      </c>
      <c r="T290" s="32"/>
      <c r="U290" s="242">
        <f>W290/I290</f>
        <v>4.0055347549064146E-2</v>
      </c>
      <c r="W290" s="125">
        <f>+SUBTOTAL(9,W275:W289)</f>
        <v>214814.468444</v>
      </c>
      <c r="Y290" s="159">
        <f t="shared" ref="Y290" si="81">O290-W290</f>
        <v>-17069.787530048809</v>
      </c>
    </row>
    <row r="291" spans="1:26" x14ac:dyDescent="0.2">
      <c r="A291" s="26"/>
      <c r="B291" s="139"/>
      <c r="C291" s="139"/>
      <c r="D291" s="139"/>
      <c r="E291" s="20"/>
      <c r="F291" s="20"/>
      <c r="G291" s="253"/>
      <c r="H291" s="139"/>
      <c r="I291" s="45"/>
      <c r="J291" s="139"/>
      <c r="K291" s="34"/>
      <c r="L291" s="34"/>
      <c r="M291" s="34"/>
      <c r="N291" s="34"/>
      <c r="O291" s="34"/>
      <c r="P291" s="139"/>
      <c r="Q291" s="26"/>
      <c r="R291" s="139"/>
      <c r="S291" s="62"/>
      <c r="T291" s="32"/>
      <c r="U291" s="26"/>
    </row>
    <row r="292" spans="1:26" ht="15.75" x14ac:dyDescent="0.25">
      <c r="A292" s="26"/>
      <c r="B292" s="139"/>
      <c r="C292" s="91" t="s">
        <v>41</v>
      </c>
      <c r="D292" s="139"/>
      <c r="E292" s="48"/>
      <c r="F292" s="56"/>
      <c r="G292" s="255"/>
      <c r="H292" s="30"/>
      <c r="I292" s="102">
        <f>SUM(I290,I272,I253,I234,I216,I195,I176)</f>
        <v>526856779.57999998</v>
      </c>
      <c r="J292" s="30"/>
      <c r="K292" s="102">
        <f>SUM(K290,K272,K253,K234,K216,K195,K176)</f>
        <v>178011802</v>
      </c>
      <c r="L292" s="31"/>
      <c r="M292" s="102">
        <f>SUM(M290,M272,M253,M234,M216,M195,M176)</f>
        <v>351532556.23241448</v>
      </c>
      <c r="N292" s="31"/>
      <c r="O292" s="102">
        <f>SUM(O290,O272,O253,O234,O216,O195,O176)</f>
        <v>20594289.077952474</v>
      </c>
      <c r="P292" s="30"/>
      <c r="Q292" s="137">
        <f>+ROUND(O292/I292*100,2)</f>
        <v>3.91</v>
      </c>
      <c r="R292" s="139"/>
      <c r="S292" s="62"/>
      <c r="T292" s="32"/>
      <c r="U292" s="242">
        <f>W292/I292</f>
        <v>4.1769085422450135E-2</v>
      </c>
      <c r="W292" s="102">
        <f>SUM(W290,W272,W253,W234,W216,W195,W176)</f>
        <v>22006325.831674002</v>
      </c>
      <c r="Y292" s="102">
        <f>SUM(Y290,Y272,Y253,Y234,Y216,Y195,Y176)</f>
        <v>-1412036.7537215285</v>
      </c>
      <c r="Z292" s="16">
        <f>+Y292</f>
        <v>-1412036.7537215285</v>
      </c>
    </row>
    <row r="293" spans="1:26" ht="15.75" x14ac:dyDescent="0.25">
      <c r="A293" s="26"/>
      <c r="B293" s="139"/>
      <c r="C293" s="91"/>
      <c r="D293" s="139"/>
      <c r="E293" s="48"/>
      <c r="F293" s="56"/>
      <c r="G293" s="255"/>
      <c r="H293" s="30"/>
      <c r="I293" s="45"/>
      <c r="J293" s="30"/>
      <c r="K293" s="31"/>
      <c r="L293" s="31"/>
      <c r="M293" s="31"/>
      <c r="N293" s="31"/>
      <c r="O293" s="31"/>
      <c r="P293" s="30"/>
      <c r="Q293" s="26"/>
      <c r="R293" s="139"/>
      <c r="S293" s="62"/>
      <c r="T293" s="32"/>
      <c r="U293" s="26"/>
      <c r="Z293" s="16">
        <f>SUM(Z129:Z292)</f>
        <v>-16106116.786950046</v>
      </c>
    </row>
    <row r="294" spans="1:26" x14ac:dyDescent="0.2">
      <c r="A294" s="26"/>
      <c r="B294" s="139"/>
      <c r="C294" s="139"/>
      <c r="D294" s="139"/>
      <c r="E294" s="48"/>
      <c r="F294" s="56"/>
      <c r="G294" s="253"/>
      <c r="H294" s="139"/>
      <c r="I294" s="45"/>
      <c r="J294" s="139"/>
      <c r="K294" s="34"/>
      <c r="L294" s="34"/>
      <c r="M294" s="34"/>
      <c r="N294" s="34"/>
      <c r="O294" s="34"/>
      <c r="P294" s="139"/>
      <c r="Q294" s="26"/>
      <c r="R294" s="139"/>
      <c r="S294" s="62"/>
      <c r="T294" s="32"/>
      <c r="U294" s="26"/>
    </row>
    <row r="295" spans="1:26" ht="15.75" x14ac:dyDescent="0.25">
      <c r="A295" s="26"/>
      <c r="B295" s="139"/>
      <c r="C295" s="53" t="s">
        <v>42</v>
      </c>
      <c r="D295" s="139"/>
      <c r="E295" s="48"/>
      <c r="F295" s="56"/>
      <c r="G295" s="253"/>
      <c r="H295" s="139"/>
      <c r="I295" s="45"/>
      <c r="J295" s="139"/>
      <c r="K295" s="34"/>
      <c r="L295" s="34"/>
      <c r="M295" s="34"/>
      <c r="N295" s="34"/>
      <c r="O295" s="34"/>
      <c r="P295" s="139"/>
      <c r="Q295" s="26"/>
      <c r="R295" s="139"/>
      <c r="S295" s="62"/>
      <c r="T295" s="32"/>
      <c r="U295" s="26"/>
    </row>
    <row r="296" spans="1:26" s="139" customFormat="1" ht="15.75" x14ac:dyDescent="0.25">
      <c r="A296" s="26"/>
      <c r="C296" s="43"/>
      <c r="E296" s="48"/>
      <c r="F296" s="56"/>
      <c r="G296" s="253"/>
      <c r="I296" s="45"/>
      <c r="K296" s="34"/>
      <c r="L296" s="34"/>
      <c r="M296" s="34"/>
      <c r="N296" s="34"/>
      <c r="O296" s="34"/>
      <c r="Q296" s="26"/>
      <c r="S296" s="62"/>
      <c r="T296" s="32"/>
      <c r="U296" s="26"/>
      <c r="W296" s="150"/>
      <c r="Y296" s="153"/>
    </row>
    <row r="297" spans="1:26" s="139" customFormat="1" x14ac:dyDescent="0.2">
      <c r="A297" s="26">
        <v>350.1</v>
      </c>
      <c r="C297" s="139" t="s">
        <v>179</v>
      </c>
      <c r="E297" s="20" t="s">
        <v>195</v>
      </c>
      <c r="F297" s="56"/>
      <c r="G297" s="19">
        <v>0</v>
      </c>
      <c r="I297" s="45">
        <v>23413728.550000001</v>
      </c>
      <c r="J297" s="44"/>
      <c r="K297" s="45">
        <v>15953928</v>
      </c>
      <c r="L297" s="45"/>
      <c r="M297" s="200">
        <f t="shared" ref="M297:M306" si="82">+((1-(G297/100))*I297)-K297</f>
        <v>7459800.5500000007</v>
      </c>
      <c r="N297" s="45"/>
      <c r="O297" s="45">
        <f t="shared" ref="O297:O306" si="83">M297/S297</f>
        <v>225371.61782477342</v>
      </c>
      <c r="Q297" s="116">
        <f t="shared" ref="Q297:Q306" si="84">IF(O297/I297*100=0,"-     ",ROUND(O297/I297*100,2))</f>
        <v>0.96</v>
      </c>
      <c r="R297" s="135"/>
      <c r="S297" s="117">
        <v>33.1</v>
      </c>
      <c r="T297" s="32"/>
      <c r="U297" s="116">
        <v>0.96</v>
      </c>
      <c r="W297" s="145">
        <f t="shared" ref="W297:W306" si="85">(I297/100)*U297</f>
        <v>224771.79407999999</v>
      </c>
      <c r="Y297" s="157">
        <f t="shared" ref="Y297:Y306" si="86">O297-W297</f>
        <v>599.82374477342819</v>
      </c>
    </row>
    <row r="298" spans="1:26" s="139" customFormat="1" ht="15" customHeight="1" x14ac:dyDescent="0.2">
      <c r="A298" s="26">
        <v>352.1</v>
      </c>
      <c r="C298" s="59" t="s">
        <v>35</v>
      </c>
      <c r="E298" s="20" t="s">
        <v>147</v>
      </c>
      <c r="F298" s="56"/>
      <c r="G298" s="165">
        <v>-5</v>
      </c>
      <c r="I298" s="45">
        <v>17020058.510000002</v>
      </c>
      <c r="J298" s="44"/>
      <c r="K298" s="45">
        <v>4850267</v>
      </c>
      <c r="L298" s="45"/>
      <c r="M298" s="200">
        <f t="shared" si="82"/>
        <v>13020794.435500003</v>
      </c>
      <c r="N298" s="45"/>
      <c r="O298" s="45">
        <f t="shared" si="83"/>
        <v>236312.05872050821</v>
      </c>
      <c r="Q298" s="116">
        <f t="shared" si="84"/>
        <v>1.39</v>
      </c>
      <c r="R298" s="135"/>
      <c r="S298" s="117">
        <v>55.1</v>
      </c>
      <c r="T298" s="32"/>
      <c r="U298" s="116">
        <v>1.75</v>
      </c>
      <c r="W298" s="145">
        <f t="shared" si="85"/>
        <v>297851.02392500004</v>
      </c>
      <c r="Y298" s="157">
        <f t="shared" si="86"/>
        <v>-61538.965204491833</v>
      </c>
    </row>
    <row r="299" spans="1:26" s="139" customFormat="1" ht="15" customHeight="1" x14ac:dyDescent="0.2">
      <c r="A299" s="26">
        <v>352.2</v>
      </c>
      <c r="C299" s="139" t="s">
        <v>183</v>
      </c>
      <c r="E299" s="20" t="s">
        <v>195</v>
      </c>
      <c r="F299" s="56"/>
      <c r="G299" s="165">
        <v>-5</v>
      </c>
      <c r="I299" s="45">
        <v>1220542.6200000001</v>
      </c>
      <c r="J299" s="44"/>
      <c r="K299" s="45">
        <v>860225</v>
      </c>
      <c r="L299" s="45"/>
      <c r="M299" s="200">
        <f t="shared" si="82"/>
        <v>421344.75100000016</v>
      </c>
      <c r="N299" s="45"/>
      <c r="O299" s="45">
        <f t="shared" si="83"/>
        <v>12212.891333333338</v>
      </c>
      <c r="Q299" s="116">
        <f t="shared" si="84"/>
        <v>1</v>
      </c>
      <c r="R299" s="135"/>
      <c r="S299" s="117">
        <v>34.5</v>
      </c>
      <c r="T299" s="32"/>
      <c r="U299" s="116">
        <v>1.58</v>
      </c>
      <c r="W299" s="145">
        <f t="shared" si="85"/>
        <v>19284.573396000003</v>
      </c>
      <c r="Y299" s="157">
        <f t="shared" si="86"/>
        <v>-7071.6820626666649</v>
      </c>
    </row>
    <row r="300" spans="1:26" s="139" customFormat="1" ht="15" customHeight="1" x14ac:dyDescent="0.2">
      <c r="A300" s="26">
        <v>353.1</v>
      </c>
      <c r="C300" s="139" t="s">
        <v>181</v>
      </c>
      <c r="E300" s="20" t="s">
        <v>196</v>
      </c>
      <c r="F300" s="56"/>
      <c r="G300" s="19">
        <v>0</v>
      </c>
      <c r="I300" s="45">
        <v>191753788.16999999</v>
      </c>
      <c r="J300" s="44"/>
      <c r="K300" s="45">
        <v>67092664</v>
      </c>
      <c r="L300" s="45"/>
      <c r="M300" s="200">
        <f t="shared" si="82"/>
        <v>124661124.16999999</v>
      </c>
      <c r="N300" s="45"/>
      <c r="O300" s="45">
        <f t="shared" si="83"/>
        <v>2782614.3787946426</v>
      </c>
      <c r="Q300" s="116">
        <f t="shared" si="84"/>
        <v>1.45</v>
      </c>
      <c r="R300" s="135"/>
      <c r="S300" s="117">
        <v>44.8</v>
      </c>
      <c r="T300" s="32"/>
      <c r="U300" s="116">
        <v>1.67</v>
      </c>
      <c r="W300" s="145">
        <f t="shared" si="85"/>
        <v>3202288.2624389995</v>
      </c>
      <c r="Y300" s="157">
        <f t="shared" si="86"/>
        <v>-419673.88364435686</v>
      </c>
    </row>
    <row r="301" spans="1:26" s="139" customFormat="1" ht="15" customHeight="1" x14ac:dyDescent="0.2">
      <c r="A301" s="26">
        <v>353.2</v>
      </c>
      <c r="C301" s="139" t="s">
        <v>182</v>
      </c>
      <c r="E301" s="20" t="s">
        <v>197</v>
      </c>
      <c r="F301" s="56"/>
      <c r="G301" s="19">
        <v>0</v>
      </c>
      <c r="I301" s="45">
        <v>14668403.51</v>
      </c>
      <c r="J301" s="44"/>
      <c r="K301" s="45">
        <v>16135244</v>
      </c>
      <c r="L301" s="45"/>
      <c r="M301" s="200">
        <f t="shared" si="82"/>
        <v>-1466840.4900000002</v>
      </c>
      <c r="N301" s="45"/>
      <c r="O301" s="45">
        <v>0</v>
      </c>
      <c r="Q301" s="116" t="str">
        <f t="shared" si="84"/>
        <v xml:space="preserve">-     </v>
      </c>
      <c r="R301" s="135"/>
      <c r="S301" s="117" t="s">
        <v>297</v>
      </c>
      <c r="T301" s="32"/>
      <c r="U301" s="116" t="s">
        <v>297</v>
      </c>
      <c r="W301" s="145">
        <v>0</v>
      </c>
      <c r="Y301" s="157">
        <f t="shared" si="86"/>
        <v>0</v>
      </c>
    </row>
    <row r="302" spans="1:26" s="139" customFormat="1" x14ac:dyDescent="0.2">
      <c r="A302" s="26">
        <v>354</v>
      </c>
      <c r="C302" s="139" t="s">
        <v>70</v>
      </c>
      <c r="E302" s="20" t="s">
        <v>198</v>
      </c>
      <c r="F302" s="56"/>
      <c r="G302" s="19">
        <v>-10</v>
      </c>
      <c r="I302" s="45">
        <v>95353356.620000005</v>
      </c>
      <c r="J302" s="44"/>
      <c r="K302" s="45">
        <v>48758751</v>
      </c>
      <c r="L302" s="45"/>
      <c r="M302" s="200">
        <f t="shared" si="82"/>
        <v>56129941.28200002</v>
      </c>
      <c r="N302" s="45"/>
      <c r="O302" s="45">
        <f t="shared" si="83"/>
        <v>1035607.7727306277</v>
      </c>
      <c r="Q302" s="116">
        <f t="shared" si="84"/>
        <v>1.0900000000000001</v>
      </c>
      <c r="R302" s="135"/>
      <c r="S302" s="117">
        <v>54.2</v>
      </c>
      <c r="T302" s="32"/>
      <c r="U302" s="116">
        <v>1.36</v>
      </c>
      <c r="W302" s="145">
        <f t="shared" si="85"/>
        <v>1296805.6500320002</v>
      </c>
      <c r="Y302" s="157">
        <f t="shared" si="86"/>
        <v>-261197.87730137247</v>
      </c>
    </row>
    <row r="303" spans="1:26" s="139" customFormat="1" x14ac:dyDescent="0.2">
      <c r="A303" s="26">
        <v>355</v>
      </c>
      <c r="C303" s="139" t="s">
        <v>71</v>
      </c>
      <c r="E303" s="20" t="s">
        <v>199</v>
      </c>
      <c r="F303" s="56"/>
      <c r="G303" s="19">
        <v>-25</v>
      </c>
      <c r="I303" s="45">
        <v>148658780.47999999</v>
      </c>
      <c r="J303" s="44"/>
      <c r="K303" s="45">
        <v>68401548</v>
      </c>
      <c r="L303" s="45"/>
      <c r="M303" s="200">
        <f t="shared" si="82"/>
        <v>117421927.59999999</v>
      </c>
      <c r="N303" s="45"/>
      <c r="O303" s="45">
        <f t="shared" si="83"/>
        <v>2525202.7440860216</v>
      </c>
      <c r="Q303" s="116">
        <f t="shared" si="84"/>
        <v>1.7</v>
      </c>
      <c r="R303" s="135"/>
      <c r="S303" s="117">
        <v>46.5</v>
      </c>
      <c r="T303" s="32"/>
      <c r="U303" s="116">
        <v>2.34</v>
      </c>
      <c r="W303" s="145">
        <f t="shared" si="85"/>
        <v>3478615.4632319994</v>
      </c>
      <c r="Y303" s="157">
        <f t="shared" si="86"/>
        <v>-953412.71914597787</v>
      </c>
    </row>
    <row r="304" spans="1:26" s="139" customFormat="1" x14ac:dyDescent="0.2">
      <c r="A304" s="26">
        <v>356</v>
      </c>
      <c r="C304" s="139" t="s">
        <v>72</v>
      </c>
      <c r="E304" s="20" t="s">
        <v>195</v>
      </c>
      <c r="F304" s="56"/>
      <c r="G304" s="19">
        <v>-25</v>
      </c>
      <c r="I304" s="45">
        <v>160446879.27000001</v>
      </c>
      <c r="J304" s="44"/>
      <c r="K304" s="45">
        <v>109283433</v>
      </c>
      <c r="L304" s="45"/>
      <c r="M304" s="200">
        <f t="shared" si="82"/>
        <v>91275166.087500006</v>
      </c>
      <c r="N304" s="45"/>
      <c r="O304" s="45">
        <f t="shared" si="83"/>
        <v>2157805.3448581565</v>
      </c>
      <c r="Q304" s="116">
        <f t="shared" si="84"/>
        <v>1.34</v>
      </c>
      <c r="R304" s="135"/>
      <c r="S304" s="117">
        <v>42.3</v>
      </c>
      <c r="T304" s="32"/>
      <c r="U304" s="116">
        <v>1.94</v>
      </c>
      <c r="W304" s="145">
        <f t="shared" si="85"/>
        <v>3112669.4578380003</v>
      </c>
      <c r="Y304" s="157">
        <f t="shared" si="86"/>
        <v>-954864.11297984375</v>
      </c>
    </row>
    <row r="305" spans="1:25" s="139" customFormat="1" x14ac:dyDescent="0.2">
      <c r="A305" s="26">
        <v>357</v>
      </c>
      <c r="C305" s="139" t="s">
        <v>73</v>
      </c>
      <c r="E305" s="20" t="s">
        <v>200</v>
      </c>
      <c r="F305" s="56"/>
      <c r="G305" s="19">
        <v>0</v>
      </c>
      <c r="I305" s="45">
        <v>448760.26</v>
      </c>
      <c r="J305" s="44"/>
      <c r="K305" s="45">
        <v>187418</v>
      </c>
      <c r="L305" s="45"/>
      <c r="M305" s="200">
        <f t="shared" si="82"/>
        <v>261342.26</v>
      </c>
      <c r="N305" s="45"/>
      <c r="O305" s="45">
        <f t="shared" si="83"/>
        <v>10208.68203125</v>
      </c>
      <c r="Q305" s="116">
        <f t="shared" si="84"/>
        <v>2.27</v>
      </c>
      <c r="R305" s="135"/>
      <c r="S305" s="117">
        <v>25.6</v>
      </c>
      <c r="T305" s="32"/>
      <c r="U305" s="116">
        <v>2.27</v>
      </c>
      <c r="W305" s="145">
        <f t="shared" si="85"/>
        <v>10186.857902</v>
      </c>
      <c r="Y305" s="157">
        <f t="shared" si="86"/>
        <v>21.824129250000624</v>
      </c>
    </row>
    <row r="306" spans="1:25" s="139" customFormat="1" x14ac:dyDescent="0.2">
      <c r="A306" s="26">
        <v>358</v>
      </c>
      <c r="C306" s="46" t="s">
        <v>74</v>
      </c>
      <c r="E306" s="20" t="s">
        <v>201</v>
      </c>
      <c r="F306" s="56"/>
      <c r="G306" s="19">
        <v>0</v>
      </c>
      <c r="I306" s="90">
        <v>1161549.29</v>
      </c>
      <c r="J306" s="44"/>
      <c r="K306" s="45">
        <v>918039</v>
      </c>
      <c r="L306" s="45"/>
      <c r="M306" s="200">
        <f t="shared" si="82"/>
        <v>243510.29000000004</v>
      </c>
      <c r="N306" s="45"/>
      <c r="O306" s="45">
        <f t="shared" si="83"/>
        <v>11432.407981220658</v>
      </c>
      <c r="Q306" s="116">
        <f t="shared" si="84"/>
        <v>0.98</v>
      </c>
      <c r="R306" s="135"/>
      <c r="S306" s="117">
        <v>21.3</v>
      </c>
      <c r="T306" s="32"/>
      <c r="U306" s="116">
        <v>0.98</v>
      </c>
      <c r="W306" s="145">
        <f t="shared" si="85"/>
        <v>11383.183042000001</v>
      </c>
      <c r="Y306" s="159">
        <f t="shared" si="86"/>
        <v>49.224939220657689</v>
      </c>
    </row>
    <row r="307" spans="1:25" s="139" customFormat="1" x14ac:dyDescent="0.2">
      <c r="A307" s="26"/>
      <c r="E307" s="20"/>
      <c r="F307" s="56"/>
      <c r="G307" s="19"/>
      <c r="I307" s="45"/>
      <c r="K307" s="49"/>
      <c r="L307" s="34"/>
      <c r="M307" s="49"/>
      <c r="N307" s="34"/>
      <c r="O307" s="49"/>
      <c r="Q307" s="26"/>
      <c r="S307" s="62"/>
      <c r="T307" s="32"/>
      <c r="U307" s="26"/>
      <c r="W307" s="150"/>
      <c r="Y307" s="153"/>
    </row>
    <row r="308" spans="1:25" s="139" customFormat="1" ht="15.75" x14ac:dyDescent="0.25">
      <c r="A308" s="26"/>
      <c r="C308" s="50" t="s">
        <v>43</v>
      </c>
      <c r="E308" s="20"/>
      <c r="F308" s="56"/>
      <c r="G308" s="19"/>
      <c r="H308" s="30"/>
      <c r="I308" s="102">
        <f>SUM(I297:I307)</f>
        <v>654145847.27999997</v>
      </c>
      <c r="J308" s="30"/>
      <c r="K308" s="102">
        <f>SUM(K297:K307)</f>
        <v>332441517</v>
      </c>
      <c r="L308" s="31"/>
      <c r="M308" s="102">
        <f>SUM(M297:M307)</f>
        <v>409428110.93599993</v>
      </c>
      <c r="N308" s="31"/>
      <c r="O308" s="102">
        <f>SUM(O297:O307)</f>
        <v>8996767.8983605336</v>
      </c>
      <c r="Q308" s="137">
        <f>+ROUND(O308/I308*100,2)</f>
        <v>1.38</v>
      </c>
      <c r="S308" s="62"/>
      <c r="T308" s="32"/>
      <c r="U308" s="242">
        <f>W308/I308</f>
        <v>1.7815379115137444E-2</v>
      </c>
      <c r="W308" s="102">
        <f>SUM(W297:W307)</f>
        <v>11653856.265885999</v>
      </c>
      <c r="Y308" s="102">
        <f>SUM(Y297:Y307)</f>
        <v>-2657088.3675254658</v>
      </c>
    </row>
    <row r="309" spans="1:25" s="139" customFormat="1" ht="15.75" x14ac:dyDescent="0.25">
      <c r="A309" s="26"/>
      <c r="C309" s="50"/>
      <c r="E309" s="20"/>
      <c r="F309" s="56"/>
      <c r="G309" s="19"/>
      <c r="H309" s="30"/>
      <c r="I309" s="45"/>
      <c r="J309" s="30"/>
      <c r="K309" s="31"/>
      <c r="L309" s="31"/>
      <c r="M309" s="31"/>
      <c r="N309" s="31"/>
      <c r="O309" s="31"/>
      <c r="Q309" s="26"/>
      <c r="S309" s="62"/>
      <c r="T309" s="32"/>
      <c r="U309" s="26"/>
      <c r="W309" s="150"/>
      <c r="Y309" s="153"/>
    </row>
    <row r="310" spans="1:25" s="139" customFormat="1" x14ac:dyDescent="0.2">
      <c r="A310" s="26"/>
      <c r="E310" s="20"/>
      <c r="F310" s="56"/>
      <c r="G310" s="19"/>
      <c r="I310" s="45"/>
      <c r="K310" s="34"/>
      <c r="L310" s="34"/>
      <c r="M310" s="34"/>
      <c r="N310" s="34"/>
      <c r="O310" s="34"/>
      <c r="Q310" s="26"/>
      <c r="S310" s="62"/>
      <c r="T310" s="32"/>
      <c r="U310" s="26"/>
      <c r="W310" s="150"/>
      <c r="Y310" s="153"/>
    </row>
    <row r="311" spans="1:25" s="139" customFormat="1" ht="15.75" x14ac:dyDescent="0.25">
      <c r="A311" s="26"/>
      <c r="B311" s="32"/>
      <c r="C311" s="53" t="s">
        <v>44</v>
      </c>
      <c r="D311" s="32"/>
      <c r="E311" s="20"/>
      <c r="F311" s="56"/>
      <c r="G311" s="19"/>
      <c r="H311" s="32"/>
      <c r="I311" s="45"/>
      <c r="J311" s="32"/>
      <c r="K311" s="34"/>
      <c r="L311" s="34"/>
      <c r="M311" s="34"/>
      <c r="N311" s="34"/>
      <c r="O311" s="34"/>
      <c r="P311" s="32"/>
      <c r="Q311" s="26"/>
      <c r="S311" s="62"/>
      <c r="T311" s="32"/>
      <c r="U311" s="26"/>
      <c r="W311" s="150"/>
      <c r="Y311" s="153"/>
    </row>
    <row r="312" spans="1:25" s="139" customFormat="1" ht="15.75" x14ac:dyDescent="0.25">
      <c r="A312" s="26"/>
      <c r="C312" s="43"/>
      <c r="E312" s="20"/>
      <c r="F312" s="56"/>
      <c r="G312" s="19"/>
      <c r="I312" s="45"/>
      <c r="K312" s="34"/>
      <c r="L312" s="34"/>
      <c r="M312" s="34"/>
      <c r="N312" s="34"/>
      <c r="O312" s="34"/>
      <c r="Q312" s="26"/>
      <c r="S312" s="62"/>
      <c r="T312" s="32"/>
      <c r="U312" s="26"/>
      <c r="W312" s="150"/>
      <c r="Y312" s="153"/>
    </row>
    <row r="313" spans="1:25" s="139" customFormat="1" x14ac:dyDescent="0.2">
      <c r="A313" s="26">
        <v>360.1</v>
      </c>
      <c r="C313" s="59" t="s">
        <v>180</v>
      </c>
      <c r="E313" s="20" t="s">
        <v>202</v>
      </c>
      <c r="F313" s="56"/>
      <c r="G313" s="19">
        <v>0</v>
      </c>
      <c r="I313" s="45">
        <v>2039033.29</v>
      </c>
      <c r="J313" s="44"/>
      <c r="K313" s="45">
        <v>1485249</v>
      </c>
      <c r="L313" s="45"/>
      <c r="M313" s="200">
        <f t="shared" ref="M313:M324" si="87">+((1-(G313/100))*I313)-K313</f>
        <v>553784.29</v>
      </c>
      <c r="N313" s="45"/>
      <c r="O313" s="45">
        <f t="shared" ref="O313:O324" si="88">M313/S313</f>
        <v>11883.783047210301</v>
      </c>
      <c r="Q313" s="116">
        <f t="shared" ref="Q313:Q324" si="89">IF(O313/I313*100=0,"-     ",ROUND(O313/I313*100,2))</f>
        <v>0.57999999999999996</v>
      </c>
      <c r="R313" s="135"/>
      <c r="S313" s="117">
        <v>46.6</v>
      </c>
      <c r="T313" s="32"/>
      <c r="U313" s="116">
        <v>0.57999999999999996</v>
      </c>
      <c r="W313" s="145">
        <f t="shared" ref="W313:W324" si="90">(I313/100)*U313</f>
        <v>11826.393082000001</v>
      </c>
      <c r="Y313" s="157">
        <f t="shared" ref="Y313:Y324" si="91">O313-W313</f>
        <v>57.389965210300943</v>
      </c>
    </row>
    <row r="314" spans="1:25" x14ac:dyDescent="0.2">
      <c r="A314" s="26">
        <v>361</v>
      </c>
      <c r="B314" s="139"/>
      <c r="C314" s="139" t="s">
        <v>90</v>
      </c>
      <c r="D314" s="139"/>
      <c r="E314" s="20" t="s">
        <v>134</v>
      </c>
      <c r="F314" s="56"/>
      <c r="G314" s="19">
        <v>-20</v>
      </c>
      <c r="H314" s="139"/>
      <c r="I314" s="45">
        <v>7658288.0899999999</v>
      </c>
      <c r="J314" s="44"/>
      <c r="K314" s="45">
        <v>1787771</v>
      </c>
      <c r="L314" s="45"/>
      <c r="M314" s="200">
        <f t="shared" si="87"/>
        <v>7402174.7079999987</v>
      </c>
      <c r="N314" s="45"/>
      <c r="O314" s="45">
        <f t="shared" si="88"/>
        <v>153254.1347412008</v>
      </c>
      <c r="P314" s="139"/>
      <c r="Q314" s="116">
        <f t="shared" si="89"/>
        <v>2</v>
      </c>
      <c r="S314" s="117">
        <v>48.3</v>
      </c>
      <c r="T314" s="32"/>
      <c r="U314" s="116">
        <v>2</v>
      </c>
      <c r="W314" s="145">
        <f t="shared" si="90"/>
        <v>153165.76180000001</v>
      </c>
      <c r="Y314" s="157">
        <f t="shared" si="91"/>
        <v>88.372941200796049</v>
      </c>
    </row>
    <row r="315" spans="1:25" x14ac:dyDescent="0.2">
      <c r="A315" s="26">
        <v>362</v>
      </c>
      <c r="B315" s="139"/>
      <c r="C315" s="46" t="s">
        <v>75</v>
      </c>
      <c r="D315" s="139"/>
      <c r="E315" s="20" t="s">
        <v>203</v>
      </c>
      <c r="F315" s="56"/>
      <c r="G315" s="19">
        <v>-10</v>
      </c>
      <c r="H315" s="139"/>
      <c r="I315" s="45">
        <v>141200430.90000001</v>
      </c>
      <c r="J315" s="44"/>
      <c r="K315" s="45">
        <v>40173683</v>
      </c>
      <c r="L315" s="45"/>
      <c r="M315" s="200">
        <f t="shared" si="87"/>
        <v>115146790.99000001</v>
      </c>
      <c r="N315" s="45"/>
      <c r="O315" s="45">
        <f t="shared" si="88"/>
        <v>2850168.0938118817</v>
      </c>
      <c r="P315" s="139"/>
      <c r="Q315" s="116">
        <f t="shared" si="89"/>
        <v>2.02</v>
      </c>
      <c r="S315" s="117">
        <v>40.4</v>
      </c>
      <c r="T315" s="32"/>
      <c r="U315" s="116">
        <v>2.27</v>
      </c>
      <c r="W315" s="145">
        <f t="shared" si="90"/>
        <v>3205249.7814300004</v>
      </c>
      <c r="Y315" s="157">
        <f t="shared" si="91"/>
        <v>-355081.68761811871</v>
      </c>
    </row>
    <row r="316" spans="1:25" x14ac:dyDescent="0.2">
      <c r="A316" s="26">
        <v>364</v>
      </c>
      <c r="B316" s="139"/>
      <c r="C316" s="46" t="s">
        <v>76</v>
      </c>
      <c r="D316" s="139"/>
      <c r="E316" s="20" t="s">
        <v>204</v>
      </c>
      <c r="F316" s="56"/>
      <c r="G316" s="19">
        <v>-25</v>
      </c>
      <c r="H316" s="139"/>
      <c r="I316" s="45">
        <v>287791923.14999998</v>
      </c>
      <c r="J316" s="44"/>
      <c r="K316" s="45">
        <v>133160672</v>
      </c>
      <c r="L316" s="45"/>
      <c r="M316" s="200">
        <f t="shared" si="87"/>
        <v>226579231.9375</v>
      </c>
      <c r="N316" s="45"/>
      <c r="O316" s="45">
        <f t="shared" si="88"/>
        <v>5356483.0245271875</v>
      </c>
      <c r="P316" s="139"/>
      <c r="Q316" s="116">
        <f t="shared" si="89"/>
        <v>1.86</v>
      </c>
      <c r="S316" s="117">
        <v>42.3</v>
      </c>
      <c r="T316" s="32"/>
      <c r="U316" s="116">
        <v>2.33</v>
      </c>
      <c r="W316" s="145">
        <f t="shared" si="90"/>
        <v>6705551.8093949994</v>
      </c>
      <c r="Y316" s="157">
        <f t="shared" si="91"/>
        <v>-1349068.7848678119</v>
      </c>
    </row>
    <row r="317" spans="1:25" x14ac:dyDescent="0.2">
      <c r="A317" s="26">
        <v>365</v>
      </c>
      <c r="B317" s="139"/>
      <c r="C317" s="139" t="s">
        <v>77</v>
      </c>
      <c r="D317" s="139"/>
      <c r="E317" s="20" t="s">
        <v>205</v>
      </c>
      <c r="F317" s="56"/>
      <c r="G317" s="19">
        <v>-30</v>
      </c>
      <c r="H317" s="139"/>
      <c r="I317" s="45">
        <v>276285758.81</v>
      </c>
      <c r="J317" s="44"/>
      <c r="K317" s="45">
        <v>108982197</v>
      </c>
      <c r="L317" s="45"/>
      <c r="M317" s="200">
        <f t="shared" si="87"/>
        <v>250189289.45300001</v>
      </c>
      <c r="N317" s="45"/>
      <c r="O317" s="45">
        <f t="shared" si="88"/>
        <v>6689553.1939304816</v>
      </c>
      <c r="P317" s="139"/>
      <c r="Q317" s="116">
        <f t="shared" si="89"/>
        <v>2.42</v>
      </c>
      <c r="S317" s="117">
        <v>37.4</v>
      </c>
      <c r="T317" s="32"/>
      <c r="U317" s="116">
        <v>3.23</v>
      </c>
      <c r="W317" s="145">
        <f t="shared" si="90"/>
        <v>8924030.009562999</v>
      </c>
      <c r="Y317" s="157">
        <f t="shared" si="91"/>
        <v>-2234476.8156325174</v>
      </c>
    </row>
    <row r="318" spans="1:25" x14ac:dyDescent="0.2">
      <c r="A318" s="26">
        <v>366</v>
      </c>
      <c r="B318" s="139"/>
      <c r="C318" s="59" t="s">
        <v>155</v>
      </c>
      <c r="D318" s="139"/>
      <c r="E318" s="20" t="s">
        <v>206</v>
      </c>
      <c r="F318" s="56"/>
      <c r="G318" s="19">
        <v>0</v>
      </c>
      <c r="H318" s="139"/>
      <c r="I318" s="45">
        <v>1861963.15</v>
      </c>
      <c r="J318" s="44"/>
      <c r="K318" s="45">
        <v>653383</v>
      </c>
      <c r="L318" s="45"/>
      <c r="M318" s="200">
        <f t="shared" si="87"/>
        <v>1208580.1499999999</v>
      </c>
      <c r="N318" s="45"/>
      <c r="O318" s="45">
        <f t="shared" si="88"/>
        <v>46663.326254826257</v>
      </c>
      <c r="P318" s="139"/>
      <c r="Q318" s="116">
        <f t="shared" si="89"/>
        <v>2.5099999999999998</v>
      </c>
      <c r="S318" s="117">
        <v>25.9</v>
      </c>
      <c r="T318" s="32"/>
      <c r="U318" s="116">
        <v>2.7</v>
      </c>
      <c r="W318" s="145">
        <f t="shared" si="90"/>
        <v>50273.00505</v>
      </c>
      <c r="Y318" s="157">
        <f t="shared" si="91"/>
        <v>-3609.6787951737424</v>
      </c>
    </row>
    <row r="319" spans="1:25" x14ac:dyDescent="0.2">
      <c r="A319" s="26">
        <v>367</v>
      </c>
      <c r="B319" s="139"/>
      <c r="C319" s="139" t="s">
        <v>78</v>
      </c>
      <c r="D319" s="139"/>
      <c r="E319" s="20" t="s">
        <v>207</v>
      </c>
      <c r="F319" s="56"/>
      <c r="G319" s="19">
        <v>-5</v>
      </c>
      <c r="H319" s="139"/>
      <c r="I319" s="45">
        <v>140620009.31999999</v>
      </c>
      <c r="J319" s="44"/>
      <c r="K319" s="45">
        <v>28891798</v>
      </c>
      <c r="L319" s="45"/>
      <c r="M319" s="200">
        <f t="shared" si="87"/>
        <v>118759211.78600001</v>
      </c>
      <c r="N319" s="45"/>
      <c r="O319" s="45">
        <f t="shared" si="88"/>
        <v>3150111.7184615387</v>
      </c>
      <c r="P319" s="139"/>
      <c r="Q319" s="116">
        <f t="shared" si="89"/>
        <v>2.2400000000000002</v>
      </c>
      <c r="S319" s="117">
        <v>37.700000000000003</v>
      </c>
      <c r="T319" s="32"/>
      <c r="U319" s="116">
        <v>2.37</v>
      </c>
      <c r="W319" s="145">
        <f t="shared" si="90"/>
        <v>3332694.220884</v>
      </c>
      <c r="Y319" s="157">
        <f t="shared" si="91"/>
        <v>-182582.50242246129</v>
      </c>
    </row>
    <row r="320" spans="1:25" x14ac:dyDescent="0.2">
      <c r="A320" s="26">
        <v>368</v>
      </c>
      <c r="B320" s="139"/>
      <c r="C320" s="139" t="s">
        <v>79</v>
      </c>
      <c r="D320" s="139"/>
      <c r="E320" s="20" t="s">
        <v>208</v>
      </c>
      <c r="F320" s="56"/>
      <c r="G320" s="19">
        <v>0</v>
      </c>
      <c r="H320" s="139"/>
      <c r="I320" s="45">
        <v>286070399.06</v>
      </c>
      <c r="J320" s="44"/>
      <c r="K320" s="45">
        <v>117730753</v>
      </c>
      <c r="L320" s="45"/>
      <c r="M320" s="200">
        <f t="shared" si="87"/>
        <v>168339646.06</v>
      </c>
      <c r="N320" s="45"/>
      <c r="O320" s="45">
        <f t="shared" si="88"/>
        <v>5592679.271096345</v>
      </c>
      <c r="P320" s="139"/>
      <c r="Q320" s="116">
        <f t="shared" si="89"/>
        <v>1.96</v>
      </c>
      <c r="S320" s="117">
        <v>30.1</v>
      </c>
      <c r="T320" s="32"/>
      <c r="U320" s="116">
        <v>2.4500000000000002</v>
      </c>
      <c r="W320" s="145">
        <f t="shared" si="90"/>
        <v>7008724.7769700009</v>
      </c>
      <c r="Y320" s="157">
        <f t="shared" si="91"/>
        <v>-1416045.5058736559</v>
      </c>
    </row>
    <row r="321" spans="1:25" x14ac:dyDescent="0.2">
      <c r="A321" s="26">
        <v>369</v>
      </c>
      <c r="B321" s="139"/>
      <c r="C321" s="139" t="s">
        <v>80</v>
      </c>
      <c r="D321" s="139"/>
      <c r="E321" s="20" t="s">
        <v>148</v>
      </c>
      <c r="F321" s="56"/>
      <c r="G321" s="19">
        <v>-15</v>
      </c>
      <c r="H321" s="139"/>
      <c r="I321" s="45">
        <v>89050180.390000001</v>
      </c>
      <c r="J321" s="44"/>
      <c r="K321" s="45">
        <v>57697779</v>
      </c>
      <c r="L321" s="45"/>
      <c r="M321" s="200">
        <f t="shared" si="87"/>
        <v>44709928.448499992</v>
      </c>
      <c r="N321" s="45"/>
      <c r="O321" s="45">
        <f t="shared" si="88"/>
        <v>1392832.6619470401</v>
      </c>
      <c r="P321" s="139"/>
      <c r="Q321" s="116">
        <f t="shared" si="89"/>
        <v>1.56</v>
      </c>
      <c r="S321" s="117">
        <v>32.1</v>
      </c>
      <c r="T321" s="32"/>
      <c r="U321" s="116">
        <v>2.0299999999999998</v>
      </c>
      <c r="W321" s="145">
        <f t="shared" si="90"/>
        <v>1807718.6619169998</v>
      </c>
      <c r="Y321" s="157">
        <f t="shared" si="91"/>
        <v>-414885.99996995972</v>
      </c>
    </row>
    <row r="322" spans="1:25" x14ac:dyDescent="0.2">
      <c r="A322" s="26">
        <v>370</v>
      </c>
      <c r="B322" s="139"/>
      <c r="C322" s="139" t="s">
        <v>81</v>
      </c>
      <c r="D322" s="139"/>
      <c r="E322" s="20" t="s">
        <v>209</v>
      </c>
      <c r="F322" s="56"/>
      <c r="G322" s="19">
        <v>0</v>
      </c>
      <c r="H322" s="139"/>
      <c r="I322" s="45">
        <v>70049355.340000004</v>
      </c>
      <c r="J322" s="44"/>
      <c r="K322" s="45">
        <v>32484596</v>
      </c>
      <c r="L322" s="45"/>
      <c r="M322" s="200">
        <f t="shared" si="87"/>
        <v>37564759.340000004</v>
      </c>
      <c r="N322" s="45"/>
      <c r="O322" s="45">
        <f t="shared" si="88"/>
        <v>1605331.5957264961</v>
      </c>
      <c r="P322" s="139"/>
      <c r="Q322" s="116">
        <f t="shared" si="89"/>
        <v>2.29</v>
      </c>
      <c r="S322" s="117">
        <v>23.4</v>
      </c>
      <c r="T322" s="32"/>
      <c r="U322" s="116">
        <v>2.29</v>
      </c>
      <c r="W322" s="145">
        <f t="shared" si="90"/>
        <v>1604130.2372860003</v>
      </c>
      <c r="Y322" s="157">
        <f t="shared" si="91"/>
        <v>1201.3584404957946</v>
      </c>
    </row>
    <row r="323" spans="1:25" x14ac:dyDescent="0.2">
      <c r="A323" s="26">
        <v>371</v>
      </c>
      <c r="B323" s="139"/>
      <c r="C323" s="139" t="s">
        <v>185</v>
      </c>
      <c r="D323" s="139"/>
      <c r="E323" s="20" t="s">
        <v>210</v>
      </c>
      <c r="F323" s="56"/>
      <c r="G323" s="19">
        <v>0</v>
      </c>
      <c r="H323" s="139"/>
      <c r="I323" s="45">
        <v>18253214.449999999</v>
      </c>
      <c r="J323" s="44"/>
      <c r="K323" s="45">
        <v>17404873</v>
      </c>
      <c r="L323" s="45"/>
      <c r="M323" s="200">
        <f t="shared" si="87"/>
        <v>848341.44999999925</v>
      </c>
      <c r="N323" s="45"/>
      <c r="O323" s="45">
        <f t="shared" si="88"/>
        <v>46869.693370165704</v>
      </c>
      <c r="P323" s="139"/>
      <c r="Q323" s="116">
        <f t="shared" si="89"/>
        <v>0.26</v>
      </c>
      <c r="S323" s="117">
        <v>18.100000000000001</v>
      </c>
      <c r="T323" s="32"/>
      <c r="U323" s="116">
        <v>0.81</v>
      </c>
      <c r="W323" s="145">
        <f t="shared" si="90"/>
        <v>147851.037045</v>
      </c>
      <c r="Y323" s="157">
        <f t="shared" si="91"/>
        <v>-100981.34367483429</v>
      </c>
    </row>
    <row r="324" spans="1:25" x14ac:dyDescent="0.2">
      <c r="A324" s="26">
        <v>373</v>
      </c>
      <c r="B324" s="139"/>
      <c r="C324" s="139" t="s">
        <v>82</v>
      </c>
      <c r="D324" s="139"/>
      <c r="E324" s="20" t="s">
        <v>211</v>
      </c>
      <c r="F324" s="56"/>
      <c r="G324" s="19">
        <v>-2</v>
      </c>
      <c r="H324" s="139"/>
      <c r="I324" s="90">
        <v>81534875.549999997</v>
      </c>
      <c r="J324" s="44"/>
      <c r="K324" s="45">
        <v>20703034</v>
      </c>
      <c r="L324" s="45"/>
      <c r="M324" s="200">
        <f t="shared" si="87"/>
        <v>62462539.061000004</v>
      </c>
      <c r="N324" s="45"/>
      <c r="O324" s="45">
        <f t="shared" si="88"/>
        <v>2946346.1821226417</v>
      </c>
      <c r="P324" s="139"/>
      <c r="Q324" s="116">
        <f t="shared" si="89"/>
        <v>3.61</v>
      </c>
      <c r="S324" s="117">
        <v>21.2</v>
      </c>
      <c r="T324" s="32"/>
      <c r="U324" s="116">
        <v>4</v>
      </c>
      <c r="W324" s="145">
        <f t="shared" si="90"/>
        <v>3261395.0219999999</v>
      </c>
      <c r="Y324" s="159">
        <f t="shared" si="91"/>
        <v>-315048.83987735817</v>
      </c>
    </row>
    <row r="325" spans="1:25" x14ac:dyDescent="0.2">
      <c r="A325" s="26"/>
      <c r="B325" s="139"/>
      <c r="C325" s="139"/>
      <c r="D325" s="139"/>
      <c r="E325" s="20"/>
      <c r="F325" s="56"/>
      <c r="G325" s="19"/>
      <c r="H325" s="139"/>
      <c r="I325" s="45"/>
      <c r="J325" s="139"/>
      <c r="K325" s="49"/>
      <c r="L325" s="34"/>
      <c r="M325" s="49"/>
      <c r="N325" s="34"/>
      <c r="O325" s="49"/>
      <c r="P325" s="139"/>
      <c r="Q325" s="26"/>
      <c r="R325" s="139"/>
      <c r="S325" s="62"/>
      <c r="T325" s="32"/>
      <c r="U325" s="26"/>
    </row>
    <row r="326" spans="1:25" ht="15.75" x14ac:dyDescent="0.25">
      <c r="A326" s="26"/>
      <c r="B326" s="139"/>
      <c r="C326" s="50" t="s">
        <v>45</v>
      </c>
      <c r="D326" s="139"/>
      <c r="E326" s="20"/>
      <c r="F326" s="56"/>
      <c r="G326" s="19"/>
      <c r="H326" s="30"/>
      <c r="I326" s="102">
        <f>SUM(I313:I325)</f>
        <v>1402415431.5</v>
      </c>
      <c r="J326" s="30"/>
      <c r="K326" s="102">
        <f>SUM(K313:K325)</f>
        <v>561155788</v>
      </c>
      <c r="L326" s="31"/>
      <c r="M326" s="102">
        <f>SUM(M313:M325)</f>
        <v>1033764277.6740001</v>
      </c>
      <c r="N326" s="31"/>
      <c r="O326" s="102">
        <f>SUM(O313:O325)</f>
        <v>29842176.67903702</v>
      </c>
      <c r="P326" s="30"/>
      <c r="Q326" s="137">
        <f>+ROUND(O326/I326*100,2)</f>
        <v>2.13</v>
      </c>
      <c r="R326" s="139"/>
      <c r="S326" s="62"/>
      <c r="T326" s="32"/>
      <c r="U326" s="242">
        <f>W326/I326</f>
        <v>2.5821600292639101E-2</v>
      </c>
      <c r="W326" s="102">
        <f>SUM(W313:W325)</f>
        <v>36212610.716421992</v>
      </c>
      <c r="Y326" s="102">
        <f>SUM(Y313:Y325)</f>
        <v>-6370434.0373849832</v>
      </c>
    </row>
    <row r="327" spans="1:25" ht="15.75" x14ac:dyDescent="0.25">
      <c r="A327" s="26"/>
      <c r="B327" s="139"/>
      <c r="C327" s="50"/>
      <c r="D327" s="139"/>
      <c r="E327" s="20"/>
      <c r="F327" s="56"/>
      <c r="G327" s="19"/>
      <c r="H327" s="30"/>
      <c r="I327" s="45"/>
      <c r="J327" s="30"/>
      <c r="K327" s="31"/>
      <c r="L327" s="31"/>
      <c r="M327" s="31"/>
      <c r="N327" s="31"/>
      <c r="O327" s="31"/>
      <c r="P327" s="30"/>
      <c r="Q327" s="26"/>
      <c r="R327" s="139"/>
      <c r="S327" s="62"/>
      <c r="T327" s="32"/>
      <c r="U327" s="26"/>
    </row>
    <row r="328" spans="1:25" x14ac:dyDescent="0.2">
      <c r="A328" s="26"/>
      <c r="B328" s="139"/>
      <c r="C328" s="139"/>
      <c r="D328" s="139"/>
      <c r="E328" s="48"/>
      <c r="F328" s="56"/>
      <c r="G328" s="19"/>
      <c r="H328" s="139"/>
      <c r="I328" s="45"/>
      <c r="J328" s="139"/>
      <c r="K328" s="34"/>
      <c r="L328" s="34"/>
      <c r="M328" s="34"/>
      <c r="N328" s="34"/>
      <c r="O328" s="34"/>
      <c r="P328" s="139"/>
      <c r="Q328" s="26"/>
      <c r="R328" s="139"/>
      <c r="S328" s="62"/>
      <c r="T328" s="32"/>
      <c r="U328" s="26"/>
    </row>
    <row r="329" spans="1:25" ht="15.75" x14ac:dyDescent="0.25">
      <c r="A329" s="26"/>
      <c r="B329" s="139"/>
      <c r="C329" s="53" t="s">
        <v>46</v>
      </c>
      <c r="D329" s="139"/>
      <c r="E329" s="48"/>
      <c r="F329" s="56"/>
      <c r="G329" s="19"/>
      <c r="H329" s="139"/>
      <c r="I329" s="45"/>
      <c r="J329" s="139"/>
      <c r="K329" s="34"/>
      <c r="L329" s="34"/>
      <c r="M329" s="34"/>
      <c r="N329" s="34"/>
      <c r="O329" s="34"/>
      <c r="P329" s="139"/>
      <c r="Q329" s="26"/>
      <c r="R329" s="139"/>
      <c r="S329" s="62"/>
      <c r="T329" s="32"/>
      <c r="U329" s="26"/>
    </row>
    <row r="330" spans="1:25" ht="15.75" x14ac:dyDescent="0.25">
      <c r="A330" s="26"/>
      <c r="B330" s="139"/>
      <c r="C330" s="43"/>
      <c r="D330" s="139"/>
      <c r="E330" s="48"/>
      <c r="F330" s="56"/>
      <c r="G330" s="19"/>
      <c r="H330" s="139"/>
      <c r="I330" s="45"/>
      <c r="J330" s="139"/>
      <c r="K330" s="34"/>
      <c r="L330" s="34"/>
      <c r="M330" s="34"/>
      <c r="N330" s="34"/>
      <c r="O330" s="34"/>
      <c r="P330" s="139"/>
      <c r="Q330" s="26"/>
      <c r="R330" s="139"/>
      <c r="S330" s="62"/>
      <c r="T330" s="32"/>
      <c r="U330" s="26"/>
    </row>
    <row r="331" spans="1:25" x14ac:dyDescent="0.2">
      <c r="A331" s="26">
        <v>390.1</v>
      </c>
      <c r="B331" s="139"/>
      <c r="C331" s="57" t="s">
        <v>129</v>
      </c>
      <c r="D331" s="139"/>
      <c r="E331" s="20" t="s">
        <v>212</v>
      </c>
      <c r="F331" s="56"/>
      <c r="G331" s="19">
        <v>-2</v>
      </c>
      <c r="H331" s="139"/>
      <c r="I331" s="45">
        <v>47011269.520000003</v>
      </c>
      <c r="J331" s="44"/>
      <c r="K331" s="45">
        <v>9650596</v>
      </c>
      <c r="L331" s="45"/>
      <c r="M331" s="200">
        <f t="shared" ref="M331:M343" si="92">+((1-(G331/100))*I331)-K331</f>
        <v>38300898.910400003</v>
      </c>
      <c r="N331" s="45"/>
      <c r="O331" s="45">
        <f t="shared" ref="O331:O342" si="93">M331/S331</f>
        <v>860694.35753707867</v>
      </c>
      <c r="P331" s="139"/>
      <c r="Q331" s="116">
        <f t="shared" ref="Q331:Q342" si="94">IF(O331/I331*100=0,"-     ",ROUND(O331/I331*100,2))</f>
        <v>1.83</v>
      </c>
      <c r="S331" s="117">
        <v>44.5</v>
      </c>
      <c r="T331" s="32"/>
      <c r="U331" s="116">
        <v>2.0099999999999998</v>
      </c>
      <c r="W331" s="145">
        <f t="shared" ref="W331:W342" si="95">(I331/100)*U331</f>
        <v>944926.51735199988</v>
      </c>
      <c r="Y331" s="157">
        <f t="shared" ref="Y331:Y343" si="96">O331-W331</f>
        <v>-84232.159814921208</v>
      </c>
    </row>
    <row r="332" spans="1:25" x14ac:dyDescent="0.2">
      <c r="A332" s="26">
        <v>390.2</v>
      </c>
      <c r="B332" s="139"/>
      <c r="C332" s="57" t="s">
        <v>184</v>
      </c>
      <c r="D332" s="139"/>
      <c r="E332" s="20" t="s">
        <v>149</v>
      </c>
      <c r="F332" s="56"/>
      <c r="G332" s="19">
        <v>0</v>
      </c>
      <c r="H332" s="139"/>
      <c r="I332" s="45">
        <v>531973.43999999994</v>
      </c>
      <c r="J332" s="44"/>
      <c r="K332" s="45">
        <v>413480</v>
      </c>
      <c r="L332" s="45"/>
      <c r="M332" s="200">
        <f t="shared" si="92"/>
        <v>118493.43999999994</v>
      </c>
      <c r="N332" s="45"/>
      <c r="O332" s="45">
        <f t="shared" si="93"/>
        <v>6302.8425531914863</v>
      </c>
      <c r="P332" s="139"/>
      <c r="Q332" s="116">
        <f t="shared" si="94"/>
        <v>1.18</v>
      </c>
      <c r="S332" s="117">
        <v>18.8</v>
      </c>
      <c r="T332" s="32"/>
      <c r="U332" s="116">
        <v>1.72</v>
      </c>
      <c r="W332" s="145">
        <f t="shared" si="95"/>
        <v>9149.943167999998</v>
      </c>
      <c r="Y332" s="157">
        <f t="shared" si="96"/>
        <v>-2847.1006148085116</v>
      </c>
    </row>
    <row r="333" spans="1:25" x14ac:dyDescent="0.2">
      <c r="A333" s="26">
        <v>391.1</v>
      </c>
      <c r="B333" s="139"/>
      <c r="C333" s="92" t="s">
        <v>83</v>
      </c>
      <c r="D333" s="139"/>
      <c r="E333" s="20" t="s">
        <v>150</v>
      </c>
      <c r="F333" s="56"/>
      <c r="G333" s="19">
        <v>0</v>
      </c>
      <c r="H333" s="139"/>
      <c r="I333" s="45">
        <v>7513787.5599999996</v>
      </c>
      <c r="J333" s="44"/>
      <c r="K333" s="45">
        <v>4161871</v>
      </c>
      <c r="L333" s="45"/>
      <c r="M333" s="200">
        <f t="shared" si="92"/>
        <v>3351916.5599999996</v>
      </c>
      <c r="N333" s="45"/>
      <c r="O333" s="45">
        <f t="shared" si="93"/>
        <v>335191.65599999996</v>
      </c>
      <c r="P333" s="139"/>
      <c r="Q333" s="116">
        <f t="shared" si="94"/>
        <v>4.46</v>
      </c>
      <c r="S333" s="117">
        <v>10</v>
      </c>
      <c r="T333" s="32"/>
      <c r="U333" s="116">
        <v>4.46</v>
      </c>
      <c r="W333" s="145">
        <f t="shared" si="95"/>
        <v>335114.92517599999</v>
      </c>
      <c r="Y333" s="157">
        <f t="shared" si="96"/>
        <v>76.730823999969289</v>
      </c>
    </row>
    <row r="334" spans="1:25" x14ac:dyDescent="0.2">
      <c r="A334" s="26">
        <v>391.2</v>
      </c>
      <c r="B334" s="139"/>
      <c r="C334" s="92" t="s">
        <v>84</v>
      </c>
      <c r="D334" s="139"/>
      <c r="E334" s="20" t="s">
        <v>153</v>
      </c>
      <c r="F334" s="56"/>
      <c r="G334" s="19">
        <v>0</v>
      </c>
      <c r="H334" s="139"/>
      <c r="I334" s="45">
        <v>17256012.350000001</v>
      </c>
      <c r="J334" s="44"/>
      <c r="K334" s="45">
        <v>6803953</v>
      </c>
      <c r="L334" s="45"/>
      <c r="M334" s="200">
        <f t="shared" si="92"/>
        <v>10452059.350000001</v>
      </c>
      <c r="N334" s="45"/>
      <c r="O334" s="45">
        <f t="shared" si="93"/>
        <v>3732878.339285715</v>
      </c>
      <c r="P334" s="139"/>
      <c r="Q334" s="116">
        <f t="shared" si="94"/>
        <v>21.63</v>
      </c>
      <c r="S334" s="117">
        <v>2.8</v>
      </c>
      <c r="T334" s="32"/>
      <c r="U334" s="116">
        <v>21.58</v>
      </c>
      <c r="W334" s="145">
        <f t="shared" si="95"/>
        <v>3723847.4651299999</v>
      </c>
      <c r="Y334" s="157">
        <f t="shared" si="96"/>
        <v>9030.8741557151079</v>
      </c>
    </row>
    <row r="335" spans="1:25" x14ac:dyDescent="0.2">
      <c r="A335" s="26">
        <v>391.31</v>
      </c>
      <c r="B335" s="139"/>
      <c r="C335" s="57" t="s">
        <v>128</v>
      </c>
      <c r="D335" s="139"/>
      <c r="E335" s="20" t="s">
        <v>213</v>
      </c>
      <c r="F335" s="56"/>
      <c r="G335" s="19">
        <v>0</v>
      </c>
      <c r="H335" s="139"/>
      <c r="I335" s="45">
        <v>6398371.6500000004</v>
      </c>
      <c r="J335" s="44"/>
      <c r="K335" s="45">
        <v>4572023</v>
      </c>
      <c r="L335" s="45"/>
      <c r="M335" s="200">
        <f t="shared" si="92"/>
        <v>1826348.6500000004</v>
      </c>
      <c r="N335" s="45"/>
      <c r="O335" s="45">
        <f t="shared" si="93"/>
        <v>570733.95312500012</v>
      </c>
      <c r="P335" s="139"/>
      <c r="Q335" s="116">
        <f t="shared" si="94"/>
        <v>8.92</v>
      </c>
      <c r="S335" s="117">
        <v>3.2</v>
      </c>
      <c r="T335" s="32"/>
      <c r="U335" s="116">
        <v>8.93</v>
      </c>
      <c r="W335" s="145">
        <f t="shared" si="95"/>
        <v>571374.58834500005</v>
      </c>
      <c r="Y335" s="157">
        <f t="shared" si="96"/>
        <v>-640.63521999993827</v>
      </c>
    </row>
    <row r="336" spans="1:25" x14ac:dyDescent="0.2">
      <c r="A336" s="26">
        <v>392.1</v>
      </c>
      <c r="B336" s="139"/>
      <c r="C336" s="59" t="s">
        <v>164</v>
      </c>
      <c r="D336" s="139"/>
      <c r="E336" s="20" t="s">
        <v>214</v>
      </c>
      <c r="F336" s="56"/>
      <c r="G336" s="19">
        <v>0</v>
      </c>
      <c r="H336" s="139"/>
      <c r="I336" s="45">
        <v>1865090.97</v>
      </c>
      <c r="J336" s="44"/>
      <c r="K336" s="45">
        <v>1578423</v>
      </c>
      <c r="L336" s="45"/>
      <c r="M336" s="200">
        <f t="shared" si="92"/>
        <v>286667.96999999997</v>
      </c>
      <c r="N336" s="45"/>
      <c r="O336" s="45">
        <f t="shared" si="93"/>
        <v>45502.852380952376</v>
      </c>
      <c r="P336" s="139"/>
      <c r="Q336" s="116">
        <f t="shared" si="94"/>
        <v>2.44</v>
      </c>
      <c r="S336" s="117">
        <v>6.3</v>
      </c>
      <c r="T336" s="32"/>
      <c r="U336" s="116">
        <v>2.44</v>
      </c>
      <c r="W336" s="145">
        <f t="shared" si="95"/>
        <v>45508.219667999998</v>
      </c>
      <c r="Y336" s="157">
        <f t="shared" si="96"/>
        <v>-5.3672870476220851</v>
      </c>
    </row>
    <row r="337" spans="1:25" x14ac:dyDescent="0.2">
      <c r="A337" s="26">
        <v>392.3</v>
      </c>
      <c r="B337" s="139"/>
      <c r="C337" s="59" t="s">
        <v>165</v>
      </c>
      <c r="D337" s="139"/>
      <c r="E337" s="20" t="s">
        <v>215</v>
      </c>
      <c r="F337" s="56"/>
      <c r="G337" s="19">
        <v>0</v>
      </c>
      <c r="H337" s="139"/>
      <c r="I337" s="45">
        <v>14101987.630000001</v>
      </c>
      <c r="J337" s="44"/>
      <c r="K337" s="45">
        <v>13160795</v>
      </c>
      <c r="L337" s="45"/>
      <c r="M337" s="200">
        <f t="shared" si="92"/>
        <v>941192.63000000082</v>
      </c>
      <c r="N337" s="45"/>
      <c r="O337" s="45">
        <f t="shared" si="93"/>
        <v>76519.726016260218</v>
      </c>
      <c r="P337" s="139"/>
      <c r="Q337" s="116">
        <f t="shared" si="94"/>
        <v>0.54</v>
      </c>
      <c r="S337" s="117">
        <v>12.3</v>
      </c>
      <c r="T337" s="32"/>
      <c r="U337" s="116">
        <v>0.54</v>
      </c>
      <c r="W337" s="145">
        <f t="shared" si="95"/>
        <v>76150.733202000003</v>
      </c>
      <c r="Y337" s="157">
        <f t="shared" si="96"/>
        <v>368.9928142602148</v>
      </c>
    </row>
    <row r="338" spans="1:25" x14ac:dyDescent="0.2">
      <c r="A338" s="26">
        <v>393</v>
      </c>
      <c r="B338" s="139"/>
      <c r="C338" s="46" t="s">
        <v>85</v>
      </c>
      <c r="D338" s="139"/>
      <c r="E338" s="20" t="s">
        <v>151</v>
      </c>
      <c r="F338" s="56"/>
      <c r="G338" s="19">
        <v>0</v>
      </c>
      <c r="H338" s="139"/>
      <c r="I338" s="45">
        <v>551794.27</v>
      </c>
      <c r="J338" s="44"/>
      <c r="K338" s="45">
        <v>164539</v>
      </c>
      <c r="L338" s="45"/>
      <c r="M338" s="200">
        <f t="shared" si="92"/>
        <v>387255.27</v>
      </c>
      <c r="N338" s="45"/>
      <c r="O338" s="45">
        <f t="shared" si="93"/>
        <v>27860.091366906476</v>
      </c>
      <c r="P338" s="139"/>
      <c r="Q338" s="116">
        <f t="shared" si="94"/>
        <v>5.05</v>
      </c>
      <c r="S338" s="117">
        <v>13.9</v>
      </c>
      <c r="T338" s="32"/>
      <c r="U338" s="116">
        <v>5.07</v>
      </c>
      <c r="W338" s="145">
        <f t="shared" si="95"/>
        <v>27975.969489000003</v>
      </c>
      <c r="Y338" s="157">
        <f t="shared" si="96"/>
        <v>-115.87812209352705</v>
      </c>
    </row>
    <row r="339" spans="1:25" x14ac:dyDescent="0.2">
      <c r="A339" s="26">
        <v>394</v>
      </c>
      <c r="B339" s="139"/>
      <c r="C339" s="93" t="s">
        <v>86</v>
      </c>
      <c r="D339" s="139"/>
      <c r="E339" s="20" t="s">
        <v>151</v>
      </c>
      <c r="F339" s="56"/>
      <c r="G339" s="19">
        <v>0</v>
      </c>
      <c r="H339" s="139"/>
      <c r="I339" s="45">
        <v>7648755.4400000004</v>
      </c>
      <c r="J339" s="44"/>
      <c r="K339" s="45">
        <v>1767311</v>
      </c>
      <c r="L339" s="45"/>
      <c r="M339" s="200">
        <f t="shared" si="92"/>
        <v>5881444.4400000004</v>
      </c>
      <c r="N339" s="45"/>
      <c r="O339" s="45">
        <f t="shared" si="93"/>
        <v>326746.91333333333</v>
      </c>
      <c r="P339" s="139"/>
      <c r="Q339" s="116">
        <f t="shared" si="94"/>
        <v>4.2699999999999996</v>
      </c>
      <c r="S339" s="117">
        <v>18</v>
      </c>
      <c r="T339" s="32"/>
      <c r="U339" s="116">
        <v>4.2699999999999996</v>
      </c>
      <c r="W339" s="145">
        <f t="shared" si="95"/>
        <v>326601.857288</v>
      </c>
      <c r="Y339" s="157">
        <f t="shared" si="96"/>
        <v>145.05604533333099</v>
      </c>
    </row>
    <row r="340" spans="1:25" x14ac:dyDescent="0.2">
      <c r="A340" s="26">
        <v>396.3</v>
      </c>
      <c r="B340" s="139"/>
      <c r="C340" s="57" t="s">
        <v>166</v>
      </c>
      <c r="D340" s="139"/>
      <c r="E340" s="20" t="s">
        <v>216</v>
      </c>
      <c r="F340" s="56"/>
      <c r="G340" s="19">
        <v>0</v>
      </c>
      <c r="H340" s="139"/>
      <c r="I340" s="45">
        <v>1174225.44</v>
      </c>
      <c r="J340" s="44"/>
      <c r="K340" s="45">
        <v>139927</v>
      </c>
      <c r="L340" s="45"/>
      <c r="M340" s="200">
        <f t="shared" si="92"/>
        <v>1034298.44</v>
      </c>
      <c r="N340" s="45"/>
      <c r="O340" s="45">
        <f t="shared" si="93"/>
        <v>104474.58989898989</v>
      </c>
      <c r="P340" s="139"/>
      <c r="Q340" s="116">
        <f t="shared" si="94"/>
        <v>8.9</v>
      </c>
      <c r="S340" s="117">
        <v>9.9</v>
      </c>
      <c r="T340" s="32"/>
      <c r="U340" s="116">
        <v>8.89</v>
      </c>
      <c r="W340" s="145">
        <f t="shared" si="95"/>
        <v>104388.64161600001</v>
      </c>
      <c r="Y340" s="157">
        <f t="shared" si="96"/>
        <v>85.948282989877043</v>
      </c>
    </row>
    <row r="341" spans="1:25" x14ac:dyDescent="0.2">
      <c r="A341" s="26">
        <v>397.1</v>
      </c>
      <c r="B341" s="139"/>
      <c r="C341" s="63" t="s">
        <v>167</v>
      </c>
      <c r="D341" s="139"/>
      <c r="E341" s="20" t="s">
        <v>152</v>
      </c>
      <c r="F341" s="56"/>
      <c r="G341" s="19">
        <v>0</v>
      </c>
      <c r="H341" s="139"/>
      <c r="I341" s="45">
        <v>10171295.9</v>
      </c>
      <c r="J341" s="44"/>
      <c r="K341" s="45">
        <v>5248935</v>
      </c>
      <c r="L341" s="45"/>
      <c r="M341" s="200">
        <f t="shared" si="92"/>
        <v>4922360.9000000004</v>
      </c>
      <c r="N341" s="45"/>
      <c r="O341" s="45">
        <f t="shared" si="93"/>
        <v>579101.28235294123</v>
      </c>
      <c r="P341" s="139"/>
      <c r="Q341" s="116">
        <f t="shared" si="94"/>
        <v>5.69</v>
      </c>
      <c r="S341" s="117">
        <v>8.5</v>
      </c>
      <c r="T341" s="32"/>
      <c r="U341" s="116">
        <v>5.7</v>
      </c>
      <c r="W341" s="145">
        <f t="shared" si="95"/>
        <v>579763.86629999999</v>
      </c>
      <c r="Y341" s="157">
        <f t="shared" si="96"/>
        <v>-662.58394705876708</v>
      </c>
    </row>
    <row r="342" spans="1:25" x14ac:dyDescent="0.2">
      <c r="A342" s="26">
        <v>397.2</v>
      </c>
      <c r="B342" s="139"/>
      <c r="C342" s="63" t="s">
        <v>168</v>
      </c>
      <c r="D342" s="139"/>
      <c r="E342" s="20" t="s">
        <v>217</v>
      </c>
      <c r="F342" s="56"/>
      <c r="G342" s="19">
        <v>0</v>
      </c>
      <c r="H342" s="139"/>
      <c r="I342" s="45">
        <v>19915035.899999999</v>
      </c>
      <c r="J342" s="44"/>
      <c r="K342" s="45">
        <v>5655027</v>
      </c>
      <c r="L342" s="45"/>
      <c r="M342" s="200">
        <f t="shared" si="92"/>
        <v>14260008.899999999</v>
      </c>
      <c r="N342" s="45"/>
      <c r="O342" s="45">
        <f t="shared" si="93"/>
        <v>746597.32460732968</v>
      </c>
      <c r="P342" s="139"/>
      <c r="Q342" s="116">
        <f t="shared" si="94"/>
        <v>3.75</v>
      </c>
      <c r="S342" s="117">
        <v>19.100000000000001</v>
      </c>
      <c r="T342" s="32"/>
      <c r="U342" s="116">
        <v>3.75</v>
      </c>
      <c r="W342" s="145">
        <f t="shared" si="95"/>
        <v>746813.84624999994</v>
      </c>
      <c r="Y342" s="157">
        <f t="shared" si="96"/>
        <v>-216.52164267026819</v>
      </c>
    </row>
    <row r="343" spans="1:25" x14ac:dyDescent="0.2">
      <c r="A343" s="26">
        <v>397.3</v>
      </c>
      <c r="B343" s="139"/>
      <c r="C343" s="63" t="s">
        <v>169</v>
      </c>
      <c r="D343" s="139"/>
      <c r="E343" s="20" t="s">
        <v>159</v>
      </c>
      <c r="F343" s="56"/>
      <c r="G343" s="19">
        <v>0</v>
      </c>
      <c r="H343" s="139"/>
      <c r="I343" s="90">
        <v>786233.2</v>
      </c>
      <c r="J343" s="44"/>
      <c r="K343" s="45">
        <v>786233</v>
      </c>
      <c r="L343" s="45"/>
      <c r="M343" s="200">
        <f t="shared" si="92"/>
        <v>0.19999999995343387</v>
      </c>
      <c r="N343" s="45"/>
      <c r="O343" s="45">
        <v>0</v>
      </c>
      <c r="P343" s="139"/>
      <c r="Q343" s="116" t="str">
        <f>IF(O343/I343*100=0,"-     ",O343/I343*100)</f>
        <v xml:space="preserve">-     </v>
      </c>
      <c r="S343" s="117" t="s">
        <v>297</v>
      </c>
      <c r="T343" s="32"/>
      <c r="U343" s="116" t="s">
        <v>297</v>
      </c>
      <c r="W343" s="145">
        <v>0</v>
      </c>
      <c r="Y343" s="159">
        <f t="shared" si="96"/>
        <v>0</v>
      </c>
    </row>
    <row r="344" spans="1:25" x14ac:dyDescent="0.2">
      <c r="A344" s="26"/>
      <c r="B344" s="139"/>
      <c r="C344" s="139"/>
      <c r="D344" s="139"/>
      <c r="E344" s="20"/>
      <c r="F344" s="56"/>
      <c r="G344" s="253"/>
      <c r="H344" s="139"/>
      <c r="I344" s="45"/>
      <c r="J344" s="139"/>
      <c r="K344" s="49"/>
      <c r="L344" s="34"/>
      <c r="M344" s="49"/>
      <c r="N344" s="34"/>
      <c r="O344" s="49"/>
      <c r="P344" s="139"/>
      <c r="Q344" s="26"/>
      <c r="R344" s="139"/>
      <c r="S344" s="62"/>
      <c r="T344" s="32"/>
      <c r="U344" s="26"/>
    </row>
    <row r="345" spans="1:25" ht="15.75" x14ac:dyDescent="0.25">
      <c r="A345" s="32"/>
      <c r="B345" s="139"/>
      <c r="C345" s="50" t="s">
        <v>47</v>
      </c>
      <c r="D345" s="139"/>
      <c r="E345" s="48"/>
      <c r="F345" s="56"/>
      <c r="G345" s="253"/>
      <c r="H345" s="139"/>
      <c r="I345" s="239">
        <f>SUM(I331:I343)</f>
        <v>134925833.26999998</v>
      </c>
      <c r="J345" s="30"/>
      <c r="K345" s="218">
        <f>SUM(K331:K343)</f>
        <v>54103113</v>
      </c>
      <c r="L345" s="31"/>
      <c r="M345" s="218">
        <f>SUM(M331:M343)</f>
        <v>81762945.660400018</v>
      </c>
      <c r="N345" s="31"/>
      <c r="O345" s="218">
        <f>SUM(O331:O343)</f>
        <v>7412603.9284576969</v>
      </c>
      <c r="P345" s="30"/>
      <c r="Q345" s="137">
        <f>+ROUND(O345/I345*100,2)</f>
        <v>5.49</v>
      </c>
      <c r="R345" s="139"/>
      <c r="S345" s="113"/>
      <c r="T345" s="32"/>
      <c r="U345" s="242">
        <f>W345/I345</f>
        <v>5.552396002619106E-2</v>
      </c>
      <c r="W345" s="218">
        <f>SUM(W331:W343)</f>
        <v>7491616.5729839988</v>
      </c>
      <c r="Y345" s="218">
        <f>SUM(Y331:Y343)</f>
        <v>-79012.644526301359</v>
      </c>
    </row>
    <row r="346" spans="1:25" ht="15.75" x14ac:dyDescent="0.25">
      <c r="A346" s="32"/>
      <c r="B346" s="139"/>
      <c r="C346" s="30"/>
      <c r="D346" s="139"/>
      <c r="E346" s="48"/>
      <c r="F346" s="56"/>
      <c r="G346" s="253"/>
      <c r="H346" s="139"/>
      <c r="I346" s="102"/>
      <c r="J346" s="30"/>
      <c r="K346" s="31"/>
      <c r="L346" s="31"/>
      <c r="M346" s="31"/>
      <c r="N346" s="31"/>
      <c r="O346" s="31"/>
      <c r="P346" s="30"/>
      <c r="Q346" s="26"/>
      <c r="R346" s="139"/>
      <c r="S346" s="113"/>
      <c r="T346" s="32"/>
      <c r="U346" s="26"/>
      <c r="Y346" s="154"/>
    </row>
    <row r="347" spans="1:25" ht="16.5" thickBot="1" x14ac:dyDescent="0.3">
      <c r="A347" s="32"/>
      <c r="B347" s="139"/>
      <c r="C347" s="50" t="s">
        <v>55</v>
      </c>
      <c r="D347" s="139"/>
      <c r="E347" s="48"/>
      <c r="F347" s="56"/>
      <c r="G347" s="253"/>
      <c r="H347" s="139"/>
      <c r="I347" s="97">
        <f>SUM(I345,I326,I308,I292,I168,I129,I20)</f>
        <v>6365236955.6800013</v>
      </c>
      <c r="J347" s="30"/>
      <c r="K347" s="97">
        <f>SUM(K345,K326,K308,K292,K168,K129,K20)</f>
        <v>2412555355</v>
      </c>
      <c r="L347" s="31"/>
      <c r="M347" s="97">
        <f>SUM(M345,M326,M308,M292,M168,M129,M20)</f>
        <v>4319465375.0609856</v>
      </c>
      <c r="N347" s="31"/>
      <c r="O347" s="97">
        <f>SUM(O345,O326,O308,O292,O168,O129,O20)</f>
        <v>164104052.67271402</v>
      </c>
      <c r="P347" s="30"/>
      <c r="Q347" s="137">
        <f>+ROUND(O347/I347*100,2)</f>
        <v>2.58</v>
      </c>
      <c r="R347" s="139"/>
      <c r="S347" s="113"/>
      <c r="T347" s="32"/>
      <c r="U347" s="242">
        <f>W347/I347</f>
        <v>2.9745434643760258E-2</v>
      </c>
      <c r="W347" s="97">
        <f>SUM(W345,W326,W308,W292,W168,W129,W20)</f>
        <v>189336739.857227</v>
      </c>
      <c r="Y347" s="97">
        <f>SUM(Y345,Y326,Y308,Y292,Y168,Y129,Y20)</f>
        <v>-25232687.184512958</v>
      </c>
    </row>
    <row r="348" spans="1:25" ht="16.5" thickTop="1" x14ac:dyDescent="0.25">
      <c r="A348" s="32"/>
      <c r="B348" s="139"/>
      <c r="C348" s="50"/>
      <c r="D348" s="139"/>
      <c r="E348" s="48"/>
      <c r="F348" s="56"/>
      <c r="G348" s="253"/>
      <c r="H348" s="139"/>
      <c r="I348" s="99"/>
      <c r="J348" s="30"/>
      <c r="K348" s="99"/>
      <c r="L348" s="31"/>
      <c r="M348" s="99"/>
      <c r="N348" s="31"/>
      <c r="O348" s="99"/>
      <c r="P348" s="30"/>
      <c r="Q348" s="26"/>
      <c r="R348" s="139"/>
      <c r="S348" s="113"/>
      <c r="T348" s="32"/>
      <c r="U348" s="242"/>
    </row>
    <row r="349" spans="1:25" ht="15.75" x14ac:dyDescent="0.25">
      <c r="A349" s="32"/>
      <c r="B349" s="139"/>
      <c r="C349" s="50"/>
      <c r="D349" s="139"/>
      <c r="E349" s="48"/>
      <c r="F349" s="56"/>
      <c r="G349" s="253"/>
      <c r="H349" s="139"/>
      <c r="I349" s="45"/>
      <c r="J349" s="30"/>
      <c r="K349" s="31"/>
      <c r="L349" s="31"/>
      <c r="M349" s="31"/>
      <c r="N349" s="31"/>
      <c r="O349" s="31"/>
      <c r="P349" s="30"/>
      <c r="Q349" s="26"/>
      <c r="R349" s="139"/>
      <c r="S349" s="113"/>
      <c r="T349" s="32"/>
      <c r="W349" s="142"/>
      <c r="X349" s="141"/>
      <c r="Y349" s="155"/>
    </row>
    <row r="350" spans="1:25" ht="15.75" x14ac:dyDescent="0.25">
      <c r="A350" s="32"/>
      <c r="B350" s="139"/>
      <c r="C350" s="53" t="s">
        <v>49</v>
      </c>
      <c r="D350" s="139"/>
      <c r="E350" s="48"/>
      <c r="F350" s="56"/>
      <c r="G350" s="253"/>
      <c r="H350" s="139"/>
      <c r="I350" s="45"/>
      <c r="J350" s="100"/>
      <c r="K350" s="34"/>
      <c r="L350" s="34"/>
      <c r="M350" s="34"/>
      <c r="N350" s="34"/>
      <c r="O350" s="34"/>
      <c r="P350" s="100"/>
      <c r="Q350" s="100"/>
      <c r="R350" s="139"/>
      <c r="S350" s="139"/>
      <c r="T350" s="32"/>
      <c r="W350" s="143"/>
      <c r="X350" s="137"/>
      <c r="Y350" s="155"/>
    </row>
    <row r="351" spans="1:25" ht="15.75" x14ac:dyDescent="0.25">
      <c r="A351" s="32"/>
      <c r="B351" s="139"/>
      <c r="C351" s="139"/>
      <c r="D351" s="139"/>
      <c r="E351" s="48"/>
      <c r="F351" s="56"/>
      <c r="G351" s="253"/>
      <c r="H351" s="139"/>
      <c r="I351" s="45"/>
      <c r="J351" s="100"/>
      <c r="K351" s="34"/>
      <c r="L351" s="34"/>
      <c r="M351" s="34"/>
      <c r="N351" s="34"/>
      <c r="O351" s="34"/>
      <c r="P351" s="100"/>
      <c r="Q351" s="100"/>
      <c r="R351" s="139"/>
      <c r="S351" s="139"/>
      <c r="T351" s="32"/>
      <c r="W351" s="143"/>
      <c r="X351" s="137"/>
      <c r="Y351" s="155"/>
    </row>
    <row r="352" spans="1:25" x14ac:dyDescent="0.2">
      <c r="A352" s="26">
        <v>301</v>
      </c>
      <c r="B352" s="139"/>
      <c r="C352" s="139" t="s">
        <v>87</v>
      </c>
      <c r="D352" s="139"/>
      <c r="E352" s="48"/>
      <c r="F352" s="56"/>
      <c r="G352" s="253"/>
      <c r="H352" s="139"/>
      <c r="I352" s="45">
        <v>44455.58</v>
      </c>
      <c r="J352" s="100"/>
      <c r="K352" s="34"/>
      <c r="L352" s="34"/>
      <c r="M352" s="34"/>
      <c r="N352" s="34"/>
      <c r="O352" s="34"/>
      <c r="P352" s="100"/>
      <c r="Q352" s="100"/>
      <c r="R352" s="139"/>
      <c r="S352" s="139"/>
      <c r="T352" s="32"/>
    </row>
    <row r="353" spans="1:25" x14ac:dyDescent="0.2">
      <c r="A353" s="26">
        <v>310.2</v>
      </c>
      <c r="B353" s="139"/>
      <c r="C353" s="139" t="s">
        <v>51</v>
      </c>
      <c r="D353" s="139"/>
      <c r="E353" s="48"/>
      <c r="F353" s="56"/>
      <c r="G353" s="253"/>
      <c r="H353" s="139"/>
      <c r="I353" s="45">
        <v>10881103.859999999</v>
      </c>
      <c r="J353" s="100"/>
      <c r="K353" s="34"/>
      <c r="L353" s="34"/>
      <c r="M353" s="34"/>
      <c r="N353" s="34"/>
      <c r="O353" s="34"/>
      <c r="P353" s="100"/>
      <c r="Q353" s="100"/>
      <c r="R353" s="139"/>
      <c r="S353" s="139"/>
      <c r="T353" s="32"/>
    </row>
    <row r="354" spans="1:25" x14ac:dyDescent="0.2">
      <c r="A354" s="26">
        <v>340.2</v>
      </c>
      <c r="B354" s="139"/>
      <c r="C354" s="139" t="s">
        <v>51</v>
      </c>
      <c r="D354" s="139"/>
      <c r="E354" s="48"/>
      <c r="F354" s="56"/>
      <c r="G354" s="253"/>
      <c r="H354" s="139"/>
      <c r="I354" s="45">
        <v>118514.41</v>
      </c>
      <c r="J354" s="100"/>
      <c r="K354" s="34"/>
      <c r="L354" s="34"/>
      <c r="M354" s="34"/>
      <c r="N354" s="34"/>
      <c r="O354" s="34"/>
      <c r="P354" s="100"/>
      <c r="Q354" s="100"/>
      <c r="R354" s="139"/>
      <c r="S354" s="139"/>
      <c r="T354" s="32"/>
    </row>
    <row r="355" spans="1:25" x14ac:dyDescent="0.2">
      <c r="A355" s="26">
        <v>350.2</v>
      </c>
      <c r="B355" s="139"/>
      <c r="C355" s="139" t="s">
        <v>51</v>
      </c>
      <c r="D355" s="139"/>
      <c r="E355" s="48"/>
      <c r="F355" s="56"/>
      <c r="G355" s="253"/>
      <c r="H355" s="139"/>
      <c r="I355" s="45">
        <v>2199383.04</v>
      </c>
      <c r="J355" s="100"/>
      <c r="K355" s="34"/>
      <c r="L355" s="34"/>
      <c r="M355" s="34"/>
      <c r="N355" s="34"/>
      <c r="O355" s="34"/>
      <c r="P355" s="100"/>
      <c r="Q355" s="100"/>
      <c r="R355" s="139"/>
      <c r="S355" s="139"/>
      <c r="T355" s="32"/>
    </row>
    <row r="356" spans="1:25" x14ac:dyDescent="0.2">
      <c r="A356" s="26">
        <v>360.2</v>
      </c>
      <c r="B356" s="139"/>
      <c r="C356" s="139" t="s">
        <v>52</v>
      </c>
      <c r="D356" s="139"/>
      <c r="E356" s="48"/>
      <c r="F356" s="56"/>
      <c r="G356" s="253"/>
      <c r="H356" s="139"/>
      <c r="I356" s="45">
        <v>3271807.48</v>
      </c>
      <c r="J356" s="100"/>
      <c r="K356" s="34"/>
      <c r="L356" s="34"/>
      <c r="M356" s="34"/>
      <c r="N356" s="34"/>
      <c r="O356" s="34"/>
      <c r="P356" s="100"/>
      <c r="Q356" s="100"/>
      <c r="R356" s="139"/>
      <c r="S356" s="139"/>
      <c r="T356" s="32"/>
    </row>
    <row r="357" spans="1:25" x14ac:dyDescent="0.2">
      <c r="A357" s="26">
        <v>389.2</v>
      </c>
      <c r="B357" s="139"/>
      <c r="C357" s="139" t="s">
        <v>52</v>
      </c>
      <c r="D357" s="139"/>
      <c r="E357" s="48"/>
      <c r="F357" s="56"/>
      <c r="G357" s="253"/>
      <c r="H357" s="139"/>
      <c r="I357" s="90">
        <v>2567847.4</v>
      </c>
      <c r="J357" s="100"/>
      <c r="K357" s="41"/>
      <c r="L357" s="34"/>
      <c r="M357" s="34"/>
      <c r="N357" s="34"/>
      <c r="O357" s="34"/>
      <c r="P357" s="100"/>
      <c r="Q357" s="100"/>
      <c r="R357" s="139"/>
      <c r="S357" s="139"/>
      <c r="T357" s="32"/>
    </row>
    <row r="358" spans="1:25" x14ac:dyDescent="0.2">
      <c r="A358" s="26"/>
      <c r="B358" s="139"/>
      <c r="C358" s="139"/>
      <c r="D358" s="139"/>
      <c r="E358" s="48"/>
      <c r="F358" s="56"/>
      <c r="G358" s="253"/>
      <c r="H358" s="139"/>
      <c r="I358" s="45"/>
      <c r="J358" s="100"/>
      <c r="K358" s="41"/>
      <c r="L358" s="34"/>
      <c r="M358" s="34"/>
      <c r="N358" s="34"/>
      <c r="O358" s="34"/>
      <c r="P358" s="100"/>
      <c r="Q358" s="100"/>
      <c r="R358" s="139"/>
      <c r="S358" s="139"/>
      <c r="T358" s="32"/>
    </row>
    <row r="359" spans="1:25" ht="15.75" x14ac:dyDescent="0.25">
      <c r="A359" s="32"/>
      <c r="B359" s="139"/>
      <c r="C359" s="50" t="s">
        <v>53</v>
      </c>
      <c r="D359" s="139"/>
      <c r="E359" s="56"/>
      <c r="F359" s="56"/>
      <c r="G359" s="253"/>
      <c r="H359" s="139"/>
      <c r="I359" s="239">
        <f>+SUBTOTAL(9,I352:I358)</f>
        <v>19083111.77</v>
      </c>
      <c r="J359" s="101"/>
      <c r="K359" s="102"/>
      <c r="L359" s="31"/>
      <c r="M359" s="31"/>
      <c r="N359" s="31"/>
      <c r="O359" s="31"/>
      <c r="P359" s="101"/>
      <c r="Q359" s="100"/>
      <c r="R359" s="139"/>
      <c r="S359" s="139"/>
      <c r="T359" s="32"/>
      <c r="U359" s="25"/>
      <c r="W359" s="161"/>
      <c r="X359" s="25"/>
      <c r="Y359" s="162"/>
    </row>
    <row r="360" spans="1:25" s="25" customFormat="1" x14ac:dyDescent="0.2">
      <c r="A360" s="54"/>
      <c r="B360" s="72"/>
      <c r="C360" s="28"/>
      <c r="D360" s="72"/>
      <c r="E360" s="105"/>
      <c r="F360" s="105"/>
      <c r="G360" s="256"/>
      <c r="H360" s="72"/>
      <c r="I360" s="104"/>
      <c r="J360" s="103"/>
      <c r="K360" s="104"/>
      <c r="L360" s="75"/>
      <c r="M360" s="75"/>
      <c r="N360" s="75"/>
      <c r="O360" s="75"/>
      <c r="P360" s="103"/>
      <c r="Q360" s="106"/>
      <c r="R360" s="72"/>
      <c r="S360" s="72"/>
      <c r="T360" s="54"/>
      <c r="U360" s="135"/>
      <c r="W360" s="145"/>
      <c r="X360" s="135"/>
      <c r="Y360" s="144"/>
    </row>
    <row r="361" spans="1:25" ht="16.5" thickBot="1" x14ac:dyDescent="0.3">
      <c r="A361" s="32"/>
      <c r="B361" s="139"/>
      <c r="C361" s="50" t="s">
        <v>48</v>
      </c>
      <c r="D361" s="139"/>
      <c r="E361" s="56"/>
      <c r="F361" s="56"/>
      <c r="G361" s="253"/>
      <c r="H361" s="139"/>
      <c r="I361" s="102">
        <f>+SUBTOTAL(9,I16:I360)</f>
        <v>23229938983.300014</v>
      </c>
      <c r="J361" s="101"/>
      <c r="K361" s="102">
        <f>+SUBTOTAL(9,K16:K360)</f>
        <v>8682628765</v>
      </c>
      <c r="L361" s="31"/>
      <c r="M361" s="102">
        <f>+SUBTOTAL(9,M16:M360)</f>
        <v>15708704209.173548</v>
      </c>
      <c r="N361" s="31"/>
      <c r="O361" s="102">
        <f>+SUBTOTAL(9,O16:O360)</f>
        <v>603170568.22823</v>
      </c>
      <c r="P361" s="101"/>
      <c r="Q361" s="100"/>
      <c r="R361" s="139"/>
      <c r="S361" s="139"/>
      <c r="T361" s="32"/>
    </row>
    <row r="362" spans="1:25" ht="16.5" thickTop="1" x14ac:dyDescent="0.25">
      <c r="A362" s="32"/>
      <c r="B362" s="139"/>
      <c r="C362" s="50"/>
      <c r="D362" s="139"/>
      <c r="E362" s="56"/>
      <c r="F362" s="56"/>
      <c r="G362" s="253"/>
      <c r="H362" s="139"/>
      <c r="I362" s="107"/>
      <c r="J362" s="101"/>
      <c r="K362" s="108"/>
      <c r="L362" s="31"/>
      <c r="M362" s="108"/>
      <c r="N362" s="31"/>
      <c r="O362" s="108"/>
      <c r="P362" s="101"/>
      <c r="Q362" s="100"/>
      <c r="R362" s="139"/>
      <c r="S362" s="139"/>
      <c r="T362" s="32"/>
    </row>
    <row r="363" spans="1:25" ht="15.75" x14ac:dyDescent="0.25">
      <c r="A363" s="32"/>
      <c r="B363" s="139"/>
      <c r="C363" s="50"/>
      <c r="D363" s="139"/>
      <c r="E363" s="56"/>
      <c r="F363" s="56"/>
      <c r="G363" s="253"/>
      <c r="H363" s="139"/>
      <c r="I363" s="109"/>
      <c r="J363" s="101"/>
      <c r="K363" s="31"/>
      <c r="L363" s="31"/>
      <c r="M363" s="31"/>
      <c r="N363" s="31"/>
      <c r="O363" s="31"/>
      <c r="P363" s="101"/>
      <c r="Q363" s="100"/>
      <c r="R363" s="139"/>
      <c r="S363" s="139"/>
      <c r="T363" s="32"/>
    </row>
    <row r="364" spans="1:25" ht="15.75" x14ac:dyDescent="0.25">
      <c r="B364" s="67" t="s">
        <v>54</v>
      </c>
      <c r="C364" s="50"/>
      <c r="D364" s="139"/>
      <c r="E364" s="56"/>
      <c r="F364" s="56"/>
      <c r="G364" s="253"/>
      <c r="H364" s="139"/>
      <c r="I364" s="110"/>
      <c r="J364" s="101"/>
      <c r="K364" s="110"/>
      <c r="L364" s="31"/>
      <c r="M364" s="31"/>
      <c r="N364" s="31"/>
      <c r="O364" s="31"/>
      <c r="P364" s="101"/>
      <c r="Q364" s="100"/>
      <c r="R364" s="139"/>
      <c r="S364" s="139"/>
      <c r="T364" s="32"/>
    </row>
    <row r="365" spans="1:25" x14ac:dyDescent="0.2">
      <c r="B365" s="32"/>
      <c r="C365" s="139"/>
      <c r="D365" s="139"/>
      <c r="E365" s="56"/>
      <c r="F365" s="56"/>
      <c r="G365" s="253"/>
      <c r="H365" s="139"/>
      <c r="I365" s="26"/>
      <c r="J365" s="100"/>
      <c r="K365" s="34"/>
      <c r="L365" s="34"/>
      <c r="M365" s="34"/>
      <c r="N365" s="34"/>
      <c r="O365" s="34"/>
      <c r="P365" s="100"/>
      <c r="Q365" s="100"/>
      <c r="R365" s="139"/>
      <c r="S365" s="139"/>
      <c r="T365" s="32"/>
    </row>
    <row r="369" spans="7:7" s="135" customFormat="1" x14ac:dyDescent="0.2">
      <c r="G369" s="130"/>
    </row>
    <row r="370" spans="7:7" s="135" customFormat="1" x14ac:dyDescent="0.2">
      <c r="G370" s="130"/>
    </row>
    <row r="371" spans="7:7" s="135" customFormat="1" x14ac:dyDescent="0.2">
      <c r="G371" s="130"/>
    </row>
    <row r="372" spans="7:7" s="135" customFormat="1" x14ac:dyDescent="0.2">
      <c r="G372" s="130"/>
    </row>
    <row r="373" spans="7:7" s="135" customFormat="1" x14ac:dyDescent="0.2">
      <c r="G373" s="130"/>
    </row>
    <row r="374" spans="7:7" s="135" customFormat="1" x14ac:dyDescent="0.2">
      <c r="G374" s="130"/>
    </row>
    <row r="375" spans="7:7" s="135" customFormat="1" x14ac:dyDescent="0.2">
      <c r="G375" s="130"/>
    </row>
    <row r="376" spans="7:7" s="135" customFormat="1" x14ac:dyDescent="0.2">
      <c r="G376" s="130"/>
    </row>
    <row r="377" spans="7:7" s="135" customFormat="1" x14ac:dyDescent="0.2">
      <c r="G377" s="130"/>
    </row>
    <row r="378" spans="7:7" s="135" customFormat="1" x14ac:dyDescent="0.2">
      <c r="G378" s="130"/>
    </row>
    <row r="379" spans="7:7" s="135" customFormat="1" x14ac:dyDescent="0.2">
      <c r="G379" s="130"/>
    </row>
    <row r="380" spans="7:7" s="135" customFormat="1" x14ac:dyDescent="0.2">
      <c r="G380" s="130"/>
    </row>
    <row r="381" spans="7:7" s="135" customFormat="1" x14ac:dyDescent="0.2">
      <c r="G381" s="130"/>
    </row>
    <row r="382" spans="7:7" s="135" customFormat="1" x14ac:dyDescent="0.2">
      <c r="G382" s="130"/>
    </row>
    <row r="383" spans="7:7" s="135" customFormat="1" x14ac:dyDescent="0.2">
      <c r="G383" s="130"/>
    </row>
    <row r="384" spans="7:7" s="135" customFormat="1" x14ac:dyDescent="0.2">
      <c r="G384" s="130"/>
    </row>
    <row r="385" spans="7:7" s="135" customFormat="1" x14ac:dyDescent="0.2">
      <c r="G385" s="130"/>
    </row>
  </sheetData>
  <mergeCells count="3">
    <mergeCell ref="A3:S3"/>
    <mergeCell ref="O7:Q7"/>
    <mergeCell ref="U7:W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opLeftCell="D1" workbookViewId="0">
      <selection activeCell="E22" sqref="E22"/>
    </sheetView>
  </sheetViews>
  <sheetFormatPr defaultRowHeight="15" x14ac:dyDescent="0.2"/>
  <cols>
    <col min="1" max="1" width="3.44140625" customWidth="1"/>
    <col min="2" max="2" width="2.33203125" customWidth="1"/>
    <col min="3" max="3" width="11" bestFit="1" customWidth="1"/>
    <col min="5" max="5" width="52.88671875" bestFit="1" customWidth="1"/>
    <col min="7" max="7" width="11.77734375" bestFit="1" customWidth="1"/>
    <col min="8" max="8" width="1.33203125" customWidth="1"/>
    <col min="9" max="9" width="18.88671875" bestFit="1" customWidth="1"/>
  </cols>
  <sheetData>
    <row r="1" spans="1:26" s="135" customFormat="1" ht="15.75" thickBot="1" x14ac:dyDescent="0.25">
      <c r="A1" s="9"/>
      <c r="B1" s="9"/>
      <c r="C1" s="9"/>
      <c r="D1" s="9"/>
      <c r="E1" s="244"/>
      <c r="F1" s="244"/>
      <c r="G1" s="23"/>
      <c r="H1" s="9"/>
      <c r="I1" s="9"/>
      <c r="J1" s="9"/>
      <c r="K1" s="14"/>
      <c r="L1" s="14"/>
      <c r="M1" s="14"/>
      <c r="N1" s="14"/>
      <c r="O1" s="14"/>
      <c r="P1" s="9"/>
      <c r="Q1" s="9"/>
      <c r="R1" s="9"/>
      <c r="S1" s="9"/>
      <c r="T1" s="9"/>
      <c r="W1" s="145"/>
      <c r="Y1" s="144"/>
    </row>
    <row r="2" spans="1:26" s="135" customFormat="1" ht="15.75" x14ac:dyDescent="0.25">
      <c r="A2" s="300" t="s">
        <v>131</v>
      </c>
      <c r="B2" s="301"/>
      <c r="C2" s="301"/>
      <c r="D2" s="301"/>
      <c r="E2" s="301"/>
      <c r="F2" s="301"/>
      <c r="G2" s="301"/>
      <c r="H2" s="301"/>
      <c r="I2" s="30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140"/>
    </row>
    <row r="3" spans="1:26" s="135" customFormat="1" ht="15.75" x14ac:dyDescent="0.25">
      <c r="A3" s="303" t="s">
        <v>227</v>
      </c>
      <c r="B3" s="313"/>
      <c r="C3" s="313"/>
      <c r="D3" s="313"/>
      <c r="E3" s="313"/>
      <c r="F3" s="313"/>
      <c r="G3" s="313"/>
      <c r="H3" s="313"/>
      <c r="I3" s="314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40"/>
    </row>
    <row r="4" spans="1:26" s="135" customFormat="1" ht="15.75" x14ac:dyDescent="0.25">
      <c r="A4" s="303" t="s">
        <v>302</v>
      </c>
      <c r="B4" s="313"/>
      <c r="C4" s="313"/>
      <c r="D4" s="313"/>
      <c r="E4" s="313"/>
      <c r="F4" s="313"/>
      <c r="G4" s="313"/>
      <c r="H4" s="313"/>
      <c r="I4" s="314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40"/>
    </row>
    <row r="5" spans="1:26" s="135" customFormat="1" ht="16.5" thickBot="1" x14ac:dyDescent="0.3">
      <c r="A5" s="307" t="s">
        <v>161</v>
      </c>
      <c r="B5" s="308"/>
      <c r="C5" s="308"/>
      <c r="D5" s="308"/>
      <c r="E5" s="308"/>
      <c r="F5" s="308"/>
      <c r="G5" s="308"/>
      <c r="H5" s="308"/>
      <c r="I5" s="309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140"/>
    </row>
    <row r="7" spans="1:26" ht="15.75" thickBot="1" x14ac:dyDescent="0.25"/>
    <row r="8" spans="1:26" ht="15.75" thickBot="1" x14ac:dyDescent="0.25">
      <c r="G8" s="269" t="s">
        <v>310</v>
      </c>
      <c r="I8" s="267"/>
    </row>
    <row r="9" spans="1:26" ht="15.75" thickBot="1" x14ac:dyDescent="0.25">
      <c r="C9" s="271" t="s">
        <v>305</v>
      </c>
      <c r="E9" s="271" t="s">
        <v>303</v>
      </c>
      <c r="G9" s="270" t="s">
        <v>304</v>
      </c>
      <c r="I9" s="268" t="s">
        <v>311</v>
      </c>
    </row>
    <row r="11" spans="1:26" x14ac:dyDescent="0.2">
      <c r="C11">
        <v>1</v>
      </c>
      <c r="E11" s="138" t="s">
        <v>306</v>
      </c>
      <c r="G11" s="16">
        <f>+'Adj. 1 Spanos no terminal NS'!Z293</f>
        <v>-14496776.823050382</v>
      </c>
      <c r="I11" s="16">
        <f>+G11</f>
        <v>-14496776.823050382</v>
      </c>
    </row>
    <row r="13" spans="1:26" x14ac:dyDescent="0.2">
      <c r="C13">
        <v>2</v>
      </c>
      <c r="E13" s="138" t="s">
        <v>309</v>
      </c>
      <c r="G13" s="16">
        <f>+'Adjustment 2 SK Inter Rets'!Z293</f>
        <v>-16106116.786950046</v>
      </c>
      <c r="I13" s="16">
        <f>+G13-G11</f>
        <v>-1609339.9638996646</v>
      </c>
    </row>
    <row r="15" spans="1:26" x14ac:dyDescent="0.2">
      <c r="C15">
        <v>3</v>
      </c>
      <c r="E15" s="138" t="s">
        <v>307</v>
      </c>
      <c r="G15" s="16">
        <f>'SK Rates comp to Spanos'!Z293</f>
        <v>-22922100.152045943</v>
      </c>
      <c r="I15" s="16">
        <f>+G15-G13</f>
        <v>-6815983.3650958966</v>
      </c>
    </row>
    <row r="17" spans="3:9" x14ac:dyDescent="0.2">
      <c r="C17">
        <v>4</v>
      </c>
      <c r="E17" s="138" t="s">
        <v>312</v>
      </c>
      <c r="G17" s="198">
        <f>'SK Rates comp to Spanos'!Y347</f>
        <v>-41548642.629751399</v>
      </c>
      <c r="I17" s="16">
        <f>+G17-G15</f>
        <v>-18626542.477705456</v>
      </c>
    </row>
    <row r="19" spans="3:9" x14ac:dyDescent="0.2">
      <c r="I19" s="16">
        <f>SUM(I11:I18)</f>
        <v>-41548642.629751399</v>
      </c>
    </row>
  </sheetData>
  <mergeCells count="4">
    <mergeCell ref="A2:I2"/>
    <mergeCell ref="A3:I3"/>
    <mergeCell ref="A4:I4"/>
    <mergeCell ref="A5:I5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28"/>
  <sheetViews>
    <sheetView topLeftCell="G22" zoomScale="70" zoomScaleNormal="70" workbookViewId="0">
      <selection activeCell="O52" sqref="O52"/>
    </sheetView>
  </sheetViews>
  <sheetFormatPr defaultRowHeight="15" x14ac:dyDescent="0.2"/>
  <cols>
    <col min="2" max="2" width="1.21875" customWidth="1"/>
    <col min="4" max="4" width="35.77734375" customWidth="1"/>
    <col min="5" max="5" width="13.77734375" customWidth="1"/>
    <col min="6" max="6" width="0.77734375" customWidth="1"/>
    <col min="8" max="8" width="0.77734375" customWidth="1"/>
    <col min="9" max="9" width="14.6640625" customWidth="1"/>
    <col min="10" max="10" width="0.77734375" customWidth="1"/>
    <col min="11" max="11" width="14.6640625" customWidth="1"/>
    <col min="12" max="12" width="0.77734375" customWidth="1"/>
    <col min="14" max="14" width="0.77734375" customWidth="1"/>
    <col min="15" max="15" width="14.6640625" customWidth="1"/>
    <col min="16" max="16" width="0.77734375" customWidth="1"/>
    <col min="17" max="17" width="14.6640625" customWidth="1"/>
    <col min="18" max="18" width="0.77734375" customWidth="1"/>
    <col min="19" max="19" width="14.6640625" customWidth="1"/>
    <col min="20" max="20" width="0.77734375" customWidth="1"/>
    <col min="21" max="21" width="14.5546875" customWidth="1"/>
    <col min="22" max="22" width="0.77734375" customWidth="1"/>
    <col min="23" max="23" width="22" customWidth="1"/>
    <col min="24" max="24" width="2" customWidth="1"/>
    <col min="25" max="25" width="18.77734375" customWidth="1"/>
  </cols>
  <sheetData>
    <row r="2" spans="1:25" x14ac:dyDescent="0.2">
      <c r="A2" t="s">
        <v>131</v>
      </c>
    </row>
    <row r="4" spans="1:25" x14ac:dyDescent="0.2">
      <c r="A4" t="s">
        <v>232</v>
      </c>
    </row>
    <row r="6" spans="1:25" x14ac:dyDescent="0.2">
      <c r="U6" t="s">
        <v>301</v>
      </c>
    </row>
    <row r="7" spans="1:25" x14ac:dyDescent="0.2">
      <c r="E7" s="315" t="s">
        <v>233</v>
      </c>
      <c r="F7" s="315"/>
      <c r="G7" s="315"/>
      <c r="H7" s="315"/>
      <c r="I7" s="315"/>
      <c r="K7" s="315" t="s">
        <v>234</v>
      </c>
      <c r="L7" s="315"/>
      <c r="M7" s="315"/>
      <c r="N7" s="315"/>
      <c r="O7" s="315"/>
      <c r="Q7" s="315" t="s">
        <v>235</v>
      </c>
      <c r="R7" s="315"/>
      <c r="S7" s="315"/>
      <c r="U7" s="22" t="s">
        <v>236</v>
      </c>
    </row>
    <row r="8" spans="1:25" ht="30" x14ac:dyDescent="0.2">
      <c r="E8" s="193" t="s">
        <v>237</v>
      </c>
      <c r="F8" s="22"/>
      <c r="G8" s="193" t="s">
        <v>238</v>
      </c>
      <c r="H8" s="22"/>
      <c r="I8" s="193" t="s">
        <v>238</v>
      </c>
      <c r="J8" s="22"/>
      <c r="K8" s="193" t="s">
        <v>237</v>
      </c>
      <c r="L8" s="22"/>
      <c r="M8" s="193" t="s">
        <v>238</v>
      </c>
      <c r="N8" s="22"/>
      <c r="O8" s="193" t="s">
        <v>238</v>
      </c>
      <c r="P8" s="22"/>
      <c r="Q8" s="193" t="s">
        <v>238</v>
      </c>
      <c r="R8" s="22"/>
      <c r="S8" s="193" t="s">
        <v>235</v>
      </c>
      <c r="T8" s="22"/>
      <c r="U8" s="193" t="s">
        <v>238</v>
      </c>
    </row>
    <row r="9" spans="1:25" x14ac:dyDescent="0.2">
      <c r="A9" s="22" t="s">
        <v>239</v>
      </c>
      <c r="E9" s="22" t="s">
        <v>240</v>
      </c>
      <c r="F9" s="22"/>
      <c r="G9" s="22" t="s">
        <v>241</v>
      </c>
      <c r="H9" s="22"/>
      <c r="I9" s="22" t="s">
        <v>240</v>
      </c>
      <c r="J9" s="22"/>
      <c r="K9" s="22" t="s">
        <v>240</v>
      </c>
      <c r="L9" s="22"/>
      <c r="M9" s="22" t="s">
        <v>241</v>
      </c>
      <c r="N9" s="22"/>
      <c r="O9" s="22" t="s">
        <v>240</v>
      </c>
      <c r="P9" s="22"/>
      <c r="Q9" s="22" t="s">
        <v>240</v>
      </c>
      <c r="R9" s="22"/>
      <c r="S9" s="22" t="s">
        <v>237</v>
      </c>
      <c r="T9" s="22"/>
      <c r="U9" s="22" t="s">
        <v>241</v>
      </c>
    </row>
    <row r="10" spans="1:25" x14ac:dyDescent="0.2">
      <c r="A10" s="23">
        <v>-1</v>
      </c>
      <c r="E10" s="23">
        <v>-2</v>
      </c>
      <c r="F10" s="22"/>
      <c r="G10" s="23">
        <v>-3</v>
      </c>
      <c r="H10" s="22"/>
      <c r="I10" s="22" t="s">
        <v>242</v>
      </c>
      <c r="J10" s="22"/>
      <c r="K10" s="23">
        <v>-5</v>
      </c>
      <c r="L10" s="22"/>
      <c r="M10" s="23">
        <v>-6</v>
      </c>
      <c r="N10" s="22"/>
      <c r="O10" s="22" t="s">
        <v>243</v>
      </c>
      <c r="P10" s="22"/>
      <c r="Q10" s="22" t="s">
        <v>244</v>
      </c>
      <c r="R10" s="22"/>
      <c r="S10" s="22" t="s">
        <v>245</v>
      </c>
      <c r="T10" s="22"/>
      <c r="U10" s="22" t="s">
        <v>246</v>
      </c>
    </row>
    <row r="11" spans="1:25" x14ac:dyDescent="0.2">
      <c r="Q11" s="22"/>
    </row>
    <row r="12" spans="1:25" x14ac:dyDescent="0.2">
      <c r="A12" s="194" t="s">
        <v>247</v>
      </c>
    </row>
    <row r="14" spans="1:25" x14ac:dyDescent="0.2">
      <c r="B14" t="s">
        <v>248</v>
      </c>
    </row>
    <row r="15" spans="1:25" x14ac:dyDescent="0.2">
      <c r="A15">
        <v>311</v>
      </c>
      <c r="C15" t="s">
        <v>35</v>
      </c>
      <c r="E15" s="145">
        <v>68849852</v>
      </c>
      <c r="G15" s="233">
        <v>0</v>
      </c>
      <c r="I15" s="145">
        <f>E15*G15</f>
        <v>0</v>
      </c>
      <c r="K15" s="145">
        <v>3042333</v>
      </c>
      <c r="M15" s="233">
        <v>-0.25</v>
      </c>
      <c r="O15" s="145">
        <f>K15*M15</f>
        <v>-760583.25</v>
      </c>
      <c r="Q15" s="145">
        <f>I15+O15</f>
        <v>-760583.25</v>
      </c>
      <c r="S15" s="145">
        <f>E15+K15</f>
        <v>71892185</v>
      </c>
      <c r="U15" s="233">
        <f>U$20</f>
        <v>-0.02</v>
      </c>
      <c r="W15" s="245"/>
      <c r="Y15" s="233"/>
    </row>
    <row r="16" spans="1:25" x14ac:dyDescent="0.2">
      <c r="A16">
        <v>312</v>
      </c>
      <c r="C16" t="s">
        <v>249</v>
      </c>
      <c r="E16" s="145">
        <v>509778912</v>
      </c>
      <c r="G16" s="233">
        <v>0</v>
      </c>
      <c r="I16" s="145">
        <f t="shared" ref="I16:I19" si="0">E16*G16</f>
        <v>0</v>
      </c>
      <c r="K16" s="145">
        <v>43833934</v>
      </c>
      <c r="M16" s="233">
        <v>-0.3</v>
      </c>
      <c r="O16" s="145">
        <f t="shared" ref="O16:O18" si="1">K16*M16</f>
        <v>-13150180.199999999</v>
      </c>
      <c r="Q16" s="145">
        <f t="shared" ref="Q16:Q19" si="2">I16+O16</f>
        <v>-13150180.199999999</v>
      </c>
      <c r="S16" s="145">
        <f t="shared" ref="S16:S19" si="3">E16+K16</f>
        <v>553612846</v>
      </c>
      <c r="U16" s="233">
        <f t="shared" ref="U16:U19" si="4">U$20</f>
        <v>-0.02</v>
      </c>
      <c r="W16" s="245"/>
      <c r="Y16" s="233"/>
    </row>
    <row r="17" spans="1:25" x14ac:dyDescent="0.2">
      <c r="A17">
        <v>314</v>
      </c>
      <c r="C17" t="s">
        <v>250</v>
      </c>
      <c r="E17" s="145">
        <v>34988354</v>
      </c>
      <c r="G17" s="233">
        <v>0</v>
      </c>
      <c r="I17" s="145">
        <f t="shared" si="0"/>
        <v>0</v>
      </c>
      <c r="K17" s="145">
        <v>14117591</v>
      </c>
      <c r="M17" s="233">
        <v>-0.15</v>
      </c>
      <c r="O17" s="145">
        <f t="shared" si="1"/>
        <v>-2117638.65</v>
      </c>
      <c r="Q17" s="145">
        <f t="shared" si="2"/>
        <v>-2117638.65</v>
      </c>
      <c r="S17" s="145">
        <f t="shared" si="3"/>
        <v>49105945</v>
      </c>
      <c r="U17" s="233">
        <f t="shared" si="4"/>
        <v>-0.02</v>
      </c>
      <c r="W17" s="245"/>
      <c r="Y17" s="233"/>
    </row>
    <row r="18" spans="1:25" x14ac:dyDescent="0.2">
      <c r="A18">
        <v>315</v>
      </c>
      <c r="C18" t="s">
        <v>60</v>
      </c>
      <c r="E18" s="145">
        <v>41743969</v>
      </c>
      <c r="G18" s="233">
        <v>0</v>
      </c>
      <c r="I18" s="145">
        <f t="shared" si="0"/>
        <v>0</v>
      </c>
      <c r="K18" s="145">
        <v>2382005</v>
      </c>
      <c r="M18" s="233">
        <v>-0.2</v>
      </c>
      <c r="O18" s="145">
        <f t="shared" si="1"/>
        <v>-476401</v>
      </c>
      <c r="Q18" s="145">
        <f t="shared" si="2"/>
        <v>-476401</v>
      </c>
      <c r="S18" s="145">
        <f t="shared" si="3"/>
        <v>44125974</v>
      </c>
      <c r="U18" s="233">
        <f t="shared" si="4"/>
        <v>-0.02</v>
      </c>
      <c r="W18" s="245"/>
      <c r="Y18" s="233"/>
    </row>
    <row r="19" spans="1:25" x14ac:dyDescent="0.2">
      <c r="A19">
        <v>316</v>
      </c>
      <c r="C19" t="s">
        <v>69</v>
      </c>
      <c r="E19" s="145">
        <v>4844375</v>
      </c>
      <c r="G19" s="233">
        <v>0</v>
      </c>
      <c r="I19" s="145">
        <f t="shared" si="0"/>
        <v>0</v>
      </c>
      <c r="K19" s="145">
        <v>765310</v>
      </c>
      <c r="M19" s="233">
        <v>0</v>
      </c>
      <c r="O19">
        <v>0</v>
      </c>
      <c r="Q19" s="145">
        <f t="shared" si="2"/>
        <v>0</v>
      </c>
      <c r="S19" s="145">
        <f t="shared" si="3"/>
        <v>5609685</v>
      </c>
      <c r="U19" s="233">
        <f t="shared" si="4"/>
        <v>-0.02</v>
      </c>
      <c r="W19" s="245"/>
      <c r="Y19" s="233"/>
    </row>
    <row r="20" spans="1:25" x14ac:dyDescent="0.2">
      <c r="B20" t="s">
        <v>252</v>
      </c>
      <c r="E20" s="145">
        <f>SUM(E15:E19)</f>
        <v>660205462</v>
      </c>
      <c r="G20" s="233"/>
      <c r="I20" s="145">
        <f>SUM(I15:I19)</f>
        <v>0</v>
      </c>
      <c r="K20" s="145">
        <f>SUM(K15:K19)</f>
        <v>64141173</v>
      </c>
      <c r="M20" s="233"/>
      <c r="O20" s="145">
        <f>SUM(O15:O19)</f>
        <v>-16504803.1</v>
      </c>
      <c r="Q20" s="145">
        <f>SUM(Q15:Q19)</f>
        <v>-16504803.1</v>
      </c>
      <c r="S20" s="145">
        <f>SUM(S15:S19)</f>
        <v>724346635</v>
      </c>
      <c r="U20" s="233">
        <f t="shared" ref="U20" si="5">ROUND(Q20/S20, 2)</f>
        <v>-0.02</v>
      </c>
      <c r="W20" s="245"/>
      <c r="Y20" s="233"/>
    </row>
    <row r="21" spans="1:25" x14ac:dyDescent="0.2">
      <c r="G21" s="233"/>
      <c r="M21" s="233"/>
    </row>
    <row r="22" spans="1:25" x14ac:dyDescent="0.2">
      <c r="B22" t="s">
        <v>253</v>
      </c>
      <c r="G22" s="233"/>
      <c r="M22" s="233"/>
    </row>
    <row r="23" spans="1:25" x14ac:dyDescent="0.2">
      <c r="A23">
        <v>311</v>
      </c>
      <c r="C23" t="s">
        <v>35</v>
      </c>
      <c r="E23" s="145">
        <v>120501240</v>
      </c>
      <c r="G23" s="233">
        <v>0</v>
      </c>
      <c r="I23" s="145">
        <f t="shared" ref="I23:I27" si="6">E23*G23</f>
        <v>0</v>
      </c>
      <c r="K23" s="145">
        <v>11852267</v>
      </c>
      <c r="M23" s="233">
        <v>-0.25</v>
      </c>
      <c r="O23" s="145">
        <f t="shared" ref="O23:O26" si="7">K23*M23</f>
        <v>-2963066.75</v>
      </c>
      <c r="Q23" s="145">
        <f>I23+O23</f>
        <v>-2963066.75</v>
      </c>
      <c r="S23" s="145">
        <f t="shared" ref="S23:S27" si="8">E23+K23</f>
        <v>132353507</v>
      </c>
      <c r="U23" s="233">
        <f>U$28</f>
        <v>-0.03</v>
      </c>
      <c r="W23" s="245"/>
    </row>
    <row r="24" spans="1:25" x14ac:dyDescent="0.2">
      <c r="A24">
        <v>312</v>
      </c>
      <c r="C24" t="s">
        <v>249</v>
      </c>
      <c r="E24" s="145">
        <v>1321271054</v>
      </c>
      <c r="G24" s="233">
        <v>0</v>
      </c>
      <c r="I24" s="145">
        <f t="shared" si="6"/>
        <v>0</v>
      </c>
      <c r="K24" s="145">
        <v>171355455</v>
      </c>
      <c r="M24" s="233">
        <v>-0.3</v>
      </c>
      <c r="O24" s="145">
        <f t="shared" si="7"/>
        <v>-51406636.5</v>
      </c>
      <c r="Q24" s="145">
        <f t="shared" ref="Q24:Q27" si="9">I24+O24</f>
        <v>-51406636.5</v>
      </c>
      <c r="S24" s="145">
        <f t="shared" si="8"/>
        <v>1492626509</v>
      </c>
      <c r="U24" s="233">
        <f t="shared" ref="U24:U27" si="10">U$28</f>
        <v>-0.03</v>
      </c>
      <c r="W24" s="245"/>
    </row>
    <row r="25" spans="1:25" x14ac:dyDescent="0.2">
      <c r="A25">
        <v>314</v>
      </c>
      <c r="C25" t="s">
        <v>250</v>
      </c>
      <c r="E25" s="145">
        <v>111677673</v>
      </c>
      <c r="G25" s="233">
        <v>0</v>
      </c>
      <c r="I25" s="145">
        <f t="shared" si="6"/>
        <v>0</v>
      </c>
      <c r="K25" s="145">
        <v>55059770</v>
      </c>
      <c r="M25" s="233">
        <v>-0.15</v>
      </c>
      <c r="O25" s="145">
        <f t="shared" si="7"/>
        <v>-8258965.5</v>
      </c>
      <c r="Q25" s="145">
        <f t="shared" si="9"/>
        <v>-8258965.5</v>
      </c>
      <c r="S25" s="145">
        <f t="shared" si="8"/>
        <v>166737443</v>
      </c>
      <c r="U25" s="233">
        <f t="shared" si="10"/>
        <v>-0.03</v>
      </c>
      <c r="W25" s="245"/>
    </row>
    <row r="26" spans="1:25" x14ac:dyDescent="0.2">
      <c r="A26">
        <v>315</v>
      </c>
      <c r="C26" t="s">
        <v>60</v>
      </c>
      <c r="E26" s="145">
        <v>94779021</v>
      </c>
      <c r="G26" s="233">
        <v>0</v>
      </c>
      <c r="I26" s="145">
        <f t="shared" si="6"/>
        <v>0</v>
      </c>
      <c r="K26" s="145">
        <v>13632245</v>
      </c>
      <c r="M26" s="233">
        <v>-0.2</v>
      </c>
      <c r="O26" s="145">
        <f t="shared" si="7"/>
        <v>-2726449</v>
      </c>
      <c r="Q26" s="145">
        <f t="shared" si="9"/>
        <v>-2726449</v>
      </c>
      <c r="S26" s="145">
        <f t="shared" si="8"/>
        <v>108411266</v>
      </c>
      <c r="U26" s="233">
        <f t="shared" si="10"/>
        <v>-0.03</v>
      </c>
      <c r="W26" s="245"/>
    </row>
    <row r="27" spans="1:25" x14ac:dyDescent="0.2">
      <c r="A27">
        <v>316</v>
      </c>
      <c r="C27" t="s">
        <v>69</v>
      </c>
      <c r="E27" s="145">
        <v>12430337</v>
      </c>
      <c r="G27" s="233">
        <v>0</v>
      </c>
      <c r="I27" s="145">
        <f t="shared" si="6"/>
        <v>0</v>
      </c>
      <c r="K27" s="145">
        <v>2456361</v>
      </c>
      <c r="M27" s="233">
        <v>0</v>
      </c>
      <c r="O27">
        <v>0</v>
      </c>
      <c r="Q27" s="145">
        <f t="shared" si="9"/>
        <v>0</v>
      </c>
      <c r="S27" s="145">
        <f t="shared" si="8"/>
        <v>14886698</v>
      </c>
      <c r="U27" s="233">
        <f t="shared" si="10"/>
        <v>-0.03</v>
      </c>
      <c r="W27" s="245"/>
    </row>
    <row r="28" spans="1:25" x14ac:dyDescent="0.2">
      <c r="B28" t="s">
        <v>254</v>
      </c>
      <c r="E28" s="145">
        <f>SUM(E23:E27)</f>
        <v>1660659325</v>
      </c>
      <c r="G28" s="233"/>
      <c r="I28" s="145">
        <f>SUM(I23:I27)</f>
        <v>0</v>
      </c>
      <c r="K28" s="145">
        <f>SUM(K23:K27)</f>
        <v>254356098</v>
      </c>
      <c r="M28" s="233"/>
      <c r="O28" s="145">
        <f>SUM(O23:O27)</f>
        <v>-65355117.75</v>
      </c>
      <c r="Q28" s="145">
        <f>SUM(Q23:Q27)</f>
        <v>-65355117.75</v>
      </c>
      <c r="S28" s="145">
        <f>SUM(S23:S27)</f>
        <v>1915015423</v>
      </c>
      <c r="U28" s="233">
        <f t="shared" ref="U28" si="11">ROUND(Q28/S28, 2)</f>
        <v>-0.03</v>
      </c>
      <c r="W28" s="198"/>
      <c r="Y28" s="233"/>
    </row>
    <row r="29" spans="1:25" x14ac:dyDescent="0.2">
      <c r="G29" s="233"/>
      <c r="M29" s="233"/>
    </row>
    <row r="30" spans="1:25" x14ac:dyDescent="0.2">
      <c r="B30" t="s">
        <v>255</v>
      </c>
      <c r="G30" s="233"/>
      <c r="M30" s="233"/>
    </row>
    <row r="31" spans="1:25" x14ac:dyDescent="0.2">
      <c r="A31">
        <v>311</v>
      </c>
      <c r="C31" t="s">
        <v>35</v>
      </c>
      <c r="E31" s="145">
        <v>10698728</v>
      </c>
      <c r="G31" s="233">
        <v>0</v>
      </c>
      <c r="I31" s="145">
        <f t="shared" ref="I31:I35" si="12">E31*G31</f>
        <v>0</v>
      </c>
      <c r="K31" s="145">
        <v>159527</v>
      </c>
      <c r="M31" s="233">
        <v>-0.25</v>
      </c>
      <c r="O31" s="145">
        <f t="shared" ref="O31:O34" si="13">K31*M31</f>
        <v>-39881.75</v>
      </c>
      <c r="Q31" s="145">
        <f t="shared" ref="Q31:Q35" si="14">I31+O31</f>
        <v>-39881.75</v>
      </c>
      <c r="S31" s="145">
        <f t="shared" ref="S31:S35" si="15">E31+K31</f>
        <v>10858255</v>
      </c>
      <c r="U31" s="233">
        <f>U$36</f>
        <v>-0.01</v>
      </c>
      <c r="W31" s="245"/>
    </row>
    <row r="32" spans="1:25" x14ac:dyDescent="0.2">
      <c r="A32">
        <v>312</v>
      </c>
      <c r="C32" t="s">
        <v>249</v>
      </c>
      <c r="E32" s="145">
        <v>36914230</v>
      </c>
      <c r="G32" s="233">
        <v>0</v>
      </c>
      <c r="I32" s="145">
        <f t="shared" si="12"/>
        <v>0</v>
      </c>
      <c r="K32" s="145">
        <v>746752</v>
      </c>
      <c r="M32" s="233">
        <v>-0.3</v>
      </c>
      <c r="O32" s="145">
        <f t="shared" si="13"/>
        <v>-224025.60000000001</v>
      </c>
      <c r="Q32" s="145">
        <f t="shared" si="14"/>
        <v>-224025.60000000001</v>
      </c>
      <c r="S32" s="145">
        <f t="shared" si="15"/>
        <v>37660982</v>
      </c>
      <c r="U32" s="233">
        <f t="shared" ref="U32:U35" si="16">U$36</f>
        <v>-0.01</v>
      </c>
      <c r="W32" s="245"/>
    </row>
    <row r="33" spans="1:25" x14ac:dyDescent="0.2">
      <c r="A33">
        <v>314</v>
      </c>
      <c r="C33" t="s">
        <v>250</v>
      </c>
      <c r="E33" s="145">
        <v>14317850</v>
      </c>
      <c r="G33" s="233">
        <v>0</v>
      </c>
      <c r="I33" s="145">
        <f t="shared" si="12"/>
        <v>0</v>
      </c>
      <c r="K33" s="145">
        <v>634829</v>
      </c>
      <c r="M33" s="233">
        <v>-0.15</v>
      </c>
      <c r="O33" s="145">
        <f t="shared" si="13"/>
        <v>-95224.349999999991</v>
      </c>
      <c r="Q33" s="145">
        <f t="shared" si="14"/>
        <v>-95224.349999999991</v>
      </c>
      <c r="S33" s="145">
        <f t="shared" si="15"/>
        <v>14952679</v>
      </c>
      <c r="U33" s="233">
        <f t="shared" si="16"/>
        <v>-0.01</v>
      </c>
      <c r="W33" s="245"/>
    </row>
    <row r="34" spans="1:25" x14ac:dyDescent="0.2">
      <c r="A34">
        <v>315</v>
      </c>
      <c r="C34" t="s">
        <v>60</v>
      </c>
      <c r="E34" s="145">
        <v>3785377</v>
      </c>
      <c r="G34" s="233">
        <v>0</v>
      </c>
      <c r="I34" s="145">
        <f t="shared" si="12"/>
        <v>0</v>
      </c>
      <c r="K34" s="145">
        <v>115314</v>
      </c>
      <c r="M34" s="233">
        <v>-0.2</v>
      </c>
      <c r="O34" s="145">
        <f t="shared" si="13"/>
        <v>-23062.800000000003</v>
      </c>
      <c r="Q34" s="145">
        <f t="shared" si="14"/>
        <v>-23062.800000000003</v>
      </c>
      <c r="S34" s="145">
        <f t="shared" si="15"/>
        <v>3900691</v>
      </c>
      <c r="U34" s="233">
        <f t="shared" si="16"/>
        <v>-0.01</v>
      </c>
      <c r="W34" s="245"/>
    </row>
    <row r="35" spans="1:25" x14ac:dyDescent="0.2">
      <c r="A35">
        <v>316</v>
      </c>
      <c r="C35" t="s">
        <v>69</v>
      </c>
      <c r="E35" s="145">
        <v>2606735</v>
      </c>
      <c r="G35" s="233">
        <v>0</v>
      </c>
      <c r="I35" s="145">
        <f t="shared" si="12"/>
        <v>0</v>
      </c>
      <c r="K35" s="145">
        <v>38304</v>
      </c>
      <c r="M35" s="233">
        <v>0</v>
      </c>
      <c r="O35">
        <v>0</v>
      </c>
      <c r="Q35" s="145">
        <f t="shared" si="14"/>
        <v>0</v>
      </c>
      <c r="S35" s="145">
        <f t="shared" si="15"/>
        <v>2645039</v>
      </c>
      <c r="U35" s="233">
        <f t="shared" si="16"/>
        <v>-0.01</v>
      </c>
      <c r="W35" s="245"/>
    </row>
    <row r="36" spans="1:25" x14ac:dyDescent="0.2">
      <c r="B36" t="s">
        <v>256</v>
      </c>
      <c r="E36" s="145">
        <f>SUM(E31:E35)</f>
        <v>68322920</v>
      </c>
      <c r="G36" s="233"/>
      <c r="I36" s="145">
        <f>SUM(I31:I35)</f>
        <v>0</v>
      </c>
      <c r="K36" s="145">
        <f>SUM(K31:K35)</f>
        <v>1694726</v>
      </c>
      <c r="M36" s="233"/>
      <c r="O36" s="145">
        <f>SUM(O31:O35)</f>
        <v>-382194.49999999994</v>
      </c>
      <c r="Q36" s="145">
        <f>SUM(Q31:Q35)</f>
        <v>-382194.49999999994</v>
      </c>
      <c r="S36" s="145">
        <f>SUM(S31:S35)</f>
        <v>70017646</v>
      </c>
      <c r="U36" s="233">
        <f t="shared" ref="U36" si="17">ROUND(Q36/S36, 2)</f>
        <v>-0.01</v>
      </c>
      <c r="W36" s="198"/>
      <c r="Y36" s="233"/>
    </row>
    <row r="37" spans="1:25" x14ac:dyDescent="0.2">
      <c r="G37" s="233"/>
      <c r="M37" s="233"/>
    </row>
    <row r="38" spans="1:25" x14ac:dyDescent="0.2">
      <c r="B38" t="s">
        <v>257</v>
      </c>
      <c r="G38" s="233"/>
      <c r="M38" s="233"/>
    </row>
    <row r="39" spans="1:25" x14ac:dyDescent="0.2">
      <c r="A39">
        <v>311</v>
      </c>
      <c r="C39" t="s">
        <v>35</v>
      </c>
      <c r="E39" s="145">
        <v>16195</v>
      </c>
      <c r="G39" s="233">
        <v>0</v>
      </c>
      <c r="I39" s="145">
        <f t="shared" ref="I39:I40" si="18">E39*G39</f>
        <v>0</v>
      </c>
      <c r="K39">
        <v>9</v>
      </c>
      <c r="M39" s="233">
        <v>-0.25</v>
      </c>
      <c r="O39" s="145">
        <f t="shared" ref="O39:O40" si="19">K39*M39</f>
        <v>-2.25</v>
      </c>
      <c r="Q39" s="145">
        <f t="shared" ref="Q39:Q40" si="20">I39+O39</f>
        <v>-2.25</v>
      </c>
      <c r="S39" s="145">
        <f t="shared" ref="S39:S40" si="21">E39+K39</f>
        <v>16204</v>
      </c>
      <c r="U39" s="233">
        <f>U$44</f>
        <v>0</v>
      </c>
      <c r="W39" s="245"/>
    </row>
    <row r="40" spans="1:25" x14ac:dyDescent="0.2">
      <c r="A40">
        <v>312</v>
      </c>
      <c r="C40" t="s">
        <v>249</v>
      </c>
      <c r="E40" s="145">
        <v>232704</v>
      </c>
      <c r="G40" s="233">
        <v>0</v>
      </c>
      <c r="I40" s="145">
        <f t="shared" si="18"/>
        <v>0</v>
      </c>
      <c r="K40" s="145">
        <v>3766</v>
      </c>
      <c r="M40" s="233">
        <v>-0.3</v>
      </c>
      <c r="O40" s="145">
        <f t="shared" si="19"/>
        <v>-1129.8</v>
      </c>
      <c r="Q40" s="145">
        <f t="shared" si="20"/>
        <v>-1129.8</v>
      </c>
      <c r="S40" s="145">
        <f t="shared" si="21"/>
        <v>236470</v>
      </c>
      <c r="U40" s="233">
        <f t="shared" ref="U40:U43" si="22">U$44</f>
        <v>0</v>
      </c>
      <c r="W40" s="245"/>
    </row>
    <row r="41" spans="1:25" x14ac:dyDescent="0.2">
      <c r="A41">
        <v>314</v>
      </c>
      <c r="C41" t="s">
        <v>250</v>
      </c>
      <c r="E41">
        <v>0</v>
      </c>
      <c r="G41" s="233">
        <v>0</v>
      </c>
      <c r="I41" s="145">
        <v>0</v>
      </c>
      <c r="K41">
        <v>0</v>
      </c>
      <c r="M41" s="233">
        <v>-0.15</v>
      </c>
      <c r="O41">
        <v>0</v>
      </c>
      <c r="Q41">
        <v>0</v>
      </c>
      <c r="S41">
        <v>0</v>
      </c>
      <c r="U41" s="233">
        <f t="shared" si="22"/>
        <v>0</v>
      </c>
      <c r="W41" s="246"/>
    </row>
    <row r="42" spans="1:25" x14ac:dyDescent="0.2">
      <c r="A42">
        <v>315</v>
      </c>
      <c r="C42" t="s">
        <v>60</v>
      </c>
      <c r="E42">
        <v>0</v>
      </c>
      <c r="G42" s="233">
        <v>0</v>
      </c>
      <c r="I42" s="145">
        <v>0</v>
      </c>
      <c r="K42">
        <v>0</v>
      </c>
      <c r="M42" s="233">
        <v>-0.2</v>
      </c>
      <c r="O42">
        <v>0</v>
      </c>
      <c r="Q42">
        <v>0</v>
      </c>
      <c r="S42">
        <v>0</v>
      </c>
      <c r="U42" s="233">
        <f t="shared" si="22"/>
        <v>0</v>
      </c>
      <c r="W42" s="246"/>
    </row>
    <row r="43" spans="1:25" x14ac:dyDescent="0.2">
      <c r="A43">
        <v>316</v>
      </c>
      <c r="C43" t="s">
        <v>69</v>
      </c>
      <c r="E43">
        <v>0</v>
      </c>
      <c r="G43" s="233">
        <v>0</v>
      </c>
      <c r="I43" s="145">
        <v>0</v>
      </c>
      <c r="K43">
        <v>0</v>
      </c>
      <c r="M43" s="233">
        <v>0</v>
      </c>
      <c r="O43">
        <v>0</v>
      </c>
      <c r="Q43">
        <v>0</v>
      </c>
      <c r="S43">
        <v>0</v>
      </c>
      <c r="U43" s="233">
        <f t="shared" si="22"/>
        <v>0</v>
      </c>
      <c r="W43" s="246"/>
    </row>
    <row r="44" spans="1:25" x14ac:dyDescent="0.2">
      <c r="B44" t="s">
        <v>258</v>
      </c>
      <c r="E44" s="145">
        <f>SUM(E39:E43)</f>
        <v>248899</v>
      </c>
      <c r="G44" s="233"/>
      <c r="I44" s="145">
        <f>SUM(I39:I43)</f>
        <v>0</v>
      </c>
      <c r="K44" s="145">
        <f>SUM(K39:K43)</f>
        <v>3775</v>
      </c>
      <c r="M44" s="233"/>
      <c r="O44" s="145">
        <f>SUM(O39:O43)</f>
        <v>-1132.05</v>
      </c>
      <c r="Q44" s="145">
        <f>SUM(Q39:Q43)</f>
        <v>-1132.05</v>
      </c>
      <c r="S44" s="145">
        <f>SUM(S39:S43)</f>
        <v>252674</v>
      </c>
      <c r="U44" s="233">
        <f t="shared" ref="U44" si="23">ROUND(Q44/S44, 2)</f>
        <v>0</v>
      </c>
      <c r="W44" s="198"/>
      <c r="Y44" s="233"/>
    </row>
    <row r="45" spans="1:25" x14ac:dyDescent="0.2">
      <c r="G45" s="233"/>
      <c r="M45" s="233"/>
    </row>
    <row r="46" spans="1:25" x14ac:dyDescent="0.2">
      <c r="B46" t="s">
        <v>259</v>
      </c>
      <c r="G46" s="233"/>
      <c r="M46" s="233"/>
    </row>
    <row r="47" spans="1:25" x14ac:dyDescent="0.2">
      <c r="A47">
        <v>311</v>
      </c>
      <c r="C47" t="s">
        <v>35</v>
      </c>
      <c r="E47" s="145">
        <v>744220</v>
      </c>
      <c r="G47" s="233">
        <v>0</v>
      </c>
      <c r="I47" s="145">
        <f t="shared" ref="I47" si="24">E47*G47</f>
        <v>0</v>
      </c>
      <c r="K47" s="145">
        <v>80748</v>
      </c>
      <c r="M47" s="233">
        <v>-0.25</v>
      </c>
      <c r="O47" s="145">
        <f t="shared" ref="O47" si="25">K47*M47</f>
        <v>-20187</v>
      </c>
      <c r="Q47" s="145">
        <f t="shared" ref="Q47" si="26">I47+O47</f>
        <v>-20187</v>
      </c>
      <c r="S47" s="145">
        <f t="shared" ref="S47" si="27">E47+K47</f>
        <v>824968</v>
      </c>
      <c r="U47" s="233">
        <f>U$52</f>
        <v>-0.01</v>
      </c>
      <c r="W47" s="245"/>
    </row>
    <row r="48" spans="1:25" x14ac:dyDescent="0.2">
      <c r="A48">
        <v>312</v>
      </c>
      <c r="C48" t="s">
        <v>249</v>
      </c>
      <c r="E48">
        <v>0</v>
      </c>
      <c r="G48" s="233">
        <v>0</v>
      </c>
      <c r="I48">
        <v>0</v>
      </c>
      <c r="K48">
        <v>0</v>
      </c>
      <c r="M48" s="233">
        <v>-0.3</v>
      </c>
      <c r="O48">
        <v>0</v>
      </c>
      <c r="Q48">
        <v>0</v>
      </c>
      <c r="S48">
        <v>0</v>
      </c>
      <c r="U48" s="233">
        <f t="shared" ref="U48:U51" si="28">U$52</f>
        <v>-0.01</v>
      </c>
      <c r="W48" s="246"/>
    </row>
    <row r="49" spans="1:25" x14ac:dyDescent="0.2">
      <c r="A49">
        <v>314</v>
      </c>
      <c r="C49" t="s">
        <v>250</v>
      </c>
      <c r="E49">
        <v>0</v>
      </c>
      <c r="G49" s="233">
        <v>0</v>
      </c>
      <c r="I49">
        <v>0</v>
      </c>
      <c r="K49">
        <v>0</v>
      </c>
      <c r="M49" s="233">
        <v>-0.15</v>
      </c>
      <c r="O49">
        <v>0</v>
      </c>
      <c r="Q49">
        <v>0</v>
      </c>
      <c r="S49">
        <v>0</v>
      </c>
      <c r="U49" s="233">
        <f t="shared" si="28"/>
        <v>-0.01</v>
      </c>
      <c r="W49" s="246"/>
    </row>
    <row r="50" spans="1:25" x14ac:dyDescent="0.2">
      <c r="A50">
        <v>315</v>
      </c>
      <c r="C50" t="s">
        <v>60</v>
      </c>
      <c r="E50">
        <v>0</v>
      </c>
      <c r="G50" s="233">
        <v>0</v>
      </c>
      <c r="I50">
        <v>0</v>
      </c>
      <c r="K50">
        <v>0</v>
      </c>
      <c r="M50" s="233">
        <v>-0.2</v>
      </c>
      <c r="O50">
        <v>0</v>
      </c>
      <c r="Q50">
        <v>0</v>
      </c>
      <c r="S50">
        <v>0</v>
      </c>
      <c r="U50" s="233">
        <f t="shared" si="28"/>
        <v>-0.01</v>
      </c>
      <c r="W50" s="246"/>
    </row>
    <row r="51" spans="1:25" x14ac:dyDescent="0.2">
      <c r="A51">
        <v>316</v>
      </c>
      <c r="C51" t="s">
        <v>69</v>
      </c>
      <c r="E51" s="145">
        <v>2394972</v>
      </c>
      <c r="G51" s="233">
        <v>0</v>
      </c>
      <c r="I51" s="145">
        <f t="shared" ref="I51" si="29">E51*G51</f>
        <v>0</v>
      </c>
      <c r="K51" s="145">
        <v>368077</v>
      </c>
      <c r="M51" s="233">
        <v>0</v>
      </c>
      <c r="O51">
        <v>0</v>
      </c>
      <c r="Q51">
        <v>0</v>
      </c>
      <c r="S51" s="145">
        <f t="shared" ref="S51" si="30">E51+K51</f>
        <v>2763049</v>
      </c>
      <c r="U51" s="233">
        <f t="shared" si="28"/>
        <v>-0.01</v>
      </c>
      <c r="W51" s="245"/>
    </row>
    <row r="52" spans="1:25" x14ac:dyDescent="0.2">
      <c r="B52" t="s">
        <v>260</v>
      </c>
      <c r="E52" s="145">
        <f>SUM(E47:F51)</f>
        <v>3139192</v>
      </c>
      <c r="G52" s="233"/>
      <c r="I52" t="s">
        <v>251</v>
      </c>
      <c r="K52" s="145">
        <f>SUM(K47:L51)</f>
        <v>448825</v>
      </c>
      <c r="M52" s="233"/>
      <c r="O52" s="145">
        <f>SUM(O47:P51)</f>
        <v>-20187</v>
      </c>
      <c r="Q52" s="145">
        <f>SUM(Q47:R51)</f>
        <v>-20187</v>
      </c>
      <c r="S52" s="145">
        <f>SUM(S47:T51)</f>
        <v>3588017</v>
      </c>
      <c r="U52" s="233">
        <f t="shared" ref="U52" si="31">ROUND(Q52/S52, 2)</f>
        <v>-0.01</v>
      </c>
      <c r="W52" s="198"/>
      <c r="Y52" s="233"/>
    </row>
    <row r="53" spans="1:25" x14ac:dyDescent="0.2">
      <c r="G53" s="233"/>
      <c r="M53" s="233"/>
    </row>
    <row r="54" spans="1:25" x14ac:dyDescent="0.2">
      <c r="A54" t="s">
        <v>261</v>
      </c>
      <c r="G54" s="233"/>
      <c r="M54" s="233"/>
    </row>
    <row r="55" spans="1:25" x14ac:dyDescent="0.2">
      <c r="G55" s="233"/>
      <c r="M55" s="233"/>
    </row>
    <row r="56" spans="1:25" x14ac:dyDescent="0.2">
      <c r="B56" t="s">
        <v>262</v>
      </c>
      <c r="G56" s="233"/>
      <c r="M56" s="233"/>
    </row>
    <row r="57" spans="1:25" x14ac:dyDescent="0.2">
      <c r="A57">
        <v>311</v>
      </c>
      <c r="C57" t="s">
        <v>35</v>
      </c>
      <c r="E57" s="145">
        <v>6066662</v>
      </c>
      <c r="G57" s="233">
        <v>0</v>
      </c>
      <c r="I57" s="145">
        <f t="shared" ref="I57:I61" si="32">E57*G57</f>
        <v>0</v>
      </c>
      <c r="K57" s="145">
        <v>125545</v>
      </c>
      <c r="M57" s="233">
        <v>-0.25</v>
      </c>
      <c r="O57" s="145">
        <f t="shared" ref="O57:O60" si="33">K57*M57</f>
        <v>-31386.25</v>
      </c>
      <c r="Q57" s="145">
        <f t="shared" ref="Q57:Q61" si="34">I57+O57</f>
        <v>-31386.25</v>
      </c>
      <c r="S57" s="145">
        <f t="shared" ref="S57:S61" si="35">E57+K57</f>
        <v>6192207</v>
      </c>
      <c r="U57" s="233">
        <f>U$62</f>
        <v>-0.01</v>
      </c>
      <c r="W57" s="245"/>
    </row>
    <row r="58" spans="1:25" x14ac:dyDescent="0.2">
      <c r="A58">
        <v>312</v>
      </c>
      <c r="C58" t="s">
        <v>249</v>
      </c>
      <c r="E58" s="145">
        <v>14040352</v>
      </c>
      <c r="G58" s="233">
        <v>0</v>
      </c>
      <c r="I58" s="145">
        <f t="shared" si="32"/>
        <v>0</v>
      </c>
      <c r="K58" s="145">
        <v>374833</v>
      </c>
      <c r="M58" s="233">
        <v>-0.3</v>
      </c>
      <c r="O58" s="145">
        <f t="shared" si="33"/>
        <v>-112449.9</v>
      </c>
      <c r="Q58" s="145">
        <f t="shared" si="34"/>
        <v>-112449.9</v>
      </c>
      <c r="S58" s="145">
        <f t="shared" si="35"/>
        <v>14415185</v>
      </c>
      <c r="U58" s="233">
        <f t="shared" ref="U58:U61" si="36">U$62</f>
        <v>-0.01</v>
      </c>
      <c r="W58" s="245"/>
    </row>
    <row r="59" spans="1:25" x14ac:dyDescent="0.2">
      <c r="A59">
        <v>314</v>
      </c>
      <c r="C59" t="s">
        <v>250</v>
      </c>
      <c r="E59" s="145">
        <v>4588909</v>
      </c>
      <c r="G59" s="233">
        <v>0</v>
      </c>
      <c r="I59" s="145">
        <f t="shared" si="32"/>
        <v>0</v>
      </c>
      <c r="K59" s="145">
        <v>284811</v>
      </c>
      <c r="M59" s="233">
        <v>-0.15</v>
      </c>
      <c r="O59" s="145">
        <f t="shared" si="33"/>
        <v>-42721.65</v>
      </c>
      <c r="Q59" s="145">
        <f t="shared" si="34"/>
        <v>-42721.65</v>
      </c>
      <c r="S59" s="145">
        <f t="shared" si="35"/>
        <v>4873720</v>
      </c>
      <c r="U59" s="233">
        <f t="shared" si="36"/>
        <v>-0.01</v>
      </c>
      <c r="W59" s="245"/>
    </row>
    <row r="60" spans="1:25" x14ac:dyDescent="0.2">
      <c r="A60">
        <v>315</v>
      </c>
      <c r="C60" t="s">
        <v>60</v>
      </c>
      <c r="E60" s="145">
        <v>2110076</v>
      </c>
      <c r="G60" s="233">
        <v>0</v>
      </c>
      <c r="I60" s="145">
        <f t="shared" si="32"/>
        <v>0</v>
      </c>
      <c r="K60" s="145">
        <v>70827</v>
      </c>
      <c r="M60" s="233">
        <v>-0.2</v>
      </c>
      <c r="O60" s="145">
        <f t="shared" si="33"/>
        <v>-14165.400000000001</v>
      </c>
      <c r="Q60" s="145">
        <f t="shared" si="34"/>
        <v>-14165.400000000001</v>
      </c>
      <c r="S60" s="145">
        <f t="shared" si="35"/>
        <v>2180903</v>
      </c>
      <c r="U60" s="233">
        <f t="shared" si="36"/>
        <v>-0.01</v>
      </c>
      <c r="W60" s="245"/>
    </row>
    <row r="61" spans="1:25" x14ac:dyDescent="0.2">
      <c r="A61">
        <v>316</v>
      </c>
      <c r="C61" t="s">
        <v>69</v>
      </c>
      <c r="E61" s="145">
        <v>592490</v>
      </c>
      <c r="G61" s="233">
        <v>0</v>
      </c>
      <c r="I61" s="145">
        <f t="shared" si="32"/>
        <v>0</v>
      </c>
      <c r="K61" s="145">
        <v>10992</v>
      </c>
      <c r="M61" s="233">
        <v>0</v>
      </c>
      <c r="O61">
        <v>0</v>
      </c>
      <c r="Q61" s="145">
        <f t="shared" si="34"/>
        <v>0</v>
      </c>
      <c r="S61" s="145">
        <f t="shared" si="35"/>
        <v>603482</v>
      </c>
      <c r="U61" s="233">
        <f t="shared" si="36"/>
        <v>-0.01</v>
      </c>
      <c r="W61" s="245"/>
    </row>
    <row r="62" spans="1:25" x14ac:dyDescent="0.2">
      <c r="B62" t="s">
        <v>263</v>
      </c>
      <c r="E62" s="145">
        <f>SUM(E57:E61)</f>
        <v>27398489</v>
      </c>
      <c r="G62" s="233"/>
      <c r="I62" s="145">
        <f>SUM(I57:I61)</f>
        <v>0</v>
      </c>
      <c r="K62" s="145">
        <f>SUM(K57:K61)</f>
        <v>867008</v>
      </c>
      <c r="M62" s="233"/>
      <c r="O62" s="145">
        <f>SUM(O57:O61)</f>
        <v>-200723.19999999998</v>
      </c>
      <c r="Q62" s="145">
        <f>SUM(Q57:Q61)</f>
        <v>-200723.19999999998</v>
      </c>
      <c r="S62" s="145">
        <f>SUM(S57:S61)</f>
        <v>28265497</v>
      </c>
      <c r="U62" s="233">
        <f t="shared" ref="U62" si="37">ROUND(Q62/S62, 2)</f>
        <v>-0.01</v>
      </c>
      <c r="W62" s="198"/>
      <c r="Y62" s="233"/>
    </row>
    <row r="63" spans="1:25" x14ac:dyDescent="0.2">
      <c r="G63" s="233"/>
      <c r="M63" s="233"/>
    </row>
    <row r="64" spans="1:25" x14ac:dyDescent="0.2">
      <c r="B64" t="s">
        <v>264</v>
      </c>
      <c r="G64" s="233"/>
      <c r="M64" s="233"/>
    </row>
    <row r="65" spans="1:25" x14ac:dyDescent="0.2">
      <c r="A65">
        <v>311</v>
      </c>
      <c r="C65" t="s">
        <v>35</v>
      </c>
      <c r="E65" s="145">
        <v>86202297</v>
      </c>
      <c r="G65" s="233">
        <v>0</v>
      </c>
      <c r="I65" s="145">
        <f t="shared" ref="I65:I69" si="38">E65*G65</f>
        <v>0</v>
      </c>
      <c r="K65" s="145">
        <v>25610591</v>
      </c>
      <c r="M65" s="233">
        <v>-0.25</v>
      </c>
      <c r="O65" s="145">
        <f t="shared" ref="O65:O68" si="39">K65*M65</f>
        <v>-6402647.75</v>
      </c>
      <c r="Q65" s="145">
        <f t="shared" ref="Q65:Q69" si="40">I65+O65</f>
        <v>-6402647.75</v>
      </c>
      <c r="S65" s="145">
        <f t="shared" ref="S65:S69" si="41">E65+K65</f>
        <v>111812888</v>
      </c>
      <c r="U65" s="233">
        <f>U$70</f>
        <v>-0.1</v>
      </c>
      <c r="W65" s="245"/>
    </row>
    <row r="66" spans="1:25" x14ac:dyDescent="0.2">
      <c r="A66">
        <v>312</v>
      </c>
      <c r="C66" t="s">
        <v>249</v>
      </c>
      <c r="E66" s="145">
        <v>352937892</v>
      </c>
      <c r="G66" s="233">
        <v>0</v>
      </c>
      <c r="I66" s="145">
        <f t="shared" si="38"/>
        <v>0</v>
      </c>
      <c r="K66" s="145">
        <v>222956396</v>
      </c>
      <c r="M66" s="233">
        <v>-0.3</v>
      </c>
      <c r="O66" s="145">
        <f t="shared" si="39"/>
        <v>-66886918.799999997</v>
      </c>
      <c r="Q66" s="145">
        <f t="shared" si="40"/>
        <v>-66886918.799999997</v>
      </c>
      <c r="S66" s="145">
        <f t="shared" si="41"/>
        <v>575894288</v>
      </c>
      <c r="U66" s="233">
        <f t="shared" ref="U66:U69" si="42">U$70</f>
        <v>-0.1</v>
      </c>
      <c r="W66" s="245"/>
    </row>
    <row r="67" spans="1:25" x14ac:dyDescent="0.2">
      <c r="A67">
        <v>314</v>
      </c>
      <c r="C67" t="s">
        <v>250</v>
      </c>
      <c r="E67" s="145">
        <v>31029751</v>
      </c>
      <c r="G67" s="233">
        <v>0</v>
      </c>
      <c r="I67" s="145">
        <f t="shared" si="38"/>
        <v>0</v>
      </c>
      <c r="K67" s="145">
        <v>52964982</v>
      </c>
      <c r="M67" s="233">
        <v>-0.15</v>
      </c>
      <c r="O67" s="145">
        <f t="shared" si="39"/>
        <v>-7944747.2999999998</v>
      </c>
      <c r="Q67" s="145">
        <f t="shared" si="40"/>
        <v>-7944747.2999999998</v>
      </c>
      <c r="S67" s="145">
        <f t="shared" si="41"/>
        <v>83994733</v>
      </c>
      <c r="U67" s="233">
        <f t="shared" si="42"/>
        <v>-0.1</v>
      </c>
      <c r="W67" s="245"/>
    </row>
    <row r="68" spans="1:25" x14ac:dyDescent="0.2">
      <c r="A68">
        <v>315</v>
      </c>
      <c r="C68" t="s">
        <v>60</v>
      </c>
      <c r="E68" s="145">
        <v>26315352</v>
      </c>
      <c r="G68" s="233">
        <v>0</v>
      </c>
      <c r="I68" s="145">
        <f t="shared" si="38"/>
        <v>0</v>
      </c>
      <c r="K68" s="145">
        <v>16700474</v>
      </c>
      <c r="M68" s="233">
        <v>-0.2</v>
      </c>
      <c r="O68" s="145">
        <f t="shared" si="39"/>
        <v>-3340094.8000000003</v>
      </c>
      <c r="Q68" s="145">
        <f t="shared" si="40"/>
        <v>-3340094.8000000003</v>
      </c>
      <c r="S68" s="145">
        <f t="shared" si="41"/>
        <v>43015826</v>
      </c>
      <c r="U68" s="233">
        <f t="shared" si="42"/>
        <v>-0.1</v>
      </c>
      <c r="W68" s="245"/>
    </row>
    <row r="69" spans="1:25" x14ac:dyDescent="0.2">
      <c r="A69">
        <v>316</v>
      </c>
      <c r="C69" t="s">
        <v>69</v>
      </c>
      <c r="E69" s="145">
        <v>2298460</v>
      </c>
      <c r="G69" s="233">
        <v>0</v>
      </c>
      <c r="I69" s="145">
        <f t="shared" si="38"/>
        <v>0</v>
      </c>
      <c r="K69" s="145">
        <v>1203987</v>
      </c>
      <c r="M69" s="233">
        <v>0</v>
      </c>
      <c r="O69">
        <v>0</v>
      </c>
      <c r="Q69" s="145">
        <f t="shared" si="40"/>
        <v>0</v>
      </c>
      <c r="S69" s="145">
        <f t="shared" si="41"/>
        <v>3502447</v>
      </c>
      <c r="U69" s="233">
        <f t="shared" si="42"/>
        <v>-0.1</v>
      </c>
      <c r="W69" s="245"/>
    </row>
    <row r="70" spans="1:25" x14ac:dyDescent="0.2">
      <c r="B70" t="s">
        <v>265</v>
      </c>
      <c r="E70" s="145">
        <f>SUM(E65:E69)</f>
        <v>498783752</v>
      </c>
      <c r="G70" s="233"/>
      <c r="I70" s="145">
        <f>SUM(I65:I69)</f>
        <v>0</v>
      </c>
      <c r="K70" s="145">
        <f>SUM(K65:K69)</f>
        <v>319436430</v>
      </c>
      <c r="M70" s="233"/>
      <c r="O70" s="145">
        <f>SUM(O65:O69)</f>
        <v>-84574408.649999991</v>
      </c>
      <c r="Q70" s="145">
        <f>SUM(Q65:Q69)</f>
        <v>-84574408.649999991</v>
      </c>
      <c r="S70" s="145">
        <f>SUM(S65:S69)</f>
        <v>818220182</v>
      </c>
      <c r="U70" s="233">
        <f t="shared" ref="U70" si="43">ROUND(Q70/S70, 2)</f>
        <v>-0.1</v>
      </c>
      <c r="W70" s="198"/>
      <c r="Y70" s="233"/>
    </row>
    <row r="71" spans="1:25" x14ac:dyDescent="0.2">
      <c r="G71" s="233"/>
      <c r="M71" s="233"/>
    </row>
    <row r="72" spans="1:25" x14ac:dyDescent="0.2">
      <c r="A72" t="s">
        <v>266</v>
      </c>
      <c r="E72" s="145">
        <f>SUM(E70+E62,E52,E44,E36,E28,E20)</f>
        <v>2918758039</v>
      </c>
      <c r="G72" s="233"/>
      <c r="I72" s="145">
        <v>-291561885</v>
      </c>
      <c r="K72" s="145">
        <v>640948036</v>
      </c>
      <c r="M72" s="233"/>
      <c r="O72" s="145">
        <v>167038567</v>
      </c>
      <c r="Q72" s="145">
        <v>458600452</v>
      </c>
      <c r="S72" s="145">
        <v>3559706076</v>
      </c>
      <c r="W72" s="198"/>
    </row>
    <row r="73" spans="1:25" x14ac:dyDescent="0.2">
      <c r="G73" s="233"/>
      <c r="M73" s="233"/>
    </row>
    <row r="74" spans="1:25" x14ac:dyDescent="0.2">
      <c r="G74" s="233"/>
      <c r="M74" s="233"/>
    </row>
    <row r="75" spans="1:25" x14ac:dyDescent="0.2">
      <c r="A75" t="s">
        <v>187</v>
      </c>
      <c r="G75" s="233"/>
      <c r="M75" s="233"/>
    </row>
    <row r="76" spans="1:25" x14ac:dyDescent="0.2">
      <c r="G76" s="233"/>
      <c r="M76" s="233"/>
    </row>
    <row r="77" spans="1:25" x14ac:dyDescent="0.2">
      <c r="B77" t="s">
        <v>267</v>
      </c>
      <c r="G77" s="233"/>
      <c r="M77" s="233"/>
    </row>
    <row r="78" spans="1:25" x14ac:dyDescent="0.2">
      <c r="A78">
        <v>331</v>
      </c>
      <c r="C78" t="s">
        <v>35</v>
      </c>
      <c r="E78" s="145">
        <v>460238</v>
      </c>
      <c r="G78" s="233">
        <v>0</v>
      </c>
      <c r="I78" s="145">
        <f t="shared" ref="I78:I83" si="44">E78*G78</f>
        <v>0</v>
      </c>
      <c r="K78" s="145">
        <v>156289</v>
      </c>
      <c r="M78" s="233">
        <v>-0.05</v>
      </c>
      <c r="O78" s="145">
        <f t="shared" ref="O78:O82" si="45">K78*M78</f>
        <v>-7814.4500000000007</v>
      </c>
      <c r="Q78" s="145">
        <f t="shared" ref="Q78:Q83" si="46">I78+O78</f>
        <v>-7814.4500000000007</v>
      </c>
      <c r="S78" s="145">
        <f t="shared" ref="S78:S83" si="47">E78+K78</f>
        <v>616527</v>
      </c>
      <c r="U78" s="233">
        <f>U$84</f>
        <v>-0.01</v>
      </c>
      <c r="W78" s="245"/>
    </row>
    <row r="79" spans="1:25" x14ac:dyDescent="0.2">
      <c r="A79">
        <v>332</v>
      </c>
      <c r="C79" t="s">
        <v>268</v>
      </c>
      <c r="E79" s="145">
        <v>19039829</v>
      </c>
      <c r="G79" s="233">
        <v>0</v>
      </c>
      <c r="I79" s="145">
        <f t="shared" si="44"/>
        <v>0</v>
      </c>
      <c r="K79" s="145">
        <v>2564141</v>
      </c>
      <c r="M79" s="233">
        <v>-0.1</v>
      </c>
      <c r="O79" s="145">
        <f t="shared" si="45"/>
        <v>-256414.1</v>
      </c>
      <c r="Q79" s="145">
        <f t="shared" si="46"/>
        <v>-256414.1</v>
      </c>
      <c r="S79" s="145">
        <f t="shared" si="47"/>
        <v>21603970</v>
      </c>
      <c r="U79" s="233">
        <f t="shared" ref="U79:U83" si="48">U$84</f>
        <v>-0.01</v>
      </c>
      <c r="W79" s="245"/>
    </row>
    <row r="80" spans="1:25" x14ac:dyDescent="0.2">
      <c r="A80">
        <v>333</v>
      </c>
      <c r="C80" t="s">
        <v>173</v>
      </c>
      <c r="E80" s="145">
        <v>4076011</v>
      </c>
      <c r="G80" s="233">
        <v>0</v>
      </c>
      <c r="I80" s="145">
        <f t="shared" si="44"/>
        <v>0</v>
      </c>
      <c r="K80" s="145">
        <v>354613</v>
      </c>
      <c r="M80" s="233">
        <v>-0.2</v>
      </c>
      <c r="O80" s="145">
        <f t="shared" si="45"/>
        <v>-70922.600000000006</v>
      </c>
      <c r="Q80" s="145">
        <f t="shared" si="46"/>
        <v>-70922.600000000006</v>
      </c>
      <c r="S80" s="145">
        <f t="shared" si="47"/>
        <v>4430624</v>
      </c>
      <c r="U80" s="233">
        <f t="shared" si="48"/>
        <v>-0.01</v>
      </c>
      <c r="W80" s="245"/>
    </row>
    <row r="81" spans="1:23" x14ac:dyDescent="0.2">
      <c r="A81">
        <v>334</v>
      </c>
      <c r="C81" t="s">
        <v>60</v>
      </c>
      <c r="E81" s="145">
        <v>355642</v>
      </c>
      <c r="G81" s="233">
        <v>0</v>
      </c>
      <c r="I81" s="145">
        <f t="shared" si="44"/>
        <v>0</v>
      </c>
      <c r="K81" s="145">
        <v>222692</v>
      </c>
      <c r="M81" s="233">
        <v>0</v>
      </c>
      <c r="O81">
        <v>0</v>
      </c>
      <c r="Q81" s="145">
        <f t="shared" si="46"/>
        <v>0</v>
      </c>
      <c r="S81" s="145">
        <f t="shared" si="47"/>
        <v>578334</v>
      </c>
      <c r="U81" s="233">
        <f t="shared" si="48"/>
        <v>-0.01</v>
      </c>
      <c r="W81" s="245"/>
    </row>
    <row r="82" spans="1:23" x14ac:dyDescent="0.2">
      <c r="A82">
        <v>335</v>
      </c>
      <c r="C82" t="s">
        <v>69</v>
      </c>
      <c r="E82" s="145">
        <v>77245</v>
      </c>
      <c r="G82" s="233">
        <v>0</v>
      </c>
      <c r="I82" s="145">
        <f t="shared" si="44"/>
        <v>0</v>
      </c>
      <c r="K82" s="145">
        <v>219779</v>
      </c>
      <c r="M82" s="233">
        <v>-0.05</v>
      </c>
      <c r="O82" s="145">
        <f t="shared" si="45"/>
        <v>-10988.95</v>
      </c>
      <c r="Q82" s="145">
        <f t="shared" si="46"/>
        <v>-10988.95</v>
      </c>
      <c r="S82" s="145">
        <f t="shared" si="47"/>
        <v>297024</v>
      </c>
      <c r="U82" s="233">
        <f t="shared" si="48"/>
        <v>-0.01</v>
      </c>
      <c r="W82" s="245"/>
    </row>
    <row r="83" spans="1:23" x14ac:dyDescent="0.2">
      <c r="A83">
        <v>336</v>
      </c>
      <c r="C83" t="s">
        <v>175</v>
      </c>
      <c r="E83" s="145">
        <v>124770</v>
      </c>
      <c r="G83" s="233">
        <v>0</v>
      </c>
      <c r="I83" s="145">
        <f t="shared" si="44"/>
        <v>0</v>
      </c>
      <c r="K83" s="145">
        <v>51589</v>
      </c>
      <c r="M83" s="233">
        <v>0</v>
      </c>
      <c r="O83">
        <v>0</v>
      </c>
      <c r="Q83" s="145">
        <f t="shared" si="46"/>
        <v>0</v>
      </c>
      <c r="S83" s="145">
        <f t="shared" si="47"/>
        <v>176359</v>
      </c>
      <c r="U83" s="233">
        <f t="shared" si="48"/>
        <v>-0.01</v>
      </c>
      <c r="W83" s="245"/>
    </row>
    <row r="84" spans="1:23" x14ac:dyDescent="0.2">
      <c r="B84" t="s">
        <v>269</v>
      </c>
      <c r="E84" s="145">
        <f>SUM(E78:E83)</f>
        <v>24133735</v>
      </c>
      <c r="G84" s="233"/>
      <c r="I84" s="145">
        <f>SUM(I78:I83)</f>
        <v>0</v>
      </c>
      <c r="K84" s="145">
        <f>SUM(K78:K83)</f>
        <v>3569103</v>
      </c>
      <c r="M84" s="233"/>
      <c r="O84" s="145">
        <f>SUM(O78:O83)</f>
        <v>-346140.10000000003</v>
      </c>
      <c r="Q84" s="145">
        <f>SUM(Q78:Q83)</f>
        <v>-346140.10000000003</v>
      </c>
      <c r="S84" s="145">
        <f>SUM(S78:S83)</f>
        <v>27702838</v>
      </c>
      <c r="U84" s="233">
        <f t="shared" ref="U84" si="49">ROUND(Q84/S84, 2)</f>
        <v>-0.01</v>
      </c>
      <c r="W84" s="198"/>
    </row>
    <row r="85" spans="1:23" x14ac:dyDescent="0.2">
      <c r="G85" s="233"/>
      <c r="M85" s="233"/>
    </row>
    <row r="86" spans="1:23" x14ac:dyDescent="0.2">
      <c r="A86" t="s">
        <v>270</v>
      </c>
      <c r="E86" s="145">
        <f>E84</f>
        <v>24133735</v>
      </c>
      <c r="G86" s="233"/>
      <c r="I86" s="145">
        <f>I84</f>
        <v>0</v>
      </c>
      <c r="K86" s="145">
        <f>K84</f>
        <v>3569103</v>
      </c>
      <c r="M86" s="233"/>
      <c r="O86" s="145">
        <f>O84</f>
        <v>-346140.10000000003</v>
      </c>
      <c r="Q86" s="145">
        <f>Q84</f>
        <v>-346140.10000000003</v>
      </c>
      <c r="S86" s="145">
        <f>S84</f>
        <v>27702838</v>
      </c>
      <c r="W86" s="198"/>
    </row>
    <row r="87" spans="1:23" x14ac:dyDescent="0.2">
      <c r="G87" s="233"/>
      <c r="M87" s="233"/>
    </row>
    <row r="88" spans="1:23" x14ac:dyDescent="0.2">
      <c r="G88" s="233"/>
      <c r="M88" s="233"/>
    </row>
    <row r="89" spans="1:23" x14ac:dyDescent="0.2">
      <c r="A89" t="s">
        <v>34</v>
      </c>
      <c r="G89" s="233"/>
      <c r="M89" s="233"/>
    </row>
    <row r="90" spans="1:23" x14ac:dyDescent="0.2">
      <c r="G90" s="233"/>
      <c r="M90" s="233"/>
    </row>
    <row r="91" spans="1:23" x14ac:dyDescent="0.2">
      <c r="B91" t="s">
        <v>271</v>
      </c>
      <c r="G91" s="233"/>
      <c r="M91" s="233"/>
    </row>
    <row r="92" spans="1:23" x14ac:dyDescent="0.2">
      <c r="A92">
        <v>341</v>
      </c>
      <c r="C92" t="s">
        <v>35</v>
      </c>
      <c r="E92" s="145">
        <v>9195757</v>
      </c>
      <c r="G92" s="233">
        <v>0</v>
      </c>
      <c r="I92" s="145">
        <f t="shared" ref="I92:I97" si="50">E92*G92</f>
        <v>0</v>
      </c>
      <c r="K92" s="145">
        <v>2731546</v>
      </c>
      <c r="M92" s="233">
        <v>0</v>
      </c>
      <c r="O92">
        <v>0</v>
      </c>
      <c r="Q92" s="145">
        <f t="shared" ref="Q92:Q97" si="51">I92+O92</f>
        <v>0</v>
      </c>
      <c r="S92" s="145">
        <f t="shared" ref="S92:S97" si="52">E92+K92</f>
        <v>11927303</v>
      </c>
      <c r="U92" s="233">
        <f>U$98</f>
        <v>-0.01</v>
      </c>
      <c r="W92" s="245"/>
    </row>
    <row r="93" spans="1:23" x14ac:dyDescent="0.2">
      <c r="A93">
        <v>342</v>
      </c>
      <c r="C93" t="s">
        <v>88</v>
      </c>
      <c r="E93" s="145">
        <v>10211547</v>
      </c>
      <c r="G93" s="233">
        <v>0</v>
      </c>
      <c r="I93" s="145">
        <f t="shared" si="50"/>
        <v>0</v>
      </c>
      <c r="K93" s="145">
        <v>2322415</v>
      </c>
      <c r="M93" s="233">
        <v>-0.05</v>
      </c>
      <c r="O93" s="145">
        <f t="shared" ref="O93:O96" si="53">K93*M93</f>
        <v>-116120.75</v>
      </c>
      <c r="Q93" s="145">
        <f t="shared" si="51"/>
        <v>-116120.75</v>
      </c>
      <c r="S93" s="145">
        <f t="shared" si="52"/>
        <v>12533962</v>
      </c>
      <c r="U93" s="233">
        <f t="shared" ref="U93:U97" si="54">U$98</f>
        <v>-0.01</v>
      </c>
      <c r="W93" s="245"/>
    </row>
    <row r="94" spans="1:23" x14ac:dyDescent="0.2">
      <c r="A94">
        <v>343</v>
      </c>
      <c r="C94" t="s">
        <v>62</v>
      </c>
      <c r="E94" s="145">
        <v>136839902</v>
      </c>
      <c r="G94" s="233">
        <v>0</v>
      </c>
      <c r="I94" s="145">
        <f t="shared" si="50"/>
        <v>0</v>
      </c>
      <c r="K94" s="145">
        <v>49000992</v>
      </c>
      <c r="M94" s="233">
        <v>-0.05</v>
      </c>
      <c r="O94" s="145">
        <f t="shared" si="53"/>
        <v>-2450049.6</v>
      </c>
      <c r="Q94" s="145">
        <f t="shared" si="51"/>
        <v>-2450049.6</v>
      </c>
      <c r="S94" s="145">
        <f t="shared" si="52"/>
        <v>185840894</v>
      </c>
      <c r="U94" s="233">
        <f t="shared" si="54"/>
        <v>-0.01</v>
      </c>
      <c r="W94" s="245"/>
    </row>
    <row r="95" spans="1:23" x14ac:dyDescent="0.2">
      <c r="A95">
        <v>344</v>
      </c>
      <c r="C95" t="s">
        <v>272</v>
      </c>
      <c r="E95" s="145">
        <v>29442983</v>
      </c>
      <c r="G95" s="233">
        <v>0</v>
      </c>
      <c r="I95" s="145">
        <f t="shared" si="50"/>
        <v>0</v>
      </c>
      <c r="K95" s="145">
        <v>1388038</v>
      </c>
      <c r="M95" s="233">
        <v>-0.05</v>
      </c>
      <c r="O95" s="145">
        <f t="shared" si="53"/>
        <v>-69401.900000000009</v>
      </c>
      <c r="Q95" s="145">
        <f t="shared" si="51"/>
        <v>-69401.900000000009</v>
      </c>
      <c r="S95" s="145">
        <f t="shared" si="52"/>
        <v>30831021</v>
      </c>
      <c r="U95" s="233">
        <f t="shared" si="54"/>
        <v>-0.01</v>
      </c>
      <c r="W95" s="245"/>
    </row>
    <row r="96" spans="1:23" x14ac:dyDescent="0.2">
      <c r="A96">
        <v>345</v>
      </c>
      <c r="C96" t="s">
        <v>60</v>
      </c>
      <c r="E96" s="145">
        <v>15263350</v>
      </c>
      <c r="G96" s="233">
        <v>0</v>
      </c>
      <c r="I96" s="145">
        <f t="shared" si="50"/>
        <v>0</v>
      </c>
      <c r="K96" s="145">
        <v>2458791</v>
      </c>
      <c r="M96" s="233">
        <v>-0.05</v>
      </c>
      <c r="O96" s="145">
        <f t="shared" si="53"/>
        <v>-122939.55</v>
      </c>
      <c r="Q96" s="145">
        <f t="shared" si="51"/>
        <v>-122939.55</v>
      </c>
      <c r="S96" s="145">
        <f t="shared" si="52"/>
        <v>17722141</v>
      </c>
      <c r="U96" s="233">
        <f t="shared" si="54"/>
        <v>-0.01</v>
      </c>
      <c r="W96" s="245"/>
    </row>
    <row r="97" spans="1:23" x14ac:dyDescent="0.2">
      <c r="A97">
        <v>346</v>
      </c>
      <c r="C97" t="s">
        <v>69</v>
      </c>
      <c r="E97" s="145">
        <v>2938221</v>
      </c>
      <c r="G97" s="233">
        <v>0</v>
      </c>
      <c r="I97" s="145">
        <f t="shared" si="50"/>
        <v>0</v>
      </c>
      <c r="K97" s="145">
        <v>1201669</v>
      </c>
      <c r="M97" s="233">
        <v>0</v>
      </c>
      <c r="O97">
        <v>0</v>
      </c>
      <c r="Q97" s="145">
        <f t="shared" si="51"/>
        <v>0</v>
      </c>
      <c r="S97" s="145">
        <f t="shared" si="52"/>
        <v>4139890</v>
      </c>
      <c r="U97" s="233">
        <f t="shared" si="54"/>
        <v>-0.01</v>
      </c>
      <c r="W97" s="245"/>
    </row>
    <row r="98" spans="1:23" x14ac:dyDescent="0.2">
      <c r="B98" t="s">
        <v>273</v>
      </c>
      <c r="E98" s="145">
        <f>SUM(E92:E97)</f>
        <v>203891760</v>
      </c>
      <c r="G98" s="233"/>
      <c r="I98" s="145">
        <f>SUM(I92:I97)</f>
        <v>0</v>
      </c>
      <c r="K98" s="145">
        <f>SUM(K92:K97)</f>
        <v>59103451</v>
      </c>
      <c r="M98" s="233"/>
      <c r="O98" s="145">
        <f>SUM(O92:O97)</f>
        <v>-2758511.8</v>
      </c>
      <c r="Q98" s="145">
        <f>SUM(Q92:Q97)</f>
        <v>-2758511.8</v>
      </c>
      <c r="S98" s="145">
        <f>SUM(S92:S97)</f>
        <v>262995211</v>
      </c>
      <c r="U98" s="233">
        <f t="shared" ref="U98" si="55">ROUND(Q98/S98, 2)</f>
        <v>-0.01</v>
      </c>
      <c r="W98" s="198"/>
    </row>
    <row r="99" spans="1:23" x14ac:dyDescent="0.2">
      <c r="G99" s="233"/>
      <c r="M99" s="233"/>
    </row>
    <row r="100" spans="1:23" x14ac:dyDescent="0.2">
      <c r="B100" t="s">
        <v>274</v>
      </c>
      <c r="G100" s="233"/>
      <c r="M100" s="233"/>
    </row>
    <row r="101" spans="1:23" x14ac:dyDescent="0.2">
      <c r="A101">
        <v>341</v>
      </c>
      <c r="C101" t="s">
        <v>35</v>
      </c>
      <c r="E101" s="145">
        <v>412940</v>
      </c>
      <c r="G101" s="233">
        <v>0</v>
      </c>
      <c r="I101" s="145">
        <f t="shared" ref="I101:I105" si="56">E101*G101</f>
        <v>0</v>
      </c>
      <c r="K101" s="145">
        <v>21913</v>
      </c>
      <c r="M101" s="233">
        <v>0</v>
      </c>
      <c r="O101">
        <v>0</v>
      </c>
      <c r="Q101" s="145">
        <f t="shared" ref="Q101:Q105" si="57">I101+O101</f>
        <v>0</v>
      </c>
      <c r="S101" s="145">
        <f t="shared" ref="S101:S105" si="58">E101+K101</f>
        <v>434853</v>
      </c>
      <c r="U101" s="233">
        <f>U$106</f>
        <v>-0.01</v>
      </c>
      <c r="W101" s="245"/>
    </row>
    <row r="102" spans="1:23" x14ac:dyDescent="0.2">
      <c r="A102">
        <v>342</v>
      </c>
      <c r="C102" t="s">
        <v>88</v>
      </c>
      <c r="E102" s="145">
        <v>479905</v>
      </c>
      <c r="G102" s="233">
        <v>0</v>
      </c>
      <c r="I102" s="145">
        <f t="shared" si="56"/>
        <v>0</v>
      </c>
      <c r="K102" s="145">
        <v>38800</v>
      </c>
      <c r="M102" s="233">
        <v>-0.05</v>
      </c>
      <c r="O102" s="145">
        <f t="shared" ref="O102:O104" si="59">K102*M102</f>
        <v>-1940</v>
      </c>
      <c r="Q102" s="145">
        <f t="shared" si="57"/>
        <v>-1940</v>
      </c>
      <c r="S102" s="145">
        <f t="shared" si="58"/>
        <v>518705</v>
      </c>
      <c r="U102" s="233">
        <f t="shared" ref="U102:U105" si="60">U$106</f>
        <v>-0.01</v>
      </c>
      <c r="W102" s="245"/>
    </row>
    <row r="103" spans="1:23" x14ac:dyDescent="0.2">
      <c r="A103">
        <v>344</v>
      </c>
      <c r="C103" t="s">
        <v>272</v>
      </c>
      <c r="E103" s="145">
        <v>3223465</v>
      </c>
      <c r="G103" s="233">
        <v>0</v>
      </c>
      <c r="I103" s="145">
        <f t="shared" si="56"/>
        <v>0</v>
      </c>
      <c r="K103" s="145">
        <v>799537</v>
      </c>
      <c r="M103" s="233">
        <v>-0.05</v>
      </c>
      <c r="O103" s="145">
        <f t="shared" si="59"/>
        <v>-39976.850000000006</v>
      </c>
      <c r="Q103" s="145">
        <f t="shared" si="57"/>
        <v>-39976.850000000006</v>
      </c>
      <c r="S103" s="145">
        <f t="shared" si="58"/>
        <v>4023002</v>
      </c>
      <c r="U103" s="233">
        <f t="shared" si="60"/>
        <v>-0.01</v>
      </c>
      <c r="W103" s="245"/>
    </row>
    <row r="104" spans="1:23" x14ac:dyDescent="0.2">
      <c r="A104">
        <v>345</v>
      </c>
      <c r="C104" t="s">
        <v>60</v>
      </c>
      <c r="E104" s="145">
        <v>1211240</v>
      </c>
      <c r="G104" s="233">
        <v>0</v>
      </c>
      <c r="I104" s="145">
        <f t="shared" si="56"/>
        <v>0</v>
      </c>
      <c r="K104" s="145">
        <v>240717</v>
      </c>
      <c r="M104" s="233">
        <v>-0.05</v>
      </c>
      <c r="O104" s="145">
        <f t="shared" si="59"/>
        <v>-12035.85</v>
      </c>
      <c r="Q104" s="145">
        <f t="shared" si="57"/>
        <v>-12035.85</v>
      </c>
      <c r="S104" s="145">
        <f t="shared" si="58"/>
        <v>1451957</v>
      </c>
      <c r="U104" s="233">
        <f t="shared" si="60"/>
        <v>-0.01</v>
      </c>
      <c r="W104" s="245"/>
    </row>
    <row r="105" spans="1:23" x14ac:dyDescent="0.2">
      <c r="A105">
        <v>346</v>
      </c>
      <c r="C105" t="s">
        <v>69</v>
      </c>
      <c r="E105" s="145">
        <v>13500</v>
      </c>
      <c r="G105" s="233">
        <v>0</v>
      </c>
      <c r="I105" s="145">
        <f t="shared" si="56"/>
        <v>0</v>
      </c>
      <c r="K105" s="145">
        <v>22305</v>
      </c>
      <c r="M105" s="233">
        <v>0</v>
      </c>
      <c r="O105">
        <v>0</v>
      </c>
      <c r="Q105" s="145">
        <f t="shared" si="57"/>
        <v>0</v>
      </c>
      <c r="S105" s="145">
        <f t="shared" si="58"/>
        <v>35805</v>
      </c>
      <c r="U105" s="233">
        <f t="shared" si="60"/>
        <v>-0.01</v>
      </c>
      <c r="W105" s="245"/>
    </row>
    <row r="106" spans="1:23" x14ac:dyDescent="0.2">
      <c r="B106" t="s">
        <v>275</v>
      </c>
      <c r="E106" s="145">
        <f>SUM(E101:E105)</f>
        <v>5341050</v>
      </c>
      <c r="G106" s="233"/>
      <c r="I106" s="145">
        <f>SUM(I101:I105)</f>
        <v>0</v>
      </c>
      <c r="K106" s="145">
        <f>SUM(K101:K105)</f>
        <v>1123272</v>
      </c>
      <c r="M106" s="233"/>
      <c r="O106" s="145">
        <f>SUM(O101:O105)</f>
        <v>-53952.700000000004</v>
      </c>
      <c r="Q106" s="145">
        <f>SUM(Q101:Q105)</f>
        <v>-53952.700000000004</v>
      </c>
      <c r="S106" s="145">
        <f>SUM(S101:S105)</f>
        <v>6464322</v>
      </c>
      <c r="U106" s="233">
        <f t="shared" ref="U106" si="61">ROUND(Q106/S106, 2)</f>
        <v>-0.01</v>
      </c>
      <c r="W106" s="198"/>
    </row>
    <row r="107" spans="1:23" x14ac:dyDescent="0.2">
      <c r="G107" s="233"/>
      <c r="M107" s="233"/>
    </row>
    <row r="108" spans="1:23" x14ac:dyDescent="0.2">
      <c r="B108" t="s">
        <v>276</v>
      </c>
      <c r="G108" s="233"/>
      <c r="M108" s="233"/>
    </row>
    <row r="109" spans="1:23" x14ac:dyDescent="0.2">
      <c r="A109">
        <v>341</v>
      </c>
      <c r="C109" t="s">
        <v>35</v>
      </c>
      <c r="E109" s="145">
        <v>1563219</v>
      </c>
      <c r="G109" s="233">
        <v>0</v>
      </c>
      <c r="I109" s="145">
        <f t="shared" ref="I109:I114" si="62">E109*G109</f>
        <v>0</v>
      </c>
      <c r="K109" s="145">
        <v>347109</v>
      </c>
      <c r="M109" s="233">
        <v>0</v>
      </c>
      <c r="O109">
        <v>0</v>
      </c>
      <c r="Q109" s="145">
        <f t="shared" ref="Q109:Q114" si="63">I109+O109</f>
        <v>0</v>
      </c>
      <c r="S109" s="145">
        <f t="shared" ref="S109:S114" si="64">E109+K109</f>
        <v>1910328</v>
      </c>
      <c r="U109" s="233">
        <f>U$115</f>
        <v>-0.01</v>
      </c>
      <c r="W109" s="245"/>
    </row>
    <row r="110" spans="1:23" x14ac:dyDescent="0.2">
      <c r="A110">
        <v>342</v>
      </c>
      <c r="C110" t="s">
        <v>88</v>
      </c>
      <c r="E110" s="145">
        <v>1730245</v>
      </c>
      <c r="G110" s="233">
        <v>0</v>
      </c>
      <c r="I110" s="145">
        <f t="shared" si="62"/>
        <v>0</v>
      </c>
      <c r="K110" s="145">
        <v>264856</v>
      </c>
      <c r="M110" s="233">
        <v>-0.05</v>
      </c>
      <c r="O110" s="145">
        <f t="shared" ref="O110:O113" si="65">K110*M110</f>
        <v>-13242.800000000001</v>
      </c>
      <c r="Q110" s="145">
        <f t="shared" si="63"/>
        <v>-13242.800000000001</v>
      </c>
      <c r="S110" s="145">
        <f t="shared" si="64"/>
        <v>1995101</v>
      </c>
      <c r="U110" s="233">
        <f t="shared" ref="U110:U114" si="66">U$115</f>
        <v>-0.01</v>
      </c>
      <c r="W110" s="245"/>
    </row>
    <row r="111" spans="1:23" x14ac:dyDescent="0.2">
      <c r="A111">
        <v>343</v>
      </c>
      <c r="C111" t="s">
        <v>62</v>
      </c>
      <c r="E111" s="145">
        <v>12869763</v>
      </c>
      <c r="G111" s="233">
        <v>0</v>
      </c>
      <c r="I111" s="145">
        <f t="shared" si="62"/>
        <v>0</v>
      </c>
      <c r="K111" s="145">
        <v>4933601</v>
      </c>
      <c r="M111" s="233">
        <v>-0.05</v>
      </c>
      <c r="O111" s="145">
        <f t="shared" si="65"/>
        <v>-246680.05000000002</v>
      </c>
      <c r="Q111" s="145">
        <f t="shared" si="63"/>
        <v>-246680.05000000002</v>
      </c>
      <c r="S111" s="145">
        <f t="shared" si="64"/>
        <v>17803364</v>
      </c>
      <c r="U111" s="233">
        <f t="shared" si="66"/>
        <v>-0.01</v>
      </c>
      <c r="W111" s="245"/>
    </row>
    <row r="112" spans="1:23" x14ac:dyDescent="0.2">
      <c r="A112">
        <v>344</v>
      </c>
      <c r="C112" t="s">
        <v>272</v>
      </c>
      <c r="E112" s="145">
        <v>5045282</v>
      </c>
      <c r="G112" s="233">
        <v>0</v>
      </c>
      <c r="I112" s="145">
        <f t="shared" si="62"/>
        <v>0</v>
      </c>
      <c r="K112" s="145">
        <v>140354</v>
      </c>
      <c r="M112" s="233">
        <v>-0.05</v>
      </c>
      <c r="O112" s="145">
        <f t="shared" si="65"/>
        <v>-7017.7000000000007</v>
      </c>
      <c r="Q112" s="145">
        <f t="shared" si="63"/>
        <v>-7017.7000000000007</v>
      </c>
      <c r="S112" s="145">
        <f t="shared" si="64"/>
        <v>5185636</v>
      </c>
      <c r="U112" s="233">
        <f t="shared" si="66"/>
        <v>-0.01</v>
      </c>
      <c r="W112" s="245"/>
    </row>
    <row r="113" spans="1:23" x14ac:dyDescent="0.2">
      <c r="A113">
        <v>345</v>
      </c>
      <c r="C113" t="s">
        <v>60</v>
      </c>
      <c r="E113" s="145">
        <v>2184168</v>
      </c>
      <c r="G113" s="233">
        <v>0</v>
      </c>
      <c r="I113" s="145">
        <f t="shared" si="62"/>
        <v>0</v>
      </c>
      <c r="K113" s="145">
        <v>272152</v>
      </c>
      <c r="M113" s="233">
        <v>-0.05</v>
      </c>
      <c r="O113" s="145">
        <f t="shared" si="65"/>
        <v>-13607.6</v>
      </c>
      <c r="Q113" s="145">
        <f t="shared" si="63"/>
        <v>-13607.6</v>
      </c>
      <c r="S113" s="145">
        <f t="shared" si="64"/>
        <v>2456320</v>
      </c>
      <c r="U113" s="233">
        <f t="shared" si="66"/>
        <v>-0.01</v>
      </c>
      <c r="W113" s="245"/>
    </row>
    <row r="114" spans="1:23" x14ac:dyDescent="0.2">
      <c r="A114">
        <v>346</v>
      </c>
      <c r="C114" t="s">
        <v>69</v>
      </c>
      <c r="E114" s="145">
        <v>784628</v>
      </c>
      <c r="G114" s="233">
        <v>0</v>
      </c>
      <c r="I114" s="145">
        <f t="shared" si="62"/>
        <v>0</v>
      </c>
      <c r="K114" s="145">
        <v>304922</v>
      </c>
      <c r="M114" s="233">
        <v>0</v>
      </c>
      <c r="O114">
        <v>0</v>
      </c>
      <c r="Q114" s="145">
        <f t="shared" si="63"/>
        <v>0</v>
      </c>
      <c r="S114" s="145">
        <f t="shared" si="64"/>
        <v>1089550</v>
      </c>
      <c r="U114" s="233">
        <f t="shared" si="66"/>
        <v>-0.01</v>
      </c>
      <c r="W114" s="245"/>
    </row>
    <row r="115" spans="1:23" x14ac:dyDescent="0.2">
      <c r="B115" t="s">
        <v>277</v>
      </c>
      <c r="E115" s="145">
        <f>SUM(E109:E114)</f>
        <v>24177305</v>
      </c>
      <c r="G115" s="233"/>
      <c r="I115" s="145">
        <f>SUM(I109:I114)</f>
        <v>0</v>
      </c>
      <c r="K115" s="145">
        <f>SUM(K109:K114)</f>
        <v>6262994</v>
      </c>
      <c r="M115" s="233"/>
      <c r="O115" s="145">
        <f>SUM(O109:O114)</f>
        <v>-280548.14999999997</v>
      </c>
      <c r="Q115" s="145">
        <f>SUM(Q109:Q114)</f>
        <v>-280548.14999999997</v>
      </c>
      <c r="S115" s="145">
        <f>SUM(S109:S114)</f>
        <v>30440299</v>
      </c>
      <c r="U115" s="233">
        <f t="shared" ref="U115" si="67">ROUND(Q115/S115, 2)</f>
        <v>-0.01</v>
      </c>
      <c r="W115" s="198"/>
    </row>
    <row r="116" spans="1:23" x14ac:dyDescent="0.2">
      <c r="G116" s="233"/>
      <c r="M116" s="233"/>
    </row>
    <row r="117" spans="1:23" x14ac:dyDescent="0.2">
      <c r="B117" t="s">
        <v>278</v>
      </c>
      <c r="G117" s="233"/>
      <c r="M117" s="233"/>
    </row>
    <row r="118" spans="1:23" x14ac:dyDescent="0.2">
      <c r="A118">
        <v>341</v>
      </c>
      <c r="C118" t="s">
        <v>35</v>
      </c>
      <c r="E118" s="145">
        <v>17661338</v>
      </c>
      <c r="G118" s="233">
        <v>0</v>
      </c>
      <c r="I118" s="145">
        <f t="shared" ref="I118:I123" si="68">E118*G118</f>
        <v>0</v>
      </c>
      <c r="K118" s="145">
        <v>4084591</v>
      </c>
      <c r="M118" s="233">
        <v>0</v>
      </c>
      <c r="O118">
        <v>0</v>
      </c>
      <c r="Q118" s="145">
        <f t="shared" ref="Q118:Q123" si="69">I118+O118</f>
        <v>0</v>
      </c>
      <c r="S118" s="145">
        <f t="shared" ref="S118:S123" si="70">E118+K118</f>
        <v>21745929</v>
      </c>
      <c r="U118" s="233">
        <f>U$124</f>
        <v>-0.01</v>
      </c>
      <c r="W118" s="245"/>
    </row>
    <row r="119" spans="1:23" x14ac:dyDescent="0.2">
      <c r="A119">
        <v>342</v>
      </c>
      <c r="C119" t="s">
        <v>88</v>
      </c>
      <c r="E119" s="145">
        <v>6528160</v>
      </c>
      <c r="G119" s="233">
        <v>0</v>
      </c>
      <c r="I119" s="145">
        <f t="shared" si="68"/>
        <v>0</v>
      </c>
      <c r="K119" s="145">
        <v>1171888</v>
      </c>
      <c r="M119" s="233">
        <v>-0.05</v>
      </c>
      <c r="O119" s="145">
        <f t="shared" ref="O119:O122" si="71">K119*M119</f>
        <v>-58594.400000000001</v>
      </c>
      <c r="Q119" s="145">
        <f t="shared" si="69"/>
        <v>-58594.400000000001</v>
      </c>
      <c r="S119" s="145">
        <f t="shared" si="70"/>
        <v>7700048</v>
      </c>
      <c r="U119" s="233">
        <f t="shared" ref="U119:U123" si="72">U$124</f>
        <v>-0.01</v>
      </c>
      <c r="W119" s="245"/>
    </row>
    <row r="120" spans="1:23" x14ac:dyDescent="0.2">
      <c r="A120">
        <v>343</v>
      </c>
      <c r="C120" t="s">
        <v>62</v>
      </c>
      <c r="E120" s="145">
        <v>109263693</v>
      </c>
      <c r="G120" s="233">
        <v>0</v>
      </c>
      <c r="I120" s="145">
        <f t="shared" si="68"/>
        <v>0</v>
      </c>
      <c r="K120" s="145">
        <v>45915081</v>
      </c>
      <c r="M120" s="233">
        <v>-0.05</v>
      </c>
      <c r="O120" s="145">
        <f t="shared" si="71"/>
        <v>-2295754.0500000003</v>
      </c>
      <c r="Q120" s="145">
        <f t="shared" si="69"/>
        <v>-2295754.0500000003</v>
      </c>
      <c r="S120" s="145">
        <f t="shared" si="70"/>
        <v>155178774</v>
      </c>
      <c r="U120" s="233">
        <f t="shared" si="72"/>
        <v>-0.01</v>
      </c>
      <c r="W120" s="245"/>
    </row>
    <row r="121" spans="1:23" x14ac:dyDescent="0.2">
      <c r="A121">
        <v>344</v>
      </c>
      <c r="C121" t="s">
        <v>272</v>
      </c>
      <c r="E121" s="145">
        <v>18798072</v>
      </c>
      <c r="G121" s="233">
        <v>0</v>
      </c>
      <c r="I121" s="145">
        <f t="shared" si="68"/>
        <v>0</v>
      </c>
      <c r="K121" s="145">
        <v>523030</v>
      </c>
      <c r="M121" s="233">
        <v>-0.05</v>
      </c>
      <c r="O121" s="145">
        <f t="shared" si="71"/>
        <v>-26151.5</v>
      </c>
      <c r="Q121" s="145">
        <f t="shared" si="69"/>
        <v>-26151.5</v>
      </c>
      <c r="S121" s="145">
        <f t="shared" si="70"/>
        <v>19321102</v>
      </c>
      <c r="U121" s="233">
        <f t="shared" si="72"/>
        <v>-0.01</v>
      </c>
      <c r="W121" s="245"/>
    </row>
    <row r="122" spans="1:23" x14ac:dyDescent="0.2">
      <c r="A122">
        <v>345</v>
      </c>
      <c r="C122" t="s">
        <v>60</v>
      </c>
      <c r="E122" s="145">
        <v>20149294</v>
      </c>
      <c r="G122" s="233">
        <v>0</v>
      </c>
      <c r="I122" s="145">
        <f t="shared" si="68"/>
        <v>0</v>
      </c>
      <c r="K122" s="145">
        <v>2587693</v>
      </c>
      <c r="M122" s="233">
        <v>-0.05</v>
      </c>
      <c r="O122" s="145">
        <f t="shared" si="71"/>
        <v>-129384.65000000001</v>
      </c>
      <c r="Q122" s="145">
        <f t="shared" si="69"/>
        <v>-129384.65000000001</v>
      </c>
      <c r="S122" s="145">
        <f t="shared" si="70"/>
        <v>22736987</v>
      </c>
      <c r="U122" s="233">
        <f t="shared" si="72"/>
        <v>-0.01</v>
      </c>
      <c r="W122" s="245"/>
    </row>
    <row r="123" spans="1:23" x14ac:dyDescent="0.2">
      <c r="A123">
        <v>346</v>
      </c>
      <c r="C123" t="s">
        <v>69</v>
      </c>
      <c r="E123" s="145">
        <v>75076</v>
      </c>
      <c r="G123" s="233">
        <v>0</v>
      </c>
      <c r="I123" s="145">
        <f t="shared" si="68"/>
        <v>0</v>
      </c>
      <c r="K123" s="145">
        <v>22620</v>
      </c>
      <c r="M123" s="233">
        <v>0</v>
      </c>
      <c r="O123">
        <v>0</v>
      </c>
      <c r="Q123" s="145">
        <f t="shared" si="69"/>
        <v>0</v>
      </c>
      <c r="S123" s="145">
        <f t="shared" si="70"/>
        <v>97696</v>
      </c>
      <c r="U123" s="233">
        <f t="shared" si="72"/>
        <v>-0.01</v>
      </c>
      <c r="W123" s="245"/>
    </row>
    <row r="124" spans="1:23" x14ac:dyDescent="0.2">
      <c r="B124" t="s">
        <v>279</v>
      </c>
      <c r="E124" s="145">
        <f>SUM(E118:E123)</f>
        <v>172475633</v>
      </c>
      <c r="I124" s="145">
        <f>SUM(I118:I123)</f>
        <v>0</v>
      </c>
      <c r="K124" s="145">
        <f>SUM(K118:K123)</f>
        <v>54304903</v>
      </c>
      <c r="O124" s="145">
        <f>SUM(O118:O123)</f>
        <v>-2509884.6</v>
      </c>
      <c r="Q124" s="145">
        <f>SUM(Q118:Q123)</f>
        <v>-2509884.6</v>
      </c>
      <c r="S124" s="145">
        <f>SUM(S118:S123)</f>
        <v>226780536</v>
      </c>
      <c r="U124" s="233">
        <f t="shared" ref="U124" si="73">ROUND(Q124/S124, 2)</f>
        <v>-0.01</v>
      </c>
      <c r="W124" s="198"/>
    </row>
    <row r="126" spans="1:23" x14ac:dyDescent="0.2">
      <c r="A126" t="s">
        <v>280</v>
      </c>
      <c r="E126" s="145">
        <f>SUM(E124,E115,E106,E98)</f>
        <v>405885748</v>
      </c>
      <c r="I126" s="145">
        <f>SUM(I124,I115,I106,I98)</f>
        <v>0</v>
      </c>
      <c r="K126" s="145">
        <f>SUM(K124,K115,K106,K98)</f>
        <v>120794620</v>
      </c>
      <c r="O126" s="145">
        <f>SUM(O124,O115,O106,O98)</f>
        <v>-5602897.25</v>
      </c>
      <c r="Q126" s="145">
        <f>SUM(Q124,Q115,Q106,Q98)</f>
        <v>-5602897.25</v>
      </c>
      <c r="S126" s="145">
        <f>SUM(S124,S115,S106,S98)</f>
        <v>526680368</v>
      </c>
    </row>
    <row r="128" spans="1:23" x14ac:dyDescent="0.2">
      <c r="A128" t="s">
        <v>281</v>
      </c>
      <c r="E128" s="145">
        <f>SUM(E126,E86,E72)</f>
        <v>3348777522</v>
      </c>
      <c r="I128" s="145">
        <f>SUM(I126,I86,I72)</f>
        <v>-291561885</v>
      </c>
      <c r="K128" s="145">
        <f>SUM(K126,K86,K72)</f>
        <v>765311759</v>
      </c>
      <c r="O128" s="145">
        <f>SUM(O126,O86,O72)</f>
        <v>161089529.65000001</v>
      </c>
      <c r="Q128" s="145">
        <f>SUM(Q126,Q86,Q72)</f>
        <v>452651414.64999998</v>
      </c>
      <c r="S128" s="145">
        <f>SUM(S126,S86,S72)</f>
        <v>4114089282</v>
      </c>
    </row>
  </sheetData>
  <mergeCells count="3">
    <mergeCell ref="E7:I7"/>
    <mergeCell ref="K7:O7"/>
    <mergeCell ref="Q7:S7"/>
  </mergeCells>
  <pageMargins left="0.7" right="0.7" top="0.75" bottom="0.75" header="0.3" footer="0.3"/>
  <pageSetup scale="56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06"/>
  <sheetViews>
    <sheetView tabSelected="1" topLeftCell="E1" workbookViewId="0">
      <selection activeCell="S26" sqref="S26"/>
    </sheetView>
  </sheetViews>
  <sheetFormatPr defaultColWidth="8.77734375" defaultRowHeight="15" x14ac:dyDescent="0.2"/>
  <cols>
    <col min="1" max="1" width="8.77734375" style="135"/>
    <col min="2" max="2" width="1.21875" style="135" customWidth="1"/>
    <col min="3" max="3" width="8.77734375" style="135"/>
    <col min="4" max="4" width="35.77734375" style="135" customWidth="1"/>
    <col min="5" max="5" width="13.77734375" style="135" customWidth="1"/>
    <col min="6" max="6" width="0.77734375" style="135" customWidth="1"/>
    <col min="7" max="7" width="8.77734375" style="135" customWidth="1"/>
    <col min="8" max="8" width="0.77734375" style="135" customWidth="1"/>
    <col min="9" max="9" width="14.6640625" style="135" customWidth="1"/>
    <col min="10" max="10" width="0.77734375" style="135" customWidth="1"/>
    <col min="11" max="11" width="15.33203125" style="135" customWidth="1"/>
    <col min="12" max="12" width="0.77734375" style="135" customWidth="1"/>
    <col min="13" max="13" width="15" style="135" customWidth="1"/>
    <col min="14" max="14" width="0.77734375" style="135" customWidth="1"/>
    <col min="15" max="15" width="14.6640625" style="135" customWidth="1"/>
    <col min="16" max="16" width="0.77734375" style="135" customWidth="1"/>
    <col min="17" max="17" width="13.21875" style="135" customWidth="1"/>
    <col min="18" max="18" width="0.77734375" style="135" customWidth="1"/>
    <col min="19" max="19" width="14.6640625" style="135" customWidth="1"/>
    <col min="20" max="20" width="0.77734375" style="135" customWidth="1"/>
    <col min="21" max="21" width="14.6640625" style="135" customWidth="1"/>
    <col min="22" max="22" width="0.77734375" style="135" customWidth="1"/>
    <col min="23" max="23" width="14.6640625" style="135" customWidth="1"/>
    <col min="24" max="24" width="0.77734375" style="135" customWidth="1"/>
    <col min="25" max="25" width="14.5546875" style="135" customWidth="1"/>
    <col min="26" max="26" width="0.77734375" style="135" customWidth="1"/>
    <col min="27" max="27" width="10.33203125" style="135" customWidth="1"/>
    <col min="28" max="16384" width="8.77734375" style="135"/>
  </cols>
  <sheetData>
    <row r="2" spans="1:17" x14ac:dyDescent="0.2">
      <c r="A2" s="135" t="s">
        <v>131</v>
      </c>
    </row>
    <row r="3" spans="1:17" x14ac:dyDescent="0.2">
      <c r="A3" s="316" t="s">
        <v>285</v>
      </c>
      <c r="B3" s="316"/>
      <c r="C3" s="316"/>
      <c r="D3" s="316"/>
      <c r="E3" s="316"/>
      <c r="F3" s="316"/>
      <c r="G3" s="316"/>
      <c r="H3" s="316"/>
      <c r="I3" s="316"/>
    </row>
    <row r="4" spans="1:17" x14ac:dyDescent="0.2">
      <c r="A4" s="135" t="s">
        <v>232</v>
      </c>
    </row>
    <row r="8" spans="1:17" ht="30" x14ac:dyDescent="0.2">
      <c r="I8" s="228" t="s">
        <v>286</v>
      </c>
      <c r="K8" s="193" t="s">
        <v>287</v>
      </c>
      <c r="M8" s="228" t="s">
        <v>288</v>
      </c>
      <c r="O8" s="228" t="s">
        <v>289</v>
      </c>
      <c r="Q8" s="228" t="s">
        <v>290</v>
      </c>
    </row>
    <row r="9" spans="1:17" x14ac:dyDescent="0.2">
      <c r="C9" s="135" t="s">
        <v>26</v>
      </c>
      <c r="I9" s="200">
        <v>333950215.30000001</v>
      </c>
      <c r="K9" s="230">
        <v>3.1E-2</v>
      </c>
      <c r="M9" s="135">
        <v>-25</v>
      </c>
      <c r="O9" s="145">
        <f>+(I9*((K9)*(M9/100)))</f>
        <v>-2588114.168575</v>
      </c>
      <c r="Q9" s="130">
        <f>+O9/I9</f>
        <v>-7.7499999999999999E-3</v>
      </c>
    </row>
    <row r="10" spans="1:17" x14ac:dyDescent="0.2">
      <c r="C10" s="135" t="s">
        <v>28</v>
      </c>
      <c r="I10" s="200">
        <v>2674446282.9600005</v>
      </c>
      <c r="K10" s="229">
        <v>9.0999999999999998E-2</v>
      </c>
      <c r="M10" s="135">
        <v>-30</v>
      </c>
      <c r="O10" s="145">
        <f>+(I10*((K10)*(M10/100)))</f>
        <v>-73012383.524808004</v>
      </c>
      <c r="Q10" s="130">
        <f>+O10/I10</f>
        <v>-2.7299999999999998E-2</v>
      </c>
    </row>
    <row r="11" spans="1:17" x14ac:dyDescent="0.2">
      <c r="C11" s="135" t="s">
        <v>291</v>
      </c>
      <c r="I11" s="145" t="s">
        <v>1</v>
      </c>
      <c r="K11" s="229" t="s">
        <v>1</v>
      </c>
      <c r="O11" s="145" t="s">
        <v>1</v>
      </c>
    </row>
    <row r="12" spans="1:17" x14ac:dyDescent="0.2">
      <c r="C12" s="135" t="s">
        <v>292</v>
      </c>
      <c r="I12" s="145" t="s">
        <v>1</v>
      </c>
      <c r="K12" s="229"/>
      <c r="O12" s="145" t="s">
        <v>1</v>
      </c>
    </row>
    <row r="13" spans="1:17" x14ac:dyDescent="0.2">
      <c r="C13" s="135" t="s">
        <v>30</v>
      </c>
      <c r="I13" s="200">
        <v>319664519.66000003</v>
      </c>
      <c r="K13" s="229">
        <v>0.13</v>
      </c>
      <c r="M13" s="135">
        <v>-15</v>
      </c>
      <c r="O13" s="145">
        <f t="shared" ref="O13:O15" si="0">+(I13*((K13)*(M13/100)))</f>
        <v>-6233458.1333700009</v>
      </c>
      <c r="Q13" s="130">
        <f t="shared" ref="Q13:Q33" si="1">+O13/I13</f>
        <v>-1.95E-2</v>
      </c>
    </row>
    <row r="14" spans="1:17" x14ac:dyDescent="0.2">
      <c r="C14" s="135" t="s">
        <v>32</v>
      </c>
      <c r="I14" s="200">
        <v>201634659.45000005</v>
      </c>
      <c r="K14" s="229">
        <v>2.5999999999999999E-2</v>
      </c>
      <c r="M14" s="135">
        <v>-20</v>
      </c>
      <c r="O14" s="145">
        <f t="shared" si="0"/>
        <v>-1048500.2291400002</v>
      </c>
      <c r="Q14" s="130">
        <f t="shared" si="1"/>
        <v>-5.1999999999999998E-3</v>
      </c>
    </row>
    <row r="15" spans="1:17" x14ac:dyDescent="0.2">
      <c r="C15" s="135" t="s">
        <v>178</v>
      </c>
      <c r="I15" s="202">
        <v>30010398.68</v>
      </c>
      <c r="K15" s="229">
        <v>9.0999999999999998E-2</v>
      </c>
      <c r="M15" s="135">
        <v>0</v>
      </c>
      <c r="O15" s="145">
        <f t="shared" si="0"/>
        <v>0</v>
      </c>
      <c r="Q15" s="130">
        <f t="shared" si="1"/>
        <v>0</v>
      </c>
    </row>
    <row r="16" spans="1:17" x14ac:dyDescent="0.2">
      <c r="K16" s="229"/>
      <c r="Q16" s="130" t="s">
        <v>1</v>
      </c>
    </row>
    <row r="17" spans="3:25" x14ac:dyDescent="0.2">
      <c r="C17" s="135" t="s">
        <v>33</v>
      </c>
      <c r="I17" s="145">
        <f>SUM(I9:I16)</f>
        <v>3559706076.0500007</v>
      </c>
      <c r="K17" s="229"/>
      <c r="O17" s="145">
        <f>SUM(O9:O16)</f>
        <v>-82882456.055893004</v>
      </c>
      <c r="Q17" s="130">
        <f t="shared" si="1"/>
        <v>-2.3283511134116683E-2</v>
      </c>
    </row>
    <row r="18" spans="3:25" x14ac:dyDescent="0.2">
      <c r="K18" s="229"/>
    </row>
    <row r="19" spans="3:25" x14ac:dyDescent="0.2">
      <c r="C19" s="135" t="s">
        <v>66</v>
      </c>
      <c r="I19" s="212">
        <v>616526.68999999994</v>
      </c>
      <c r="K19" s="229">
        <v>1.2E-2</v>
      </c>
      <c r="M19" s="135">
        <v>-5</v>
      </c>
      <c r="O19" s="145">
        <f t="shared" ref="O19:O24" si="2">+(I19*((K19)*(M19/100)))</f>
        <v>-369.91601400000002</v>
      </c>
      <c r="Q19" s="130">
        <f t="shared" si="1"/>
        <v>-6.0000000000000006E-4</v>
      </c>
    </row>
    <row r="20" spans="3:25" x14ac:dyDescent="0.2">
      <c r="C20" s="135" t="s">
        <v>293</v>
      </c>
      <c r="I20" s="212">
        <v>21603969.66</v>
      </c>
      <c r="K20" s="229">
        <v>1.6E-2</v>
      </c>
      <c r="M20" s="135">
        <v>-10</v>
      </c>
      <c r="O20" s="145">
        <f t="shared" si="2"/>
        <v>-34566.351456000004</v>
      </c>
      <c r="Q20" s="130">
        <f t="shared" si="1"/>
        <v>-1.6000000000000001E-3</v>
      </c>
    </row>
    <row r="21" spans="3:25" x14ac:dyDescent="0.2">
      <c r="C21" s="135" t="s">
        <v>174</v>
      </c>
      <c r="I21" s="145">
        <v>4430624.3099999996</v>
      </c>
      <c r="K21" s="229">
        <v>5.0000000000000001E-3</v>
      </c>
      <c r="M21" s="135">
        <v>-20</v>
      </c>
      <c r="O21" s="145">
        <f t="shared" si="2"/>
        <v>-4430.6243099999992</v>
      </c>
      <c r="Q21" s="130">
        <f t="shared" si="1"/>
        <v>-1E-3</v>
      </c>
    </row>
    <row r="22" spans="3:25" x14ac:dyDescent="0.2">
      <c r="C22" s="135" t="s">
        <v>67</v>
      </c>
      <c r="I22" s="145">
        <v>578333.28</v>
      </c>
      <c r="K22" s="229">
        <v>0.32800000000000001</v>
      </c>
      <c r="M22" s="135">
        <v>0</v>
      </c>
      <c r="O22" s="145">
        <f t="shared" si="2"/>
        <v>0</v>
      </c>
      <c r="Q22" s="130">
        <f t="shared" si="1"/>
        <v>0</v>
      </c>
    </row>
    <row r="23" spans="3:25" x14ac:dyDescent="0.2">
      <c r="C23" s="135" t="s">
        <v>68</v>
      </c>
      <c r="I23" s="145">
        <v>297023.86</v>
      </c>
      <c r="K23" s="229">
        <v>0.38600000000000001</v>
      </c>
      <c r="M23" s="135">
        <v>-5</v>
      </c>
      <c r="O23" s="145">
        <f t="shared" si="2"/>
        <v>-5732.5604979999998</v>
      </c>
      <c r="Q23" s="130">
        <f t="shared" si="1"/>
        <v>-1.9300000000000001E-2</v>
      </c>
      <c r="S23" s="130"/>
    </row>
    <row r="24" spans="3:25" x14ac:dyDescent="0.2">
      <c r="C24" s="135" t="s">
        <v>294</v>
      </c>
      <c r="I24" s="158">
        <v>176359.59</v>
      </c>
      <c r="K24" s="229">
        <v>0</v>
      </c>
      <c r="M24" s="135">
        <v>0</v>
      </c>
      <c r="O24" s="145">
        <f t="shared" si="2"/>
        <v>0</v>
      </c>
      <c r="Q24" s="130">
        <f t="shared" si="1"/>
        <v>0</v>
      </c>
      <c r="S24" s="135" t="s">
        <v>1</v>
      </c>
      <c r="W24" s="135">
        <v>0</v>
      </c>
      <c r="Y24" s="135">
        <v>0</v>
      </c>
    </row>
    <row r="25" spans="3:25" x14ac:dyDescent="0.2">
      <c r="I25" s="152"/>
      <c r="K25" s="229"/>
      <c r="O25" s="145"/>
      <c r="Q25" s="130"/>
    </row>
    <row r="26" spans="3:25" x14ac:dyDescent="0.2">
      <c r="C26" s="135" t="s">
        <v>188</v>
      </c>
      <c r="I26" s="145">
        <f>SUM(I19:I24)</f>
        <v>27702837.390000001</v>
      </c>
      <c r="K26" s="229"/>
      <c r="O26" s="145">
        <f>SUM(O19:O25)</f>
        <v>-45099.452278000004</v>
      </c>
      <c r="Q26" s="130">
        <f t="shared" si="1"/>
        <v>-1.6279723135609108E-3</v>
      </c>
    </row>
    <row r="27" spans="3:25" x14ac:dyDescent="0.2">
      <c r="K27" s="229"/>
    </row>
    <row r="28" spans="3:25" x14ac:dyDescent="0.2">
      <c r="C28" s="135" t="s">
        <v>36</v>
      </c>
      <c r="I28" s="145">
        <v>36018413.209999993</v>
      </c>
      <c r="K28" s="229">
        <v>3.9E-2</v>
      </c>
      <c r="M28" s="135">
        <v>0</v>
      </c>
      <c r="O28" s="145">
        <f t="shared" ref="O28:O33" si="3">+(I28*((K28)*(M28/100)))</f>
        <v>0</v>
      </c>
      <c r="Q28" s="130">
        <f t="shared" si="1"/>
        <v>0</v>
      </c>
    </row>
    <row r="29" spans="3:25" x14ac:dyDescent="0.2">
      <c r="C29" s="135" t="s">
        <v>154</v>
      </c>
      <c r="I29" s="145">
        <v>22747816.41</v>
      </c>
      <c r="K29" s="229">
        <v>0.126</v>
      </c>
      <c r="M29" s="135">
        <v>-5</v>
      </c>
      <c r="O29" s="145">
        <f t="shared" si="3"/>
        <v>-143311.24338299999</v>
      </c>
      <c r="Q29" s="130">
        <f t="shared" si="1"/>
        <v>-6.3E-3</v>
      </c>
    </row>
    <row r="30" spans="3:25" x14ac:dyDescent="0.2">
      <c r="C30" s="135" t="s">
        <v>63</v>
      </c>
      <c r="I30" s="145">
        <v>358823032.37</v>
      </c>
      <c r="K30" s="229">
        <v>0.13600000000000001</v>
      </c>
      <c r="M30" s="135">
        <v>-5</v>
      </c>
      <c r="O30" s="145">
        <f t="shared" si="3"/>
        <v>-2439996.6201160001</v>
      </c>
      <c r="Q30" s="130">
        <f t="shared" si="1"/>
        <v>-6.8000000000000005E-3</v>
      </c>
    </row>
    <row r="31" spans="3:25" x14ac:dyDescent="0.2">
      <c r="C31" s="135" t="s">
        <v>38</v>
      </c>
      <c r="I31" s="145">
        <v>59360761.139999993</v>
      </c>
      <c r="K31" s="229">
        <v>3.0000000000000001E-3</v>
      </c>
      <c r="M31" s="135">
        <v>-5</v>
      </c>
      <c r="O31" s="145">
        <f t="shared" si="3"/>
        <v>-8904.1141709999993</v>
      </c>
      <c r="Q31" s="130">
        <f t="shared" si="1"/>
        <v>-1.5000000000000001E-4</v>
      </c>
    </row>
    <row r="32" spans="3:25" x14ac:dyDescent="0.2">
      <c r="C32" s="135" t="s">
        <v>40</v>
      </c>
      <c r="I32" s="145">
        <v>44367406.07</v>
      </c>
      <c r="K32" s="229">
        <v>0.02</v>
      </c>
      <c r="M32" s="135">
        <v>-5</v>
      </c>
      <c r="O32" s="145">
        <f t="shared" si="3"/>
        <v>-44367.406070000005</v>
      </c>
      <c r="Q32" s="130">
        <f t="shared" si="1"/>
        <v>-1E-3</v>
      </c>
    </row>
    <row r="33" spans="3:17" x14ac:dyDescent="0.2">
      <c r="C33" s="135" t="s">
        <v>177</v>
      </c>
      <c r="I33" s="158">
        <v>5362941.0700000012</v>
      </c>
      <c r="K33" s="229">
        <v>1.9E-2</v>
      </c>
      <c r="M33" s="135">
        <v>0</v>
      </c>
      <c r="O33" s="145">
        <f t="shared" si="3"/>
        <v>0</v>
      </c>
      <c r="Q33" s="130">
        <f t="shared" si="1"/>
        <v>0</v>
      </c>
    </row>
    <row r="34" spans="3:17" x14ac:dyDescent="0.2">
      <c r="K34" s="229"/>
    </row>
    <row r="35" spans="3:17" x14ac:dyDescent="0.2">
      <c r="C35" s="135" t="s">
        <v>41</v>
      </c>
      <c r="I35" s="145">
        <f>SUM(I28:I34)</f>
        <v>526680370.26999998</v>
      </c>
      <c r="K35" s="229"/>
      <c r="O35" s="145">
        <f>SUM(O28:O34)</f>
        <v>-2636579.3837400004</v>
      </c>
    </row>
    <row r="36" spans="3:17" x14ac:dyDescent="0.2">
      <c r="K36" s="229"/>
    </row>
    <row r="37" spans="3:17" x14ac:dyDescent="0.2">
      <c r="K37" s="231"/>
    </row>
    <row r="38" spans="3:17" x14ac:dyDescent="0.2">
      <c r="K38" s="231"/>
    </row>
    <row r="39" spans="3:17" x14ac:dyDescent="0.2">
      <c r="K39" s="231"/>
    </row>
    <row r="40" spans="3:17" x14ac:dyDescent="0.2">
      <c r="K40" s="231"/>
    </row>
    <row r="41" spans="3:17" x14ac:dyDescent="0.2">
      <c r="K41" s="231"/>
    </row>
    <row r="42" spans="3:17" x14ac:dyDescent="0.2">
      <c r="K42" s="231"/>
    </row>
    <row r="43" spans="3:17" x14ac:dyDescent="0.2">
      <c r="K43" s="231"/>
    </row>
    <row r="44" spans="3:17" x14ac:dyDescent="0.2">
      <c r="K44" s="231"/>
    </row>
    <row r="45" spans="3:17" x14ac:dyDescent="0.2">
      <c r="K45" s="231"/>
    </row>
    <row r="46" spans="3:17" x14ac:dyDescent="0.2">
      <c r="K46" s="231"/>
    </row>
    <row r="47" spans="3:17" x14ac:dyDescent="0.2">
      <c r="K47" s="231"/>
    </row>
    <row r="48" spans="3:17" x14ac:dyDescent="0.2">
      <c r="K48" s="231"/>
    </row>
    <row r="49" spans="11:11" x14ac:dyDescent="0.2">
      <c r="K49" s="231"/>
    </row>
    <row r="50" spans="11:11" x14ac:dyDescent="0.2">
      <c r="K50" s="231"/>
    </row>
    <row r="51" spans="11:11" x14ac:dyDescent="0.2">
      <c r="K51" s="231"/>
    </row>
    <row r="52" spans="11:11" x14ac:dyDescent="0.2">
      <c r="K52" s="231"/>
    </row>
    <row r="53" spans="11:11" x14ac:dyDescent="0.2">
      <c r="K53" s="231"/>
    </row>
    <row r="54" spans="11:11" x14ac:dyDescent="0.2">
      <c r="K54" s="231"/>
    </row>
    <row r="55" spans="11:11" x14ac:dyDescent="0.2">
      <c r="K55" s="231"/>
    </row>
    <row r="56" spans="11:11" x14ac:dyDescent="0.2">
      <c r="K56" s="231"/>
    </row>
    <row r="57" spans="11:11" x14ac:dyDescent="0.2">
      <c r="K57" s="231"/>
    </row>
    <row r="58" spans="11:11" x14ac:dyDescent="0.2">
      <c r="K58" s="231"/>
    </row>
    <row r="59" spans="11:11" x14ac:dyDescent="0.2">
      <c r="K59" s="231"/>
    </row>
    <row r="60" spans="11:11" x14ac:dyDescent="0.2">
      <c r="K60" s="231"/>
    </row>
    <row r="61" spans="11:11" x14ac:dyDescent="0.2">
      <c r="K61" s="231"/>
    </row>
    <row r="62" spans="11:11" x14ac:dyDescent="0.2">
      <c r="K62" s="231"/>
    </row>
    <row r="63" spans="11:11" x14ac:dyDescent="0.2">
      <c r="K63" s="231"/>
    </row>
    <row r="64" spans="11:11" x14ac:dyDescent="0.2">
      <c r="K64" s="231"/>
    </row>
    <row r="65" spans="11:11" x14ac:dyDescent="0.2">
      <c r="K65" s="231"/>
    </row>
    <row r="66" spans="11:11" x14ac:dyDescent="0.2">
      <c r="K66" s="231"/>
    </row>
    <row r="67" spans="11:11" x14ac:dyDescent="0.2">
      <c r="K67" s="231"/>
    </row>
    <row r="68" spans="11:11" x14ac:dyDescent="0.2">
      <c r="K68" s="231"/>
    </row>
    <row r="69" spans="11:11" x14ac:dyDescent="0.2">
      <c r="K69" s="231"/>
    </row>
    <row r="70" spans="11:11" x14ac:dyDescent="0.2">
      <c r="K70" s="231"/>
    </row>
    <row r="71" spans="11:11" x14ac:dyDescent="0.2">
      <c r="K71" s="231"/>
    </row>
    <row r="72" spans="11:11" x14ac:dyDescent="0.2">
      <c r="K72" s="231"/>
    </row>
    <row r="73" spans="11:11" x14ac:dyDescent="0.2">
      <c r="K73" s="231"/>
    </row>
    <row r="74" spans="11:11" x14ac:dyDescent="0.2">
      <c r="K74" s="231"/>
    </row>
    <row r="75" spans="11:11" x14ac:dyDescent="0.2">
      <c r="K75" s="231"/>
    </row>
    <row r="76" spans="11:11" x14ac:dyDescent="0.2">
      <c r="K76" s="231"/>
    </row>
    <row r="77" spans="11:11" x14ac:dyDescent="0.2">
      <c r="K77" s="231"/>
    </row>
    <row r="78" spans="11:11" x14ac:dyDescent="0.2">
      <c r="K78" s="231"/>
    </row>
    <row r="79" spans="11:11" x14ac:dyDescent="0.2">
      <c r="K79" s="231"/>
    </row>
    <row r="80" spans="11:11" x14ac:dyDescent="0.2">
      <c r="K80" s="231"/>
    </row>
    <row r="81" spans="11:11" x14ac:dyDescent="0.2">
      <c r="K81" s="231"/>
    </row>
    <row r="82" spans="11:11" x14ac:dyDescent="0.2">
      <c r="K82" s="231"/>
    </row>
    <row r="83" spans="11:11" x14ac:dyDescent="0.2">
      <c r="K83" s="231"/>
    </row>
    <row r="84" spans="11:11" x14ac:dyDescent="0.2">
      <c r="K84" s="231"/>
    </row>
    <row r="85" spans="11:11" x14ac:dyDescent="0.2">
      <c r="K85" s="231"/>
    </row>
    <row r="86" spans="11:11" x14ac:dyDescent="0.2">
      <c r="K86" s="231"/>
    </row>
    <row r="87" spans="11:11" x14ac:dyDescent="0.2">
      <c r="K87" s="231"/>
    </row>
    <row r="88" spans="11:11" x14ac:dyDescent="0.2">
      <c r="K88" s="231"/>
    </row>
    <row r="89" spans="11:11" x14ac:dyDescent="0.2">
      <c r="K89" s="231"/>
    </row>
    <row r="90" spans="11:11" x14ac:dyDescent="0.2">
      <c r="K90" s="231"/>
    </row>
    <row r="91" spans="11:11" x14ac:dyDescent="0.2">
      <c r="K91" s="231"/>
    </row>
    <row r="92" spans="11:11" x14ac:dyDescent="0.2">
      <c r="K92" s="231"/>
    </row>
    <row r="93" spans="11:11" x14ac:dyDescent="0.2">
      <c r="K93" s="231"/>
    </row>
    <row r="94" spans="11:11" x14ac:dyDescent="0.2">
      <c r="K94" s="231"/>
    </row>
    <row r="95" spans="11:11" x14ac:dyDescent="0.2">
      <c r="K95" s="231"/>
    </row>
    <row r="96" spans="11:11" x14ac:dyDescent="0.2">
      <c r="K96" s="231"/>
    </row>
    <row r="97" spans="11:11" x14ac:dyDescent="0.2">
      <c r="K97" s="231"/>
    </row>
    <row r="98" spans="11:11" x14ac:dyDescent="0.2">
      <c r="K98" s="231"/>
    </row>
    <row r="99" spans="11:11" x14ac:dyDescent="0.2">
      <c r="K99" s="231"/>
    </row>
    <row r="100" spans="11:11" x14ac:dyDescent="0.2">
      <c r="K100" s="231"/>
    </row>
    <row r="101" spans="11:11" x14ac:dyDescent="0.2">
      <c r="K101" s="231"/>
    </row>
    <row r="102" spans="11:11" x14ac:dyDescent="0.2">
      <c r="K102" s="231"/>
    </row>
    <row r="103" spans="11:11" x14ac:dyDescent="0.2">
      <c r="K103" s="231"/>
    </row>
    <row r="104" spans="11:11" x14ac:dyDescent="0.2">
      <c r="K104" s="231"/>
    </row>
    <row r="105" spans="11:11" x14ac:dyDescent="0.2">
      <c r="K105" s="231"/>
    </row>
    <row r="106" spans="11:11" x14ac:dyDescent="0.2">
      <c r="K106" s="231"/>
    </row>
  </sheetData>
  <mergeCells count="1">
    <mergeCell ref="A3:I3"/>
  </mergeCells>
  <pageMargins left="0.7" right="0.7" top="0.75" bottom="0.75" header="0.3" footer="0.3"/>
  <pageSetup scale="46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85"/>
  <sheetViews>
    <sheetView topLeftCell="I334" zoomScale="80" zoomScaleNormal="80" workbookViewId="0">
      <selection activeCell="W361" sqref="W361"/>
    </sheetView>
  </sheetViews>
  <sheetFormatPr defaultColWidth="9.77734375" defaultRowHeight="15" x14ac:dyDescent="0.2"/>
  <cols>
    <col min="1" max="1" width="9.77734375" style="135" customWidth="1"/>
    <col min="2" max="2" width="1.5546875" style="135" bestFit="1" customWidth="1"/>
    <col min="3" max="3" width="51.77734375" style="135" customWidth="1"/>
    <col min="4" max="4" width="5.6640625" style="135" bestFit="1" customWidth="1"/>
    <col min="5" max="5" width="16.21875" style="261" customWidth="1"/>
    <col min="6" max="6" width="3.77734375" style="261" customWidth="1"/>
    <col min="7" max="7" width="11" style="23" bestFit="1" customWidth="1"/>
    <col min="8" max="8" width="3.77734375" style="135" customWidth="1"/>
    <col min="9" max="9" width="16.44140625" style="135" customWidth="1"/>
    <col min="10" max="10" width="3.77734375" style="135" customWidth="1"/>
    <col min="11" max="11" width="16.6640625" style="16" customWidth="1"/>
    <col min="12" max="12" width="3.77734375" style="16" customWidth="1"/>
    <col min="13" max="13" width="18" style="16" customWidth="1"/>
    <col min="14" max="14" width="3.77734375" style="16" customWidth="1"/>
    <col min="15" max="15" width="12.77734375" style="16" customWidth="1"/>
    <col min="16" max="16" width="3.77734375" style="135" customWidth="1"/>
    <col min="17" max="17" width="12" style="135" bestFit="1" customWidth="1"/>
    <col min="18" max="18" width="3.77734375" style="135" customWidth="1"/>
    <col min="19" max="19" width="12.77734375" style="135" customWidth="1"/>
    <col min="20" max="20" width="3.77734375" style="135" customWidth="1"/>
    <col min="21" max="21" width="10.44140625" style="135" bestFit="1" customWidth="1"/>
    <col min="22" max="22" width="3.77734375" style="135" customWidth="1"/>
    <col min="23" max="23" width="14.5546875" style="145" bestFit="1" customWidth="1"/>
    <col min="24" max="24" width="3.77734375" style="135" customWidth="1"/>
    <col min="25" max="25" width="15.109375" style="144" bestFit="1" customWidth="1"/>
    <col min="26" max="26" width="12.21875" style="135" bestFit="1" customWidth="1"/>
    <col min="27" max="16384" width="9.77734375" style="135"/>
  </cols>
  <sheetData>
    <row r="1" spans="1:25" ht="15.75" thickBot="1" x14ac:dyDescent="0.25">
      <c r="A1" s="9"/>
      <c r="B1" s="9"/>
      <c r="C1" s="9"/>
      <c r="D1" s="9"/>
      <c r="H1" s="9"/>
      <c r="I1" s="9"/>
      <c r="J1" s="9"/>
      <c r="K1" s="14"/>
      <c r="L1" s="14"/>
      <c r="M1" s="14"/>
      <c r="N1" s="14"/>
      <c r="O1" s="14"/>
      <c r="P1" s="9"/>
      <c r="Q1" s="9"/>
      <c r="R1" s="9"/>
      <c r="S1" s="9"/>
      <c r="T1" s="9"/>
    </row>
    <row r="2" spans="1:25" ht="15.75" x14ac:dyDescent="0.25">
      <c r="B2" s="18"/>
      <c r="C2" s="300" t="s">
        <v>131</v>
      </c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2"/>
    </row>
    <row r="3" spans="1:25" ht="15.75" x14ac:dyDescent="0.25">
      <c r="A3" s="167"/>
      <c r="B3" s="167"/>
      <c r="C3" s="303" t="s">
        <v>227</v>
      </c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5"/>
    </row>
    <row r="4" spans="1:25" ht="15.75" x14ac:dyDescent="0.25">
      <c r="B4" s="18"/>
      <c r="C4" s="306" t="s">
        <v>0</v>
      </c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5"/>
    </row>
    <row r="5" spans="1:25" ht="16.5" thickBot="1" x14ac:dyDescent="0.3">
      <c r="B5" s="60"/>
      <c r="C5" s="307" t="s">
        <v>161</v>
      </c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9"/>
    </row>
    <row r="6" spans="1:25" ht="16.5" thickBot="1" x14ac:dyDescent="0.3">
      <c r="A6" s="4"/>
      <c r="B6" s="10"/>
      <c r="C6" s="10"/>
      <c r="D6" s="10"/>
      <c r="E6" s="55"/>
      <c r="F6" s="55"/>
      <c r="H6" s="10"/>
      <c r="I6" s="10"/>
      <c r="J6" s="10"/>
      <c r="K6" s="15"/>
      <c r="L6" s="15"/>
      <c r="M6" s="15"/>
      <c r="N6" s="15"/>
      <c r="T6" s="9"/>
    </row>
    <row r="7" spans="1:25" ht="16.5" thickBot="1" x14ac:dyDescent="0.3">
      <c r="A7" s="9"/>
      <c r="B7" s="7"/>
      <c r="C7" s="2"/>
      <c r="D7" s="128"/>
      <c r="E7" s="128"/>
      <c r="F7" s="128"/>
      <c r="G7" s="127" t="s">
        <v>2</v>
      </c>
      <c r="H7" s="128"/>
      <c r="I7" s="128"/>
      <c r="J7" s="128"/>
      <c r="K7" s="17" t="s">
        <v>3</v>
      </c>
      <c r="L7" s="17"/>
      <c r="M7" s="17"/>
      <c r="N7" s="17"/>
      <c r="O7" s="168"/>
      <c r="P7" s="169"/>
      <c r="Q7" s="169"/>
      <c r="R7" s="170"/>
      <c r="S7" s="171" t="s">
        <v>229</v>
      </c>
      <c r="T7" s="9"/>
      <c r="U7" s="310" t="s">
        <v>348</v>
      </c>
      <c r="V7" s="311"/>
      <c r="W7" s="312"/>
      <c r="X7" s="129"/>
    </row>
    <row r="8" spans="1:25" ht="15.75" x14ac:dyDescent="0.25">
      <c r="A8" s="9"/>
      <c r="B8" s="7"/>
      <c r="C8" s="128"/>
      <c r="D8" s="128"/>
      <c r="E8" s="128" t="s">
        <v>5</v>
      </c>
      <c r="F8" s="128"/>
      <c r="G8" s="127" t="s">
        <v>6</v>
      </c>
      <c r="H8" s="128"/>
      <c r="I8" s="128" t="s">
        <v>7</v>
      </c>
      <c r="J8" s="128"/>
      <c r="K8" s="17" t="s">
        <v>8</v>
      </c>
      <c r="L8" s="17"/>
      <c r="M8" s="17" t="s">
        <v>9</v>
      </c>
      <c r="N8" s="17"/>
      <c r="O8" s="172" t="s">
        <v>12</v>
      </c>
      <c r="P8" s="171"/>
      <c r="Q8" s="173" t="s">
        <v>228</v>
      </c>
      <c r="R8" s="170"/>
      <c r="S8" s="171" t="s">
        <v>230</v>
      </c>
      <c r="T8" s="9"/>
      <c r="U8" s="130"/>
    </row>
    <row r="9" spans="1:25" ht="15.75" x14ac:dyDescent="0.25">
      <c r="A9" s="9"/>
      <c r="B9" s="7"/>
      <c r="C9" s="128" t="s">
        <v>13</v>
      </c>
      <c r="D9" s="128"/>
      <c r="E9" s="128" t="s">
        <v>14</v>
      </c>
      <c r="F9" s="128"/>
      <c r="G9" s="127" t="s">
        <v>15</v>
      </c>
      <c r="H9" s="128"/>
      <c r="I9" s="128" t="s">
        <v>16</v>
      </c>
      <c r="J9" s="128"/>
      <c r="K9" s="17" t="s">
        <v>17</v>
      </c>
      <c r="L9" s="17"/>
      <c r="M9" s="17" t="s">
        <v>18</v>
      </c>
      <c r="N9" s="17"/>
      <c r="O9" s="190" t="s">
        <v>21</v>
      </c>
      <c r="P9" s="171"/>
      <c r="Q9" s="191" t="s">
        <v>11</v>
      </c>
      <c r="R9" s="170"/>
      <c r="S9" s="192" t="s">
        <v>20</v>
      </c>
      <c r="T9" s="9"/>
      <c r="U9" s="131" t="s">
        <v>219</v>
      </c>
      <c r="V9" s="128"/>
      <c r="W9" s="146" t="s">
        <v>220</v>
      </c>
      <c r="X9" s="128"/>
      <c r="Y9" s="147" t="s">
        <v>221</v>
      </c>
    </row>
    <row r="10" spans="1:25" ht="15.75" x14ac:dyDescent="0.25">
      <c r="A10" s="9"/>
      <c r="B10" s="7"/>
      <c r="C10" s="11">
        <v>-1</v>
      </c>
      <c r="D10" s="148"/>
      <c r="E10" s="11">
        <v>-2</v>
      </c>
      <c r="F10" s="148"/>
      <c r="G10" s="13">
        <v>-3</v>
      </c>
      <c r="H10" s="148"/>
      <c r="I10" s="11">
        <v>-4</v>
      </c>
      <c r="J10" s="148"/>
      <c r="K10" s="11">
        <v>-5</v>
      </c>
      <c r="L10" s="17"/>
      <c r="M10" s="11" t="s">
        <v>231</v>
      </c>
      <c r="N10" s="17"/>
      <c r="O10" s="172">
        <v>-7</v>
      </c>
      <c r="P10" s="174"/>
      <c r="Q10" s="195" t="s">
        <v>282</v>
      </c>
      <c r="R10" s="136"/>
      <c r="S10" s="172">
        <v>-9</v>
      </c>
      <c r="T10" s="9"/>
      <c r="U10" s="127">
        <v>-10</v>
      </c>
      <c r="V10" s="128"/>
      <c r="W10" s="291" t="s">
        <v>349</v>
      </c>
      <c r="X10" s="128"/>
      <c r="Y10" s="149" t="s">
        <v>223</v>
      </c>
    </row>
    <row r="11" spans="1:25" ht="15.75" x14ac:dyDescent="0.25">
      <c r="A11" s="9"/>
      <c r="B11" s="7"/>
      <c r="C11" s="148"/>
      <c r="D11" s="148"/>
      <c r="E11" s="148"/>
      <c r="F11" s="148"/>
      <c r="G11" s="127"/>
      <c r="H11" s="148"/>
      <c r="I11" s="148"/>
      <c r="J11" s="148"/>
      <c r="K11" s="17"/>
      <c r="L11" s="17"/>
      <c r="M11" s="17"/>
      <c r="N11" s="17"/>
      <c r="O11" s="172"/>
      <c r="P11" s="174"/>
      <c r="Q11" s="174"/>
      <c r="R11" s="136"/>
      <c r="S11" s="174"/>
      <c r="T11" s="9"/>
    </row>
    <row r="12" spans="1:25" ht="15.75" x14ac:dyDescent="0.25">
      <c r="A12" s="9"/>
      <c r="C12" s="8" t="s">
        <v>56</v>
      </c>
      <c r="K12" s="14"/>
      <c r="L12" s="14"/>
      <c r="M12" s="14"/>
      <c r="N12" s="14"/>
      <c r="O12" s="175"/>
      <c r="P12" s="136"/>
      <c r="Q12" s="136"/>
      <c r="R12" s="136"/>
      <c r="S12" s="136"/>
      <c r="T12" s="9"/>
    </row>
    <row r="13" spans="1:25" x14ac:dyDescent="0.2">
      <c r="A13" s="9"/>
      <c r="K13" s="14"/>
      <c r="L13" s="14"/>
      <c r="M13" s="14"/>
      <c r="N13" s="14"/>
      <c r="O13" s="175"/>
      <c r="P13" s="136"/>
      <c r="Q13" s="136"/>
      <c r="R13" s="136"/>
      <c r="S13" s="136"/>
      <c r="T13" s="9"/>
    </row>
    <row r="14" spans="1:25" ht="15.75" x14ac:dyDescent="0.25">
      <c r="A14" s="9"/>
      <c r="C14" s="70" t="s">
        <v>157</v>
      </c>
      <c r="K14" s="14"/>
      <c r="L14" s="14"/>
      <c r="M14" s="14"/>
      <c r="N14" s="14"/>
      <c r="O14" s="175"/>
      <c r="P14" s="136"/>
      <c r="Q14" s="136"/>
      <c r="R14" s="136"/>
      <c r="S14" s="136"/>
      <c r="T14" s="9"/>
    </row>
    <row r="15" spans="1:25" x14ac:dyDescent="0.2">
      <c r="A15" s="9"/>
      <c r="I15" s="198"/>
      <c r="J15" s="198"/>
      <c r="K15" s="199"/>
      <c r="L15" s="199"/>
      <c r="M15" s="199"/>
      <c r="N15" s="14"/>
      <c r="O15" s="175"/>
      <c r="P15" s="136"/>
      <c r="Q15" s="136"/>
      <c r="R15" s="136"/>
      <c r="S15" s="136"/>
      <c r="T15" s="9"/>
    </row>
    <row r="16" spans="1:25" x14ac:dyDescent="0.2">
      <c r="A16" s="26">
        <v>302</v>
      </c>
      <c r="B16" s="139"/>
      <c r="C16" s="59" t="s">
        <v>156</v>
      </c>
      <c r="D16" s="139"/>
      <c r="E16" s="20" t="s">
        <v>150</v>
      </c>
      <c r="F16" s="20"/>
      <c r="G16" s="222">
        <v>0</v>
      </c>
      <c r="H16" s="139"/>
      <c r="I16" s="200">
        <v>55918.83</v>
      </c>
      <c r="J16" s="201"/>
      <c r="K16" s="200">
        <v>21074</v>
      </c>
      <c r="L16" s="201"/>
      <c r="M16" s="237">
        <f>+((1-G16)*I16)-K16</f>
        <v>34844.83</v>
      </c>
      <c r="N16" s="45"/>
      <c r="O16" s="117">
        <v>3.3</v>
      </c>
      <c r="P16" s="140"/>
      <c r="Q16" s="196">
        <f>+M16/O16</f>
        <v>10559.039393939394</v>
      </c>
      <c r="R16" s="136"/>
      <c r="S16" s="197">
        <f t="shared" ref="S16:S20" si="0">+Q16/I16</f>
        <v>0.18882797429666168</v>
      </c>
      <c r="T16" s="32"/>
      <c r="U16" s="262">
        <v>18.78</v>
      </c>
      <c r="W16" s="145">
        <v>10503</v>
      </c>
      <c r="Y16" s="157">
        <f t="shared" ref="Y16:Y18" si="1">Q16-W16</f>
        <v>56.039393939394358</v>
      </c>
    </row>
    <row r="17" spans="1:27" x14ac:dyDescent="0.2">
      <c r="A17" s="26">
        <v>303</v>
      </c>
      <c r="B17" s="139"/>
      <c r="C17" s="139" t="s">
        <v>50</v>
      </c>
      <c r="D17" s="139"/>
      <c r="E17" s="20" t="s">
        <v>153</v>
      </c>
      <c r="F17" s="20"/>
      <c r="G17" s="222">
        <v>0</v>
      </c>
      <c r="H17" s="139"/>
      <c r="I17" s="200">
        <v>18338712.02</v>
      </c>
      <c r="J17" s="201"/>
      <c r="K17" s="200">
        <v>7484852</v>
      </c>
      <c r="L17" s="201"/>
      <c r="M17" s="237">
        <f t="shared" ref="M17:M18" si="2">+((1-G17)*I17)-K17</f>
        <v>10853860.02</v>
      </c>
      <c r="N17" s="45"/>
      <c r="O17" s="117">
        <v>3.9</v>
      </c>
      <c r="P17" s="140"/>
      <c r="Q17" s="196">
        <f t="shared" ref="Q17:Q18" si="3">+M17/O17</f>
        <v>2783041.0307692308</v>
      </c>
      <c r="R17" s="136"/>
      <c r="S17" s="197">
        <f t="shared" si="0"/>
        <v>0.15175771492207721</v>
      </c>
      <c r="T17" s="32"/>
      <c r="U17" s="262">
        <v>15.28</v>
      </c>
      <c r="W17" s="145">
        <v>2801459</v>
      </c>
      <c r="Y17" s="157">
        <f t="shared" si="1"/>
        <v>-18417.969230769202</v>
      </c>
    </row>
    <row r="18" spans="1:27" x14ac:dyDescent="0.2">
      <c r="A18" s="26">
        <v>303.10000000000002</v>
      </c>
      <c r="B18" s="139"/>
      <c r="C18" s="139" t="s">
        <v>92</v>
      </c>
      <c r="D18" s="139"/>
      <c r="E18" s="20" t="s">
        <v>132</v>
      </c>
      <c r="F18" s="20" t="s">
        <v>64</v>
      </c>
      <c r="G18" s="222">
        <v>0</v>
      </c>
      <c r="H18" s="139"/>
      <c r="I18" s="202">
        <v>40210208.289999999</v>
      </c>
      <c r="J18" s="201"/>
      <c r="K18" s="202">
        <v>10240838</v>
      </c>
      <c r="L18" s="201"/>
      <c r="M18" s="237">
        <f t="shared" si="2"/>
        <v>29969370.289999999</v>
      </c>
      <c r="N18" s="45"/>
      <c r="O18" s="117">
        <v>7.5</v>
      </c>
      <c r="P18" s="140"/>
      <c r="Q18" s="196">
        <f t="shared" si="3"/>
        <v>3995916.0386666665</v>
      </c>
      <c r="R18" s="136"/>
      <c r="S18" s="197">
        <f t="shared" si="0"/>
        <v>9.9375661271081328E-2</v>
      </c>
      <c r="T18" s="32"/>
      <c r="U18" s="262">
        <v>9.94</v>
      </c>
      <c r="W18" s="145">
        <v>3995916</v>
      </c>
      <c r="Y18" s="157">
        <f t="shared" si="1"/>
        <v>3.8666666485369205E-2</v>
      </c>
    </row>
    <row r="19" spans="1:27" x14ac:dyDescent="0.2">
      <c r="A19" s="9"/>
      <c r="G19" s="223"/>
      <c r="I19" s="198"/>
      <c r="J19" s="198"/>
      <c r="K19" s="199"/>
      <c r="L19" s="199"/>
      <c r="M19" s="199"/>
      <c r="N19" s="14"/>
      <c r="O19" s="175"/>
      <c r="P19" s="136"/>
      <c r="Q19" s="136"/>
      <c r="R19" s="136"/>
      <c r="S19" s="136"/>
      <c r="T19" s="9"/>
      <c r="U19" s="262"/>
    </row>
    <row r="20" spans="1:27" ht="15.75" x14ac:dyDescent="0.25">
      <c r="A20" s="9"/>
      <c r="C20" s="64" t="s">
        <v>158</v>
      </c>
      <c r="G20" s="223"/>
      <c r="I20" s="203">
        <f>SUM(I16:I18)</f>
        <v>58604839.140000001</v>
      </c>
      <c r="J20" s="204"/>
      <c r="K20" s="203">
        <f>SUM(K16:K18)</f>
        <v>17746764</v>
      </c>
      <c r="L20" s="204"/>
      <c r="M20" s="203">
        <f>SUM(M16:M18)</f>
        <v>40858075.140000001</v>
      </c>
      <c r="N20" s="31"/>
      <c r="O20" s="178"/>
      <c r="P20" s="136"/>
      <c r="Q20" s="203">
        <f>SUM(Q16:Q18)</f>
        <v>6789516.1088298373</v>
      </c>
      <c r="R20" s="136"/>
      <c r="S20" s="197">
        <f t="shared" si="0"/>
        <v>0.11585248263561461</v>
      </c>
      <c r="T20" s="9"/>
      <c r="U20" s="262">
        <v>11.62</v>
      </c>
      <c r="W20" s="203">
        <v>6807878</v>
      </c>
      <c r="Y20" s="203">
        <f>SUM(Y16:Y18)</f>
        <v>-18361.891170163322</v>
      </c>
      <c r="Z20" s="198">
        <f>+Y20</f>
        <v>-18361.891170163322</v>
      </c>
      <c r="AA20" s="198"/>
    </row>
    <row r="21" spans="1:27" ht="15.75" x14ac:dyDescent="0.25">
      <c r="A21" s="9"/>
      <c r="C21" s="50"/>
      <c r="G21" s="223"/>
      <c r="I21" s="198"/>
      <c r="J21" s="198"/>
      <c r="K21" s="199"/>
      <c r="L21" s="199"/>
      <c r="M21" s="199"/>
      <c r="N21" s="14"/>
      <c r="O21" s="175"/>
      <c r="P21" s="136"/>
      <c r="Q21" s="136"/>
      <c r="R21" s="136"/>
      <c r="S21" s="136"/>
      <c r="T21" s="9"/>
      <c r="U21" s="262"/>
      <c r="W21" s="143"/>
      <c r="Y21" s="155"/>
      <c r="AA21" s="198"/>
    </row>
    <row r="22" spans="1:27" ht="15.75" x14ac:dyDescent="0.25">
      <c r="A22" s="9"/>
      <c r="G22" s="223"/>
      <c r="I22" s="198"/>
      <c r="J22" s="198"/>
      <c r="K22" s="199"/>
      <c r="L22" s="199"/>
      <c r="M22" s="199"/>
      <c r="N22" s="14"/>
      <c r="O22" s="175"/>
      <c r="P22" s="136"/>
      <c r="Q22" s="136"/>
      <c r="R22" s="136"/>
      <c r="S22" s="136"/>
      <c r="T22" s="9"/>
      <c r="U22" s="262"/>
      <c r="W22" s="143"/>
      <c r="Y22" s="155"/>
      <c r="AA22" s="198"/>
    </row>
    <row r="23" spans="1:27" ht="15.75" x14ac:dyDescent="0.25">
      <c r="A23" s="32"/>
      <c r="B23" s="139"/>
      <c r="C23" s="53" t="s">
        <v>24</v>
      </c>
      <c r="D23" s="139"/>
      <c r="E23" s="56"/>
      <c r="F23" s="56"/>
      <c r="G23" s="224"/>
      <c r="H23" s="139"/>
      <c r="I23" s="205"/>
      <c r="J23" s="205"/>
      <c r="K23" s="201"/>
      <c r="L23" s="201"/>
      <c r="M23" s="201"/>
      <c r="N23" s="34"/>
      <c r="O23" s="41"/>
      <c r="P23" s="140"/>
      <c r="Q23" s="179"/>
      <c r="R23" s="140"/>
      <c r="S23" s="35"/>
      <c r="T23" s="32"/>
      <c r="U23" s="262"/>
      <c r="AA23" s="198"/>
    </row>
    <row r="24" spans="1:27" ht="15.75" x14ac:dyDescent="0.25">
      <c r="A24" s="32"/>
      <c r="B24" s="139"/>
      <c r="C24" s="43"/>
      <c r="D24" s="139"/>
      <c r="E24" s="56"/>
      <c r="F24" s="56"/>
      <c r="G24" s="224"/>
      <c r="H24" s="139"/>
      <c r="I24" s="205"/>
      <c r="J24" s="205"/>
      <c r="K24" s="201"/>
      <c r="L24" s="201"/>
      <c r="M24" s="201"/>
      <c r="N24" s="34"/>
      <c r="O24" s="41"/>
      <c r="P24" s="140"/>
      <c r="Q24" s="179"/>
      <c r="R24" s="140"/>
      <c r="S24" s="35"/>
      <c r="T24" s="32"/>
      <c r="U24" s="262"/>
      <c r="AA24" s="198"/>
    </row>
    <row r="25" spans="1:27" x14ac:dyDescent="0.2">
      <c r="A25" s="26">
        <v>311</v>
      </c>
      <c r="B25" s="139"/>
      <c r="C25" s="139" t="s">
        <v>25</v>
      </c>
      <c r="D25" s="139"/>
      <c r="E25" s="20"/>
      <c r="F25" s="20"/>
      <c r="G25" s="222"/>
      <c r="H25" s="139"/>
      <c r="I25" s="200"/>
      <c r="J25" s="200"/>
      <c r="K25" s="200"/>
      <c r="L25" s="200"/>
      <c r="M25" s="200"/>
      <c r="N25" s="45"/>
      <c r="O25" s="176"/>
      <c r="P25" s="140"/>
      <c r="Q25" s="35"/>
      <c r="R25" s="140"/>
      <c r="S25" s="179"/>
      <c r="T25" s="32"/>
      <c r="U25" s="262"/>
      <c r="AA25" s="198"/>
    </row>
    <row r="26" spans="1:27" x14ac:dyDescent="0.2">
      <c r="A26" s="26"/>
      <c r="B26" s="139"/>
      <c r="C26" s="59" t="s">
        <v>93</v>
      </c>
      <c r="D26" s="139"/>
      <c r="E26" s="20" t="str">
        <f>[1]KU!$I$23</f>
        <v>300 - R1</v>
      </c>
      <c r="F26" s="20" t="s">
        <v>64</v>
      </c>
      <c r="G26" s="222">
        <f>'SKM Prod NS Weighting'!Q$9</f>
        <v>-7.7499999999999999E-3</v>
      </c>
      <c r="H26" s="139"/>
      <c r="I26" s="200">
        <v>106290580.94</v>
      </c>
      <c r="J26" s="200"/>
      <c r="K26" s="200">
        <v>18699136</v>
      </c>
      <c r="L26" s="200"/>
      <c r="M26" s="237">
        <f t="shared" ref="M26:M44" si="4">+((1-G26)*I26)-K26</f>
        <v>88415196.942284986</v>
      </c>
      <c r="N26" s="45"/>
      <c r="O26" s="227">
        <f>'[2]311 PL'!$E$88</f>
        <v>32.035567986634398</v>
      </c>
      <c r="P26" s="140"/>
      <c r="Q26" s="196">
        <f>+M26/O26</f>
        <v>2759907.2686700234</v>
      </c>
      <c r="R26" s="136"/>
      <c r="S26" s="197">
        <f t="shared" ref="S26:S46" si="5">+Q26/I26</f>
        <v>2.5965680535963619E-2</v>
      </c>
      <c r="T26" s="32"/>
      <c r="U26" s="262">
        <v>1.9</v>
      </c>
      <c r="W26" s="145">
        <v>2021312</v>
      </c>
      <c r="Y26" s="157">
        <f t="shared" ref="Y26:Y44" si="6">Q26-W26</f>
        <v>738595.26867002342</v>
      </c>
      <c r="AA26" s="198"/>
    </row>
    <row r="27" spans="1:27" x14ac:dyDescent="0.2">
      <c r="A27" s="26"/>
      <c r="B27" s="139"/>
      <c r="C27" s="59" t="s">
        <v>94</v>
      </c>
      <c r="D27" s="139"/>
      <c r="E27" s="20" t="str">
        <f>[1]KU!$I$23</f>
        <v>300 - R1</v>
      </c>
      <c r="F27" s="20" t="s">
        <v>64</v>
      </c>
      <c r="G27" s="222">
        <f>'SKM Prod NS Weighting'!Q$9</f>
        <v>-7.7499999999999999E-3</v>
      </c>
      <c r="H27" s="139"/>
      <c r="I27" s="200">
        <v>5522306.9800000004</v>
      </c>
      <c r="J27" s="200"/>
      <c r="K27" s="200">
        <v>2689746</v>
      </c>
      <c r="L27" s="200"/>
      <c r="M27" s="237">
        <f t="shared" si="4"/>
        <v>2875358.8590949997</v>
      </c>
      <c r="N27" s="45"/>
      <c r="O27" s="227">
        <f>'[2]311 PL'!$E$88</f>
        <v>32.035567986634398</v>
      </c>
      <c r="P27" s="140"/>
      <c r="Q27" s="196">
        <f t="shared" ref="Q27:Q44" si="7">+M27/O27</f>
        <v>89755.201477764713</v>
      </c>
      <c r="R27" s="136"/>
      <c r="S27" s="197">
        <f t="shared" si="5"/>
        <v>1.6253207545837069E-2</v>
      </c>
      <c r="T27" s="32"/>
      <c r="U27" s="262">
        <v>1.36</v>
      </c>
      <c r="W27" s="145">
        <v>75374</v>
      </c>
      <c r="Y27" s="157">
        <f t="shared" si="6"/>
        <v>14381.201477764713</v>
      </c>
      <c r="AA27" s="198"/>
    </row>
    <row r="28" spans="1:27" x14ac:dyDescent="0.2">
      <c r="A28" s="26"/>
      <c r="B28" s="139"/>
      <c r="C28" s="59" t="s">
        <v>95</v>
      </c>
      <c r="D28" s="139"/>
      <c r="E28" s="20" t="str">
        <f>[1]KU!$I$23</f>
        <v>300 - R1</v>
      </c>
      <c r="F28" s="20" t="s">
        <v>64</v>
      </c>
      <c r="G28" s="222">
        <f>'SKM Prod NS Weighting'!Q$9</f>
        <v>-7.7499999999999999E-3</v>
      </c>
      <c r="H28" s="139"/>
      <c r="I28" s="200">
        <v>824968.82</v>
      </c>
      <c r="J28" s="200"/>
      <c r="K28" s="200">
        <v>609422</v>
      </c>
      <c r="L28" s="200"/>
      <c r="M28" s="237">
        <f t="shared" si="4"/>
        <v>221940.32835499989</v>
      </c>
      <c r="N28" s="45"/>
      <c r="O28" s="227">
        <f>'[2]311 PL'!$E$88</f>
        <v>32.035567986634398</v>
      </c>
      <c r="P28" s="140"/>
      <c r="Q28" s="196">
        <f t="shared" si="7"/>
        <v>6927.9348643856074</v>
      </c>
      <c r="R28" s="136"/>
      <c r="S28" s="197">
        <f t="shared" si="5"/>
        <v>8.3978141917964953E-3</v>
      </c>
      <c r="T28" s="32"/>
      <c r="U28" s="262">
        <v>0.99</v>
      </c>
      <c r="W28" s="145">
        <v>8170</v>
      </c>
      <c r="Y28" s="157">
        <f t="shared" si="6"/>
        <v>-1242.0651356143926</v>
      </c>
      <c r="AA28" s="198"/>
    </row>
    <row r="29" spans="1:27" x14ac:dyDescent="0.2">
      <c r="A29" s="26"/>
      <c r="B29" s="139"/>
      <c r="C29" s="59" t="s">
        <v>96</v>
      </c>
      <c r="D29" s="139"/>
      <c r="E29" s="20" t="str">
        <f>[1]KU!$I$23</f>
        <v>300 - R1</v>
      </c>
      <c r="F29" s="20" t="s">
        <v>64</v>
      </c>
      <c r="G29" s="222">
        <f>'SKM Prod NS Weighting'!Q$9</f>
        <v>-7.7499999999999999E-3</v>
      </c>
      <c r="H29" s="139"/>
      <c r="I29" s="200">
        <v>5608825.0700000003</v>
      </c>
      <c r="J29" s="200"/>
      <c r="K29" s="200">
        <v>6169708</v>
      </c>
      <c r="L29" s="200"/>
      <c r="M29" s="237">
        <f t="shared" si="4"/>
        <v>-517414.53570749983</v>
      </c>
      <c r="N29" s="45"/>
      <c r="O29" s="227">
        <f>'[2]311 PL'!$E$88</f>
        <v>32.035567986634398</v>
      </c>
      <c r="P29" s="140"/>
      <c r="Q29" s="196">
        <f t="shared" si="7"/>
        <v>-16151.252130861893</v>
      </c>
      <c r="R29" s="136"/>
      <c r="S29" s="197">
        <f t="shared" si="5"/>
        <v>-2.8796141668333206E-3</v>
      </c>
      <c r="T29" s="32"/>
      <c r="U29" s="262" t="s">
        <v>297</v>
      </c>
      <c r="W29" s="145">
        <v>0</v>
      </c>
      <c r="Y29" s="157">
        <f t="shared" si="6"/>
        <v>-16151.252130861893</v>
      </c>
      <c r="AA29" s="198"/>
    </row>
    <row r="30" spans="1:27" x14ac:dyDescent="0.2">
      <c r="A30" s="26"/>
      <c r="B30" s="139"/>
      <c r="C30" s="59" t="s">
        <v>97</v>
      </c>
      <c r="D30" s="139"/>
      <c r="E30" s="20" t="str">
        <f>[1]KU!$I$23</f>
        <v>300 - R1</v>
      </c>
      <c r="F30" s="20" t="s">
        <v>64</v>
      </c>
      <c r="G30" s="222">
        <f>'SKM Prod NS Weighting'!Q$9</f>
        <v>-7.7499999999999999E-3</v>
      </c>
      <c r="H30" s="139"/>
      <c r="I30" s="200">
        <v>583381.43999999994</v>
      </c>
      <c r="J30" s="200"/>
      <c r="K30" s="200">
        <v>641720</v>
      </c>
      <c r="L30" s="200"/>
      <c r="M30" s="237">
        <f t="shared" si="4"/>
        <v>-53817.353840000113</v>
      </c>
      <c r="N30" s="45"/>
      <c r="O30" s="227">
        <f>'[2]311 PL'!$E$88</f>
        <v>32.035567986634398</v>
      </c>
      <c r="P30" s="140"/>
      <c r="Q30" s="196">
        <f t="shared" si="7"/>
        <v>-1679.925071484711</v>
      </c>
      <c r="R30" s="136"/>
      <c r="S30" s="197">
        <f t="shared" si="5"/>
        <v>-2.8796340718085086E-3</v>
      </c>
      <c r="T30" s="32"/>
      <c r="U30" s="262" t="s">
        <v>297</v>
      </c>
      <c r="W30" s="145">
        <v>0</v>
      </c>
      <c r="Y30" s="157">
        <f t="shared" si="6"/>
        <v>-1679.925071484711</v>
      </c>
      <c r="AA30" s="198"/>
    </row>
    <row r="31" spans="1:27" x14ac:dyDescent="0.2">
      <c r="A31" s="26"/>
      <c r="B31" s="139"/>
      <c r="C31" s="63" t="s">
        <v>98</v>
      </c>
      <c r="D31" s="139"/>
      <c r="E31" s="20" t="str">
        <f>[1]KU!$I$23</f>
        <v>300 - R1</v>
      </c>
      <c r="F31" s="20" t="s">
        <v>64</v>
      </c>
      <c r="G31" s="222">
        <f>'SKM Prod NS Weighting'!Q$9</f>
        <v>-7.7499999999999999E-3</v>
      </c>
      <c r="H31" s="139"/>
      <c r="I31" s="200">
        <v>2821436.66</v>
      </c>
      <c r="J31" s="200"/>
      <c r="K31" s="200">
        <v>3103580</v>
      </c>
      <c r="L31" s="200"/>
      <c r="M31" s="237">
        <f t="shared" si="4"/>
        <v>-260277.20588500006</v>
      </c>
      <c r="N31" s="45"/>
      <c r="O31" s="227">
        <f>'[2]311 PL'!$E$88</f>
        <v>32.035567986634398</v>
      </c>
      <c r="P31" s="140"/>
      <c r="Q31" s="196">
        <f t="shared" si="7"/>
        <v>-8124.6321586553631</v>
      </c>
      <c r="R31" s="136"/>
      <c r="S31" s="197">
        <f t="shared" si="5"/>
        <v>-2.8796082059327046E-3</v>
      </c>
      <c r="T31" s="32"/>
      <c r="U31" s="262" t="s">
        <v>297</v>
      </c>
      <c r="W31" s="145">
        <v>0</v>
      </c>
      <c r="Y31" s="157">
        <f t="shared" si="6"/>
        <v>-8124.6321586553631</v>
      </c>
      <c r="AA31" s="198"/>
    </row>
    <row r="32" spans="1:27" x14ac:dyDescent="0.2">
      <c r="A32" s="26"/>
      <c r="B32" s="139"/>
      <c r="C32" s="63" t="s">
        <v>99</v>
      </c>
      <c r="D32" s="139"/>
      <c r="E32" s="20" t="str">
        <f>[1]KU!$I$23</f>
        <v>300 - R1</v>
      </c>
      <c r="F32" s="20" t="s">
        <v>64</v>
      </c>
      <c r="G32" s="222">
        <f>'SKM Prod NS Weighting'!Q$9</f>
        <v>-7.7499999999999999E-3</v>
      </c>
      <c r="H32" s="139"/>
      <c r="I32" s="200">
        <v>5476054.2999999998</v>
      </c>
      <c r="J32" s="200"/>
      <c r="K32" s="200">
        <v>4320817</v>
      </c>
      <c r="L32" s="200"/>
      <c r="M32" s="237">
        <f t="shared" si="4"/>
        <v>1197676.7208249997</v>
      </c>
      <c r="N32" s="45"/>
      <c r="O32" s="227">
        <f>'[2]311 PL'!$E$88</f>
        <v>32.035567986634398</v>
      </c>
      <c r="P32" s="140"/>
      <c r="Q32" s="196">
        <f t="shared" si="7"/>
        <v>37385.843176705472</v>
      </c>
      <c r="R32" s="136"/>
      <c r="S32" s="197">
        <f t="shared" si="5"/>
        <v>6.8271498287928722E-3</v>
      </c>
      <c r="T32" s="32"/>
      <c r="U32" s="262">
        <v>7.8</v>
      </c>
      <c r="W32" s="145">
        <v>426905</v>
      </c>
      <c r="Y32" s="157">
        <f t="shared" si="6"/>
        <v>-389519.15682329453</v>
      </c>
      <c r="AA32" s="198"/>
    </row>
    <row r="33" spans="1:27" x14ac:dyDescent="0.2">
      <c r="A33" s="26"/>
      <c r="B33" s="139"/>
      <c r="C33" s="63" t="s">
        <v>100</v>
      </c>
      <c r="D33" s="139"/>
      <c r="E33" s="20" t="str">
        <f>[1]KU!$I$23</f>
        <v>300 - R1</v>
      </c>
      <c r="F33" s="20" t="s">
        <v>64</v>
      </c>
      <c r="G33" s="222">
        <f>'SKM Prod NS Weighting'!Q$9</f>
        <v>-7.7499999999999999E-3</v>
      </c>
      <c r="H33" s="139"/>
      <c r="I33" s="200">
        <v>2560764.1800000002</v>
      </c>
      <c r="J33" s="200"/>
      <c r="K33" s="200">
        <v>2816841</v>
      </c>
      <c r="L33" s="200"/>
      <c r="M33" s="237">
        <f t="shared" si="4"/>
        <v>-236230.89760500006</v>
      </c>
      <c r="N33" s="45"/>
      <c r="O33" s="227">
        <f>'[2]311 PL'!$E$88</f>
        <v>32.035567986634398</v>
      </c>
      <c r="P33" s="140"/>
      <c r="Q33" s="196">
        <f t="shared" si="7"/>
        <v>-7374.0193307500676</v>
      </c>
      <c r="R33" s="136"/>
      <c r="S33" s="197">
        <f t="shared" si="5"/>
        <v>-2.8796167129884124E-3</v>
      </c>
      <c r="T33" s="32"/>
      <c r="U33" s="262" t="s">
        <v>297</v>
      </c>
      <c r="W33" s="145">
        <v>0</v>
      </c>
      <c r="Y33" s="157">
        <f t="shared" si="6"/>
        <v>-7374.0193307500676</v>
      </c>
      <c r="AA33" s="198"/>
    </row>
    <row r="34" spans="1:27" x14ac:dyDescent="0.2">
      <c r="A34" s="26"/>
      <c r="B34" s="139"/>
      <c r="C34" s="63" t="s">
        <v>101</v>
      </c>
      <c r="D34" s="139"/>
      <c r="E34" s="20" t="str">
        <f>[1]KU!$I$23</f>
        <v>300 - R1</v>
      </c>
      <c r="F34" s="20" t="s">
        <v>64</v>
      </c>
      <c r="G34" s="222">
        <f>'SKM Prod NS Weighting'!Q$9</f>
        <v>-7.7499999999999999E-3</v>
      </c>
      <c r="H34" s="139"/>
      <c r="I34" s="200">
        <v>4703189.76</v>
      </c>
      <c r="J34" s="200"/>
      <c r="K34" s="200">
        <v>4861747</v>
      </c>
      <c r="L34" s="200"/>
      <c r="M34" s="237">
        <f t="shared" si="4"/>
        <v>-122107.51936000027</v>
      </c>
      <c r="N34" s="45"/>
      <c r="O34" s="227">
        <f>'[2]311 PL'!$E$88</f>
        <v>32.035567986634398</v>
      </c>
      <c r="P34" s="140"/>
      <c r="Q34" s="196">
        <f t="shared" si="7"/>
        <v>-3811.6233622249156</v>
      </c>
      <c r="R34" s="136"/>
      <c r="S34" s="197">
        <f t="shared" si="5"/>
        <v>-8.104336751713194E-4</v>
      </c>
      <c r="T34" s="32"/>
      <c r="U34" s="262">
        <v>0.46</v>
      </c>
      <c r="W34" s="145">
        <v>21822</v>
      </c>
      <c r="Y34" s="157">
        <f t="shared" si="6"/>
        <v>-25633.623362224916</v>
      </c>
      <c r="AA34" s="198"/>
    </row>
    <row r="35" spans="1:27" x14ac:dyDescent="0.2">
      <c r="A35" s="26"/>
      <c r="B35" s="139"/>
      <c r="C35" s="63" t="s">
        <v>102</v>
      </c>
      <c r="D35" s="139"/>
      <c r="E35" s="20" t="str">
        <f>[1]KU!$I$23</f>
        <v>300 - R1</v>
      </c>
      <c r="F35" s="20" t="s">
        <v>64</v>
      </c>
      <c r="G35" s="222">
        <f>'SKM Prod NS Weighting'!Q$9</f>
        <v>-7.7499999999999999E-3</v>
      </c>
      <c r="H35" s="139"/>
      <c r="I35" s="200">
        <v>2232100.04</v>
      </c>
      <c r="J35" s="200"/>
      <c r="K35" s="200">
        <v>2028873</v>
      </c>
      <c r="L35" s="200"/>
      <c r="M35" s="237">
        <f t="shared" si="4"/>
        <v>220525.81530999998</v>
      </c>
      <c r="N35" s="45"/>
      <c r="O35" s="227">
        <f>'[2]311 PL'!$E$88</f>
        <v>32.035567986634398</v>
      </c>
      <c r="P35" s="140"/>
      <c r="Q35" s="196">
        <f t="shared" si="7"/>
        <v>6883.7804093876484</v>
      </c>
      <c r="R35" s="136"/>
      <c r="S35" s="197">
        <f t="shared" si="5"/>
        <v>3.0839927808019073E-3</v>
      </c>
      <c r="T35" s="32"/>
      <c r="U35" s="262">
        <v>0.9</v>
      </c>
      <c r="W35" s="145">
        <v>20077</v>
      </c>
      <c r="Y35" s="157">
        <f t="shared" si="6"/>
        <v>-13193.219590612352</v>
      </c>
      <c r="AA35" s="198"/>
    </row>
    <row r="36" spans="1:27" x14ac:dyDescent="0.2">
      <c r="A36" s="26"/>
      <c r="B36" s="139"/>
      <c r="C36" s="63" t="s">
        <v>103</v>
      </c>
      <c r="D36" s="139"/>
      <c r="E36" s="20" t="str">
        <f>[1]KU!$I$23</f>
        <v>300 - R1</v>
      </c>
      <c r="F36" s="20" t="s">
        <v>64</v>
      </c>
      <c r="G36" s="222">
        <f>'SKM Prod NS Weighting'!Q$9</f>
        <v>-7.7499999999999999E-3</v>
      </c>
      <c r="H36" s="139"/>
      <c r="I36" s="200">
        <v>21039674.359999999</v>
      </c>
      <c r="J36" s="200"/>
      <c r="K36" s="200">
        <v>14064263</v>
      </c>
      <c r="L36" s="200"/>
      <c r="M36" s="237">
        <f t="shared" si="4"/>
        <v>7138468.8362899981</v>
      </c>
      <c r="N36" s="45"/>
      <c r="O36" s="227">
        <f>'[2]311 PL'!$E$88</f>
        <v>32.035567986634398</v>
      </c>
      <c r="P36" s="140"/>
      <c r="Q36" s="196">
        <f t="shared" si="7"/>
        <v>222829.47626426502</v>
      </c>
      <c r="R36" s="136"/>
      <c r="S36" s="197">
        <f t="shared" si="5"/>
        <v>1.0590918492916495E-2</v>
      </c>
      <c r="T36" s="32"/>
      <c r="U36" s="262">
        <v>1.9</v>
      </c>
      <c r="W36" s="145">
        <v>400691</v>
      </c>
      <c r="Y36" s="157">
        <f t="shared" si="6"/>
        <v>-177861.52373573498</v>
      </c>
      <c r="AA36" s="198"/>
    </row>
    <row r="37" spans="1:27" x14ac:dyDescent="0.2">
      <c r="A37" s="26"/>
      <c r="B37" s="139"/>
      <c r="C37" s="63" t="s">
        <v>186</v>
      </c>
      <c r="D37" s="139"/>
      <c r="E37" s="20" t="str">
        <f>[1]KU!$I$23</f>
        <v>300 - R1</v>
      </c>
      <c r="F37" s="20" t="s">
        <v>64</v>
      </c>
      <c r="G37" s="222">
        <f>'SKM Prod NS Weighting'!Q$9</f>
        <v>-7.7499999999999999E-3</v>
      </c>
      <c r="H37" s="139"/>
      <c r="I37" s="200">
        <v>43917221.149999999</v>
      </c>
      <c r="J37" s="200"/>
      <c r="K37" s="200">
        <v>1760616</v>
      </c>
      <c r="L37" s="200"/>
      <c r="M37" s="237">
        <f t="shared" si="4"/>
        <v>42496963.613912493</v>
      </c>
      <c r="N37" s="45"/>
      <c r="O37" s="227">
        <f>'[2]311 PL'!$E$88</f>
        <v>32.035567986634398</v>
      </c>
      <c r="P37" s="140"/>
      <c r="Q37" s="196">
        <f t="shared" si="7"/>
        <v>1326555.6468873194</v>
      </c>
      <c r="R37" s="136"/>
      <c r="S37" s="197">
        <f t="shared" si="5"/>
        <v>3.0205819315307917E-2</v>
      </c>
      <c r="T37" s="32"/>
      <c r="U37" s="262">
        <v>4.58</v>
      </c>
      <c r="W37" s="145">
        <v>2010590</v>
      </c>
      <c r="Y37" s="157">
        <f t="shared" si="6"/>
        <v>-684034.3531126806</v>
      </c>
      <c r="AA37" s="198"/>
    </row>
    <row r="38" spans="1:27" x14ac:dyDescent="0.2">
      <c r="A38" s="26"/>
      <c r="B38" s="139"/>
      <c r="C38" s="63" t="s">
        <v>104</v>
      </c>
      <c r="D38" s="139"/>
      <c r="E38" s="20" t="str">
        <f>[1]KU!$I$23</f>
        <v>300 - R1</v>
      </c>
      <c r="F38" s="20" t="s">
        <v>64</v>
      </c>
      <c r="G38" s="222">
        <f>'SKM Prod NS Weighting'!Q$9</f>
        <v>-7.7499999999999999E-3</v>
      </c>
      <c r="H38" s="139"/>
      <c r="I38" s="200">
        <v>16204.29</v>
      </c>
      <c r="J38" s="200"/>
      <c r="K38" s="200">
        <v>17825</v>
      </c>
      <c r="L38" s="200"/>
      <c r="M38" s="237">
        <f t="shared" si="4"/>
        <v>-1495.1267525000003</v>
      </c>
      <c r="N38" s="45"/>
      <c r="O38" s="227">
        <f>'[2]311 PL'!$E$88</f>
        <v>32.035567986634398</v>
      </c>
      <c r="P38" s="140"/>
      <c r="Q38" s="196">
        <f t="shared" si="7"/>
        <v>-46.670836400459144</v>
      </c>
      <c r="R38" s="136"/>
      <c r="S38" s="197">
        <f t="shared" si="5"/>
        <v>-2.8801531199737318E-3</v>
      </c>
      <c r="T38" s="32"/>
      <c r="U38" s="262" t="s">
        <v>297</v>
      </c>
      <c r="W38" s="145">
        <v>0</v>
      </c>
      <c r="Y38" s="157">
        <f t="shared" si="6"/>
        <v>-46.670836400459144</v>
      </c>
      <c r="AA38" s="198"/>
    </row>
    <row r="39" spans="1:27" x14ac:dyDescent="0.2">
      <c r="A39" s="26"/>
      <c r="B39" s="139"/>
      <c r="C39" s="63" t="s">
        <v>105</v>
      </c>
      <c r="D39" s="139"/>
      <c r="E39" s="20" t="str">
        <f>[1]KU!$I$23</f>
        <v>300 - R1</v>
      </c>
      <c r="F39" s="20" t="s">
        <v>64</v>
      </c>
      <c r="G39" s="222">
        <f>'SKM Prod NS Weighting'!Q$9</f>
        <v>-7.7499999999999999E-3</v>
      </c>
      <c r="H39" s="139"/>
      <c r="I39" s="200">
        <v>8483789.2300000004</v>
      </c>
      <c r="J39" s="200"/>
      <c r="K39" s="200">
        <v>6985454</v>
      </c>
      <c r="L39" s="200"/>
      <c r="M39" s="237">
        <f t="shared" si="4"/>
        <v>1564084.5965324994</v>
      </c>
      <c r="N39" s="45"/>
      <c r="O39" s="227">
        <f>'[2]311 PL'!$E$88</f>
        <v>32.035567986634398</v>
      </c>
      <c r="P39" s="140"/>
      <c r="Q39" s="196">
        <f t="shared" si="7"/>
        <v>48823.376479076418</v>
      </c>
      <c r="R39" s="136"/>
      <c r="S39" s="197">
        <f t="shared" si="5"/>
        <v>5.754902102757262E-3</v>
      </c>
      <c r="T39" s="32"/>
      <c r="U39" s="262">
        <v>1.34</v>
      </c>
      <c r="W39" s="145">
        <v>113954</v>
      </c>
      <c r="Y39" s="157">
        <f t="shared" si="6"/>
        <v>-65130.623520923582</v>
      </c>
      <c r="AA39" s="198"/>
    </row>
    <row r="40" spans="1:27" x14ac:dyDescent="0.2">
      <c r="A40" s="26"/>
      <c r="B40" s="139"/>
      <c r="C40" s="63" t="s">
        <v>106</v>
      </c>
      <c r="D40" s="139"/>
      <c r="E40" s="20" t="str">
        <f>[1]KU!$I$23</f>
        <v>300 - R1</v>
      </c>
      <c r="F40" s="20" t="s">
        <v>64</v>
      </c>
      <c r="G40" s="222">
        <f>'SKM Prod NS Weighting'!Q$9</f>
        <v>-7.7499999999999999E-3</v>
      </c>
      <c r="H40" s="139"/>
      <c r="I40" s="200">
        <v>18842151.210000001</v>
      </c>
      <c r="J40" s="200"/>
      <c r="K40" s="200">
        <v>18621064</v>
      </c>
      <c r="L40" s="200"/>
      <c r="M40" s="237">
        <f t="shared" si="4"/>
        <v>367113.88187750056</v>
      </c>
      <c r="N40" s="45"/>
      <c r="O40" s="227">
        <f>'[2]311 PL'!$E$88</f>
        <v>32.035567986634398</v>
      </c>
      <c r="P40" s="140"/>
      <c r="Q40" s="196">
        <f t="shared" si="7"/>
        <v>11459.571499736314</v>
      </c>
      <c r="R40" s="136"/>
      <c r="S40" s="197">
        <f t="shared" si="5"/>
        <v>6.081880657901966E-4</v>
      </c>
      <c r="T40" s="32"/>
      <c r="U40" s="262">
        <v>0.59</v>
      </c>
      <c r="W40" s="145">
        <v>111264</v>
      </c>
      <c r="Y40" s="157">
        <f t="shared" si="6"/>
        <v>-99804.42850026369</v>
      </c>
      <c r="AA40" s="198"/>
    </row>
    <row r="41" spans="1:27" x14ac:dyDescent="0.2">
      <c r="A41" s="26"/>
      <c r="B41" s="139"/>
      <c r="C41" s="63" t="s">
        <v>107</v>
      </c>
      <c r="D41" s="139"/>
      <c r="E41" s="20" t="str">
        <f>[1]KU!$I$23</f>
        <v>300 - R1</v>
      </c>
      <c r="F41" s="20" t="s">
        <v>64</v>
      </c>
      <c r="G41" s="222">
        <f>'SKM Prod NS Weighting'!Q$9</f>
        <v>-7.7499999999999999E-3</v>
      </c>
      <c r="H41" s="139"/>
      <c r="I41" s="200">
        <v>16011012.98</v>
      </c>
      <c r="J41" s="200"/>
      <c r="K41" s="200">
        <v>14142566</v>
      </c>
      <c r="L41" s="200"/>
      <c r="M41" s="237">
        <f t="shared" si="4"/>
        <v>1992532.3305949997</v>
      </c>
      <c r="N41" s="45"/>
      <c r="O41" s="227">
        <f>'[2]311 PL'!$E$88</f>
        <v>32.035567986634398</v>
      </c>
      <c r="P41" s="140"/>
      <c r="Q41" s="196">
        <f t="shared" si="7"/>
        <v>62197.50283267357</v>
      </c>
      <c r="R41" s="136"/>
      <c r="S41" s="197">
        <f t="shared" si="5"/>
        <v>3.8846700649338658E-3</v>
      </c>
      <c r="T41" s="32"/>
      <c r="U41" s="262">
        <v>1.1000000000000001</v>
      </c>
      <c r="W41" s="145">
        <v>176840</v>
      </c>
      <c r="Y41" s="157">
        <f t="shared" si="6"/>
        <v>-114642.49716732642</v>
      </c>
      <c r="AA41" s="198"/>
    </row>
    <row r="42" spans="1:27" x14ac:dyDescent="0.2">
      <c r="A42" s="26"/>
      <c r="B42" s="139"/>
      <c r="C42" s="63" t="s">
        <v>108</v>
      </c>
      <c r="D42" s="139"/>
      <c r="E42" s="20" t="str">
        <f>[1]KU!$I$23</f>
        <v>300 - R1</v>
      </c>
      <c r="F42" s="20" t="s">
        <v>64</v>
      </c>
      <c r="G42" s="222">
        <f>'SKM Prod NS Weighting'!Q$9</f>
        <v>-7.7499999999999999E-3</v>
      </c>
      <c r="H42" s="139"/>
      <c r="I42" s="200">
        <v>42177125.670000002</v>
      </c>
      <c r="J42" s="200"/>
      <c r="K42" s="200">
        <v>30851643</v>
      </c>
      <c r="L42" s="200"/>
      <c r="M42" s="237">
        <f t="shared" si="4"/>
        <v>11652355.393942498</v>
      </c>
      <c r="N42" s="45"/>
      <c r="O42" s="227">
        <f>'[2]311 PL'!$E$88</f>
        <v>32.035567986634398</v>
      </c>
      <c r="P42" s="140"/>
      <c r="Q42" s="196">
        <f t="shared" si="7"/>
        <v>363731.81829658808</v>
      </c>
      <c r="R42" s="136"/>
      <c r="S42" s="197">
        <f t="shared" si="5"/>
        <v>8.6239119550838763E-3</v>
      </c>
      <c r="T42" s="32"/>
      <c r="U42" s="262">
        <v>1.59</v>
      </c>
      <c r="W42" s="145">
        <v>671100</v>
      </c>
      <c r="Y42" s="157">
        <f t="shared" si="6"/>
        <v>-307368.18170341192</v>
      </c>
      <c r="AA42" s="198"/>
    </row>
    <row r="43" spans="1:27" x14ac:dyDescent="0.2">
      <c r="A43" s="26"/>
      <c r="B43" s="139"/>
      <c r="C43" s="63" t="s">
        <v>109</v>
      </c>
      <c r="D43" s="139"/>
      <c r="E43" s="20" t="str">
        <f>[1]KU!$I$23</f>
        <v>300 - R1</v>
      </c>
      <c r="F43" s="20" t="s">
        <v>64</v>
      </c>
      <c r="G43" s="222">
        <f>'SKM Prod NS Weighting'!Q$9</f>
        <v>-7.7499999999999999E-3</v>
      </c>
      <c r="H43" s="139"/>
      <c r="I43" s="200">
        <v>31022090.5</v>
      </c>
      <c r="J43" s="200"/>
      <c r="K43" s="200">
        <v>14920226</v>
      </c>
      <c r="L43" s="200"/>
      <c r="M43" s="237">
        <f t="shared" si="4"/>
        <v>16342285.701374996</v>
      </c>
      <c r="N43" s="45"/>
      <c r="O43" s="227">
        <f>'[2]311 PL'!$E$88</f>
        <v>32.035567986634398</v>
      </c>
      <c r="P43" s="140"/>
      <c r="Q43" s="196">
        <f t="shared" si="7"/>
        <v>510129.41953122802</v>
      </c>
      <c r="R43" s="136"/>
      <c r="S43" s="197">
        <f t="shared" si="5"/>
        <v>1.6444069735765485E-2</v>
      </c>
      <c r="T43" s="32"/>
      <c r="U43" s="262">
        <v>2.48</v>
      </c>
      <c r="W43" s="145">
        <v>770327</v>
      </c>
      <c r="Y43" s="157">
        <f t="shared" si="6"/>
        <v>-260197.58046877198</v>
      </c>
      <c r="AA43" s="198"/>
    </row>
    <row r="44" spans="1:27" x14ac:dyDescent="0.2">
      <c r="A44" s="26"/>
      <c r="B44" s="139"/>
      <c r="C44" s="63" t="s">
        <v>110</v>
      </c>
      <c r="D44" s="139"/>
      <c r="E44" s="20" t="str">
        <f>[1]KU!$I$23</f>
        <v>300 - R1</v>
      </c>
      <c r="F44" s="20" t="s">
        <v>64</v>
      </c>
      <c r="G44" s="222">
        <f>'SKM Prod NS Weighting'!Q$9</f>
        <v>-7.7499999999999999E-3</v>
      </c>
      <c r="H44" s="139"/>
      <c r="I44" s="202">
        <v>15817337.720000001</v>
      </c>
      <c r="J44" s="200"/>
      <c r="K44" s="200">
        <v>12919945</v>
      </c>
      <c r="L44" s="200"/>
      <c r="M44" s="237">
        <f t="shared" si="4"/>
        <v>3019977.0873299986</v>
      </c>
      <c r="N44" s="45"/>
      <c r="O44" s="227">
        <f>'[2]311 PL'!$E$88</f>
        <v>32.035567986634398</v>
      </c>
      <c r="P44" s="140"/>
      <c r="Q44" s="196">
        <f t="shared" si="7"/>
        <v>94269.503465334754</v>
      </c>
      <c r="R44" s="136"/>
      <c r="S44" s="197">
        <f t="shared" si="5"/>
        <v>5.9598843455265582E-3</v>
      </c>
      <c r="T44" s="32"/>
      <c r="U44" s="262">
        <v>1.38</v>
      </c>
      <c r="W44" s="145">
        <v>218174</v>
      </c>
      <c r="Y44" s="157">
        <f t="shared" si="6"/>
        <v>-123904.49653466525</v>
      </c>
      <c r="AA44" s="198"/>
    </row>
    <row r="45" spans="1:27" x14ac:dyDescent="0.2">
      <c r="A45" s="26"/>
      <c r="B45" s="139"/>
      <c r="C45" s="139"/>
      <c r="D45" s="139"/>
      <c r="E45" s="20"/>
      <c r="F45" s="20"/>
      <c r="G45" s="222"/>
      <c r="H45" s="139"/>
      <c r="I45" s="200"/>
      <c r="J45" s="205"/>
      <c r="K45" s="206"/>
      <c r="L45" s="201"/>
      <c r="M45" s="206"/>
      <c r="N45" s="34"/>
      <c r="O45" s="41"/>
      <c r="P45" s="140"/>
      <c r="Q45" s="35"/>
      <c r="R45" s="140"/>
      <c r="S45" s="179"/>
      <c r="T45" s="32"/>
      <c r="U45" s="262"/>
      <c r="AA45" s="198"/>
    </row>
    <row r="46" spans="1:27" x14ac:dyDescent="0.2">
      <c r="A46" s="26"/>
      <c r="B46" s="139"/>
      <c r="C46" s="65" t="s">
        <v>26</v>
      </c>
      <c r="D46" s="139"/>
      <c r="E46" s="20"/>
      <c r="F46" s="20"/>
      <c r="G46" s="222"/>
      <c r="H46" s="139"/>
      <c r="I46" s="200">
        <f>SUM(I26:I44)</f>
        <v>333950215.30000001</v>
      </c>
      <c r="J46" s="205"/>
      <c r="K46" s="200">
        <f>SUM(K26:K44)</f>
        <v>160225192</v>
      </c>
      <c r="L46" s="201"/>
      <c r="M46" s="200">
        <f>SUM(M26:M44)</f>
        <v>176313137.468575</v>
      </c>
      <c r="N46" s="34"/>
      <c r="O46" s="41"/>
      <c r="P46" s="140"/>
      <c r="Q46" s="200">
        <f>SUM(Q26:Q44)</f>
        <v>5503668.2209641105</v>
      </c>
      <c r="R46" s="136"/>
      <c r="S46" s="197">
        <f t="shared" si="5"/>
        <v>1.6480505083729197E-2</v>
      </c>
      <c r="T46" s="32"/>
      <c r="U46" s="262">
        <v>2.11</v>
      </c>
      <c r="W46" s="200">
        <v>7046600</v>
      </c>
      <c r="Y46" s="200">
        <f>SUM(Y26:Y44)</f>
        <v>-1542931.7790358888</v>
      </c>
      <c r="Z46" s="145"/>
      <c r="AA46" s="198"/>
    </row>
    <row r="47" spans="1:27" x14ac:dyDescent="0.2">
      <c r="A47" s="26"/>
      <c r="B47" s="139"/>
      <c r="C47" s="139"/>
      <c r="D47" s="139"/>
      <c r="E47" s="20"/>
      <c r="F47" s="20"/>
      <c r="G47" s="222"/>
      <c r="H47" s="139"/>
      <c r="I47" s="200"/>
      <c r="J47" s="205"/>
      <c r="K47" s="201"/>
      <c r="L47" s="201"/>
      <c r="M47" s="201"/>
      <c r="N47" s="34"/>
      <c r="O47" s="41"/>
      <c r="P47" s="140"/>
      <c r="Q47" s="35"/>
      <c r="R47" s="140"/>
      <c r="S47" s="179"/>
      <c r="T47" s="32"/>
      <c r="U47" s="262"/>
      <c r="AA47" s="198"/>
    </row>
    <row r="48" spans="1:27" x14ac:dyDescent="0.2">
      <c r="A48" s="26">
        <v>312</v>
      </c>
      <c r="B48" s="139"/>
      <c r="C48" s="139" t="s">
        <v>27</v>
      </c>
      <c r="D48" s="139"/>
      <c r="E48" s="56"/>
      <c r="F48" s="56"/>
      <c r="G48" s="224"/>
      <c r="H48" s="139"/>
      <c r="I48" s="200"/>
      <c r="J48" s="205"/>
      <c r="K48" s="201"/>
      <c r="L48" s="201"/>
      <c r="M48" s="201"/>
      <c r="N48" s="34"/>
      <c r="O48" s="41"/>
      <c r="P48" s="140"/>
      <c r="Q48" s="35"/>
      <c r="R48" s="140"/>
      <c r="S48" s="179"/>
      <c r="T48" s="32"/>
      <c r="U48" s="262"/>
      <c r="AA48" s="198"/>
    </row>
    <row r="49" spans="1:27" x14ac:dyDescent="0.2">
      <c r="A49" s="26"/>
      <c r="B49" s="139"/>
      <c r="C49" s="59" t="s">
        <v>93</v>
      </c>
      <c r="D49" s="139"/>
      <c r="E49" s="56" t="str">
        <f>[1]KU!$I$24</f>
        <v>77 - S0.5</v>
      </c>
      <c r="F49" s="56" t="s">
        <v>64</v>
      </c>
      <c r="G49" s="222">
        <f>'SKM Prod NS Weighting'!Q$10</f>
        <v>-2.7299999999999998E-2</v>
      </c>
      <c r="H49" s="139"/>
      <c r="I49" s="200">
        <v>505158968.56999999</v>
      </c>
      <c r="J49" s="205"/>
      <c r="K49" s="201">
        <v>44042332</v>
      </c>
      <c r="L49" s="201"/>
      <c r="M49" s="237">
        <f t="shared" ref="M49:M68" si="8">+((1-G49)*I49)-K49</f>
        <v>474907476.41196102</v>
      </c>
      <c r="N49" s="34"/>
      <c r="O49" s="227">
        <f>'[2]312 PL'!$E$88</f>
        <v>28.157093066199394</v>
      </c>
      <c r="P49" s="140"/>
      <c r="Q49" s="196">
        <f t="shared" ref="Q49:Q68" si="9">+M49/O49</f>
        <v>16866353.188357145</v>
      </c>
      <c r="R49" s="136"/>
      <c r="S49" s="197">
        <f t="shared" ref="S49:S68" si="10">+Q49/I49</f>
        <v>3.3388208935698563E-2</v>
      </c>
      <c r="T49" s="32"/>
      <c r="U49" s="262">
        <v>2.19</v>
      </c>
      <c r="W49" s="145">
        <v>11040635</v>
      </c>
      <c r="Y49" s="157">
        <f t="shared" ref="Y49:Y68" si="11">Q49-W49</f>
        <v>5825718.1883571446</v>
      </c>
      <c r="AA49" s="198"/>
    </row>
    <row r="50" spans="1:27" x14ac:dyDescent="0.2">
      <c r="A50" s="26"/>
      <c r="B50" s="139"/>
      <c r="C50" s="59" t="s">
        <v>94</v>
      </c>
      <c r="D50" s="139"/>
      <c r="E50" s="56" t="str">
        <f>[1]KU!$I$24</f>
        <v>77 - S0.5</v>
      </c>
      <c r="F50" s="56" t="s">
        <v>64</v>
      </c>
      <c r="G50" s="222">
        <f>'SKM Prod NS Weighting'!Q$10</f>
        <v>-2.7299999999999998E-2</v>
      </c>
      <c r="H50" s="139"/>
      <c r="I50" s="200">
        <v>70735319.609999999</v>
      </c>
      <c r="J50" s="205"/>
      <c r="K50" s="201">
        <v>11271211</v>
      </c>
      <c r="L50" s="201"/>
      <c r="M50" s="237">
        <f t="shared" si="8"/>
        <v>61395182.835353002</v>
      </c>
      <c r="N50" s="34"/>
      <c r="O50" s="227">
        <f>'[2]312 PL'!$E$88</f>
        <v>28.157093066199394</v>
      </c>
      <c r="P50" s="140"/>
      <c r="Q50" s="196">
        <f t="shared" si="9"/>
        <v>2180451.7494404842</v>
      </c>
      <c r="R50" s="136"/>
      <c r="S50" s="197">
        <f t="shared" si="10"/>
        <v>3.0825502188474303E-2</v>
      </c>
      <c r="T50" s="32"/>
      <c r="U50" s="262">
        <v>2.06</v>
      </c>
      <c r="W50" s="145">
        <v>1453909</v>
      </c>
      <c r="Y50" s="157">
        <f t="shared" si="11"/>
        <v>726542.74944048421</v>
      </c>
      <c r="AA50" s="198"/>
    </row>
    <row r="51" spans="1:27" x14ac:dyDescent="0.2">
      <c r="A51" s="26"/>
      <c r="B51" s="139"/>
      <c r="C51" s="59" t="s">
        <v>96</v>
      </c>
      <c r="D51" s="139"/>
      <c r="E51" s="56" t="str">
        <f>[1]KU!$I$24</f>
        <v>77 - S0.5</v>
      </c>
      <c r="F51" s="56" t="s">
        <v>64</v>
      </c>
      <c r="G51" s="222">
        <f>'SKM Prod NS Weighting'!Q$10</f>
        <v>-2.7299999999999998E-2</v>
      </c>
      <c r="H51" s="139"/>
      <c r="I51" s="200">
        <v>13993285.779999999</v>
      </c>
      <c r="J51" s="205"/>
      <c r="K51" s="201">
        <v>11103677</v>
      </c>
      <c r="L51" s="201"/>
      <c r="M51" s="237">
        <f t="shared" si="8"/>
        <v>3271625.4817940015</v>
      </c>
      <c r="N51" s="34"/>
      <c r="O51" s="227">
        <f>'[2]312 PL'!$E$88</f>
        <v>28.157093066199394</v>
      </c>
      <c r="P51" s="140"/>
      <c r="Q51" s="196">
        <f t="shared" si="9"/>
        <v>116191.87655849877</v>
      </c>
      <c r="R51" s="136"/>
      <c r="S51" s="197">
        <f t="shared" si="10"/>
        <v>8.3034019589999959E-3</v>
      </c>
      <c r="T51" s="32"/>
      <c r="U51" s="262">
        <v>7.74</v>
      </c>
      <c r="W51" s="145">
        <v>1082465</v>
      </c>
      <c r="Y51" s="157">
        <f t="shared" si="11"/>
        <v>-966273.12344150129</v>
      </c>
      <c r="AA51" s="198"/>
    </row>
    <row r="52" spans="1:27" x14ac:dyDescent="0.2">
      <c r="A52" s="26"/>
      <c r="B52" s="139"/>
      <c r="C52" s="59" t="s">
        <v>97</v>
      </c>
      <c r="D52" s="139"/>
      <c r="E52" s="56" t="str">
        <f>[1]KU!$I$24</f>
        <v>77 - S0.5</v>
      </c>
      <c r="F52" s="56" t="s">
        <v>64</v>
      </c>
      <c r="G52" s="222">
        <f>'SKM Prod NS Weighting'!Q$10</f>
        <v>-2.7299999999999998E-2</v>
      </c>
      <c r="H52" s="139"/>
      <c r="I52" s="200">
        <v>421899.96</v>
      </c>
      <c r="J52" s="205"/>
      <c r="K52" s="201">
        <v>464090</v>
      </c>
      <c r="L52" s="201"/>
      <c r="M52" s="237">
        <f t="shared" si="8"/>
        <v>-30672.171091999917</v>
      </c>
      <c r="N52" s="34"/>
      <c r="O52" s="227">
        <f>'[2]312 PL'!$E$88</f>
        <v>28.157093066199394</v>
      </c>
      <c r="P52" s="140"/>
      <c r="Q52" s="196">
        <f t="shared" si="9"/>
        <v>-1089.3230710957055</v>
      </c>
      <c r="R52" s="136"/>
      <c r="S52" s="197">
        <f t="shared" si="10"/>
        <v>-2.5819463720634281E-3</v>
      </c>
      <c r="T52" s="32"/>
      <c r="U52" s="262" t="s">
        <v>297</v>
      </c>
      <c r="W52" s="145">
        <v>0</v>
      </c>
      <c r="Y52" s="157">
        <f t="shared" si="11"/>
        <v>-1089.3230710957055</v>
      </c>
      <c r="AA52" s="198"/>
    </row>
    <row r="53" spans="1:27" x14ac:dyDescent="0.2">
      <c r="B53" s="139"/>
      <c r="C53" s="63" t="s">
        <v>98</v>
      </c>
      <c r="D53" s="139"/>
      <c r="E53" s="56" t="str">
        <f>[1]KU!$I$24</f>
        <v>77 - S0.5</v>
      </c>
      <c r="F53" s="56" t="s">
        <v>64</v>
      </c>
      <c r="G53" s="222">
        <f>'SKM Prod NS Weighting'!Q$10</f>
        <v>-2.7299999999999998E-2</v>
      </c>
      <c r="H53" s="139"/>
      <c r="I53" s="200">
        <v>12145770.439999999</v>
      </c>
      <c r="J53" s="205"/>
      <c r="K53" s="201">
        <v>9725542</v>
      </c>
      <c r="L53" s="201"/>
      <c r="M53" s="237">
        <f t="shared" si="8"/>
        <v>2751807.9730120003</v>
      </c>
      <c r="N53" s="34"/>
      <c r="O53" s="227">
        <f>'[2]312 PL'!$E$88</f>
        <v>28.157093066199394</v>
      </c>
      <c r="P53" s="140"/>
      <c r="Q53" s="196">
        <f t="shared" si="9"/>
        <v>97730.542231127969</v>
      </c>
      <c r="R53" s="136"/>
      <c r="S53" s="197">
        <f t="shared" si="10"/>
        <v>8.0464670984781075E-3</v>
      </c>
      <c r="T53" s="32"/>
      <c r="U53" s="262">
        <v>7.59</v>
      </c>
      <c r="W53" s="145">
        <v>922012</v>
      </c>
      <c r="Y53" s="157">
        <f t="shared" si="11"/>
        <v>-824281.45776887203</v>
      </c>
      <c r="AA53" s="198"/>
    </row>
    <row r="54" spans="1:27" x14ac:dyDescent="0.2">
      <c r="A54" s="26"/>
      <c r="B54" s="139"/>
      <c r="C54" s="63" t="s">
        <v>99</v>
      </c>
      <c r="D54" s="139"/>
      <c r="E54" s="56" t="str">
        <f>[1]KU!$I$24</f>
        <v>77 - S0.5</v>
      </c>
      <c r="F54" s="20" t="s">
        <v>64</v>
      </c>
      <c r="G54" s="222">
        <f>'SKM Prod NS Weighting'!Q$10</f>
        <v>-2.7299999999999998E-2</v>
      </c>
      <c r="H54" s="139"/>
      <c r="I54" s="200">
        <v>25165914.239999998</v>
      </c>
      <c r="J54" s="200"/>
      <c r="K54" s="200">
        <v>20127163</v>
      </c>
      <c r="L54" s="200"/>
      <c r="M54" s="237">
        <f t="shared" si="8"/>
        <v>5725780.6987520009</v>
      </c>
      <c r="N54" s="45"/>
      <c r="O54" s="227">
        <f>'[2]312 PL'!$E$88</f>
        <v>28.157093066199394</v>
      </c>
      <c r="P54" s="140"/>
      <c r="Q54" s="196">
        <f t="shared" si="9"/>
        <v>203351.27228120709</v>
      </c>
      <c r="R54" s="136"/>
      <c r="S54" s="197">
        <f t="shared" si="10"/>
        <v>8.0804245910522151E-3</v>
      </c>
      <c r="T54" s="32"/>
      <c r="U54" s="262">
        <v>7.57</v>
      </c>
      <c r="W54" s="145">
        <v>1903819</v>
      </c>
      <c r="Y54" s="157">
        <f t="shared" si="11"/>
        <v>-1700467.7277187929</v>
      </c>
      <c r="AA54" s="198"/>
    </row>
    <row r="55" spans="1:27" x14ac:dyDescent="0.2">
      <c r="A55" s="26"/>
      <c r="B55" s="139"/>
      <c r="C55" s="63" t="s">
        <v>100</v>
      </c>
      <c r="D55" s="139"/>
      <c r="E55" s="56" t="str">
        <f>[1]KU!$I$24</f>
        <v>77 - S0.5</v>
      </c>
      <c r="F55" s="20" t="s">
        <v>64</v>
      </c>
      <c r="G55" s="222">
        <f>'SKM Prod NS Weighting'!Q$10</f>
        <v>-2.7299999999999998E-2</v>
      </c>
      <c r="H55" s="139"/>
      <c r="I55" s="200">
        <v>349297.88</v>
      </c>
      <c r="J55" s="200"/>
      <c r="K55" s="200">
        <v>384228</v>
      </c>
      <c r="L55" s="200"/>
      <c r="M55" s="237">
        <f t="shared" si="8"/>
        <v>-25394.287875999988</v>
      </c>
      <c r="N55" s="45"/>
      <c r="O55" s="227">
        <f>'[2]312 PL'!$E$88</f>
        <v>28.157093066199394</v>
      </c>
      <c r="P55" s="140"/>
      <c r="Q55" s="196">
        <f t="shared" si="9"/>
        <v>-901.8788912724815</v>
      </c>
      <c r="R55" s="136"/>
      <c r="S55" s="197">
        <f t="shared" si="10"/>
        <v>-2.581976424456059E-3</v>
      </c>
      <c r="T55" s="32"/>
      <c r="U55" s="262" t="s">
        <v>297</v>
      </c>
      <c r="W55" s="145">
        <v>0</v>
      </c>
      <c r="Y55" s="157">
        <f t="shared" si="11"/>
        <v>-901.8788912724815</v>
      </c>
      <c r="AA55" s="198"/>
    </row>
    <row r="56" spans="1:27" x14ac:dyDescent="0.2">
      <c r="A56" s="26"/>
      <c r="B56" s="139"/>
      <c r="C56" s="63" t="s">
        <v>101</v>
      </c>
      <c r="D56" s="139"/>
      <c r="E56" s="56" t="str">
        <f>[1]KU!$I$24</f>
        <v>77 - S0.5</v>
      </c>
      <c r="F56" s="20" t="s">
        <v>64</v>
      </c>
      <c r="G56" s="222">
        <f>'SKM Prod NS Weighting'!Q$10</f>
        <v>-2.7299999999999998E-2</v>
      </c>
      <c r="H56" s="139"/>
      <c r="I56" s="200">
        <v>45302489.090000004</v>
      </c>
      <c r="J56" s="200"/>
      <c r="K56" s="200">
        <v>26739197</v>
      </c>
      <c r="L56" s="200"/>
      <c r="M56" s="237">
        <f t="shared" si="8"/>
        <v>19800050.042157009</v>
      </c>
      <c r="N56" s="45"/>
      <c r="O56" s="227">
        <f>'[2]312 PL'!$E$88</f>
        <v>28.157093066199394</v>
      </c>
      <c r="P56" s="140"/>
      <c r="Q56" s="196">
        <f t="shared" si="9"/>
        <v>703199.36776163778</v>
      </c>
      <c r="R56" s="136"/>
      <c r="S56" s="197">
        <f t="shared" si="10"/>
        <v>1.5522311949893739E-2</v>
      </c>
      <c r="T56" s="32"/>
      <c r="U56" s="262">
        <v>3.25</v>
      </c>
      <c r="W56" s="145">
        <v>1471865</v>
      </c>
      <c r="Y56" s="157">
        <f t="shared" si="11"/>
        <v>-768665.63223836222</v>
      </c>
      <c r="AA56" s="198"/>
    </row>
    <row r="57" spans="1:27" x14ac:dyDescent="0.2">
      <c r="A57" s="26"/>
      <c r="B57" s="139"/>
      <c r="C57" s="63" t="s">
        <v>102</v>
      </c>
      <c r="D57" s="139"/>
      <c r="E57" s="56" t="str">
        <f>[1]KU!$I$24</f>
        <v>77 - S0.5</v>
      </c>
      <c r="F57" s="20" t="s">
        <v>64</v>
      </c>
      <c r="G57" s="222">
        <f>'SKM Prod NS Weighting'!Q$10</f>
        <v>-2.7299999999999998E-2</v>
      </c>
      <c r="H57" s="139"/>
      <c r="I57" s="200">
        <v>41956868.140000001</v>
      </c>
      <c r="J57" s="200"/>
      <c r="K57" s="200">
        <v>19641359</v>
      </c>
      <c r="L57" s="200"/>
      <c r="M57" s="237">
        <f t="shared" si="8"/>
        <v>23460931.640222006</v>
      </c>
      <c r="N57" s="45"/>
      <c r="O57" s="227">
        <f>'[2]312 PL'!$E$88</f>
        <v>28.157093066199394</v>
      </c>
      <c r="P57" s="140"/>
      <c r="Q57" s="196">
        <f t="shared" si="9"/>
        <v>833215.68689863093</v>
      </c>
      <c r="R57" s="136"/>
      <c r="S57" s="197">
        <f t="shared" si="10"/>
        <v>1.9858862775896192E-2</v>
      </c>
      <c r="T57" s="32"/>
      <c r="U57" s="262">
        <v>2.98</v>
      </c>
      <c r="W57" s="145">
        <v>1252209</v>
      </c>
      <c r="Y57" s="157">
        <f t="shared" si="11"/>
        <v>-418993.31310136907</v>
      </c>
      <c r="AA57" s="198"/>
    </row>
    <row r="58" spans="1:27" x14ac:dyDescent="0.2">
      <c r="A58" s="26"/>
      <c r="B58" s="139"/>
      <c r="C58" s="63" t="s">
        <v>103</v>
      </c>
      <c r="D58" s="139"/>
      <c r="E58" s="56" t="str">
        <f>[1]KU!$I$24</f>
        <v>77 - S0.5</v>
      </c>
      <c r="F58" s="20" t="s">
        <v>64</v>
      </c>
      <c r="G58" s="222">
        <f>'SKM Prod NS Weighting'!Q$10</f>
        <v>-2.7299999999999998E-2</v>
      </c>
      <c r="H58" s="139"/>
      <c r="I58" s="200">
        <v>142628390.37</v>
      </c>
      <c r="J58" s="200"/>
      <c r="K58" s="200">
        <v>71929055</v>
      </c>
      <c r="L58" s="200"/>
      <c r="M58" s="237">
        <f t="shared" si="8"/>
        <v>74593090.427101016</v>
      </c>
      <c r="N58" s="45"/>
      <c r="O58" s="227">
        <f>'[2]312 PL'!$E$88</f>
        <v>28.157093066199394</v>
      </c>
      <c r="P58" s="140"/>
      <c r="Q58" s="196">
        <f t="shared" si="9"/>
        <v>2649175.8311743042</v>
      </c>
      <c r="R58" s="136"/>
      <c r="S58" s="197">
        <f t="shared" si="10"/>
        <v>1.8573972715403533E-2</v>
      </c>
      <c r="T58" s="32"/>
      <c r="U58" s="262">
        <v>2.67</v>
      </c>
      <c r="W58" s="145">
        <v>3809860</v>
      </c>
      <c r="Y58" s="157">
        <f t="shared" si="11"/>
        <v>-1160684.1688256958</v>
      </c>
      <c r="AA58" s="198"/>
    </row>
    <row r="59" spans="1:27" x14ac:dyDescent="0.2">
      <c r="A59" s="26"/>
      <c r="B59" s="139"/>
      <c r="C59" s="63" t="s">
        <v>186</v>
      </c>
      <c r="D59" s="139"/>
      <c r="E59" s="56" t="str">
        <f>[1]KU!$I$24</f>
        <v>77 - S0.5</v>
      </c>
      <c r="F59" s="20" t="s">
        <v>64</v>
      </c>
      <c r="G59" s="222">
        <f>'SKM Prod NS Weighting'!Q$10</f>
        <v>-2.7299999999999998E-2</v>
      </c>
      <c r="H59" s="139"/>
      <c r="I59" s="200">
        <v>323725098.68000001</v>
      </c>
      <c r="J59" s="200"/>
      <c r="K59" s="200">
        <v>18469817</v>
      </c>
      <c r="L59" s="200"/>
      <c r="M59" s="237">
        <f t="shared" si="8"/>
        <v>314092976.87396401</v>
      </c>
      <c r="N59" s="45"/>
      <c r="O59" s="227">
        <f>'[2]312 PL'!$E$88</f>
        <v>28.157093066199394</v>
      </c>
      <c r="P59" s="140"/>
      <c r="Q59" s="196">
        <f t="shared" si="9"/>
        <v>11155021.44115191</v>
      </c>
      <c r="R59" s="136"/>
      <c r="S59" s="197">
        <f t="shared" si="10"/>
        <v>3.4458315053843169E-2</v>
      </c>
      <c r="T59" s="32"/>
      <c r="U59" s="262">
        <v>4.58</v>
      </c>
      <c r="W59" s="145">
        <v>14820202</v>
      </c>
      <c r="Y59" s="157">
        <f t="shared" si="11"/>
        <v>-3665180.5588480905</v>
      </c>
      <c r="AA59" s="198"/>
    </row>
    <row r="60" spans="1:27" x14ac:dyDescent="0.2">
      <c r="A60" s="26"/>
      <c r="B60" s="139"/>
      <c r="C60" s="63" t="s">
        <v>104</v>
      </c>
      <c r="D60" s="139"/>
      <c r="E60" s="56" t="str">
        <f>[1]KU!$I$24</f>
        <v>77 - S0.5</v>
      </c>
      <c r="F60" s="20" t="s">
        <v>64</v>
      </c>
      <c r="G60" s="222">
        <f>'SKM Prod NS Weighting'!Q$10</f>
        <v>-2.7299999999999998E-2</v>
      </c>
      <c r="H60" s="139"/>
      <c r="I60" s="200">
        <v>236470.42</v>
      </c>
      <c r="J60" s="200"/>
      <c r="K60" s="200">
        <v>260117</v>
      </c>
      <c r="L60" s="200"/>
      <c r="M60" s="237">
        <f t="shared" si="8"/>
        <v>-17190.937533999968</v>
      </c>
      <c r="N60" s="45"/>
      <c r="O60" s="227">
        <f>'[2]312 PL'!$E$88</f>
        <v>28.157093066199394</v>
      </c>
      <c r="P60" s="140"/>
      <c r="Q60" s="196">
        <f t="shared" si="9"/>
        <v>-610.53665922056689</v>
      </c>
      <c r="R60" s="136"/>
      <c r="S60" s="197">
        <f t="shared" si="10"/>
        <v>-2.5818732813202043E-3</v>
      </c>
      <c r="T60" s="32"/>
      <c r="U60" s="262" t="s">
        <v>297</v>
      </c>
      <c r="W60" s="145">
        <v>0</v>
      </c>
      <c r="Y60" s="157">
        <f t="shared" si="11"/>
        <v>-610.53665922056689</v>
      </c>
      <c r="AA60" s="198"/>
    </row>
    <row r="61" spans="1:27" x14ac:dyDescent="0.2">
      <c r="A61" s="26"/>
      <c r="B61" s="139"/>
      <c r="C61" s="63" t="s">
        <v>105</v>
      </c>
      <c r="D61" s="139"/>
      <c r="E61" s="56" t="str">
        <f>[1]KU!$I$24</f>
        <v>77 - S0.5</v>
      </c>
      <c r="F61" s="20" t="s">
        <v>64</v>
      </c>
      <c r="G61" s="222">
        <f>'SKM Prod NS Weighting'!Q$10</f>
        <v>-2.7299999999999998E-2</v>
      </c>
      <c r="H61" s="139"/>
      <c r="I61" s="200">
        <v>144202759.28</v>
      </c>
      <c r="J61" s="200"/>
      <c r="K61" s="200">
        <v>34075530</v>
      </c>
      <c r="L61" s="200"/>
      <c r="M61" s="237">
        <f t="shared" si="8"/>
        <v>114063964.60834402</v>
      </c>
      <c r="N61" s="45"/>
      <c r="O61" s="227">
        <f>'[2]312 PL'!$E$88</f>
        <v>28.157093066199394</v>
      </c>
      <c r="P61" s="140"/>
      <c r="Q61" s="196">
        <f t="shared" si="9"/>
        <v>4050985.1048959941</v>
      </c>
      <c r="R61" s="136"/>
      <c r="S61" s="197">
        <f t="shared" si="10"/>
        <v>2.8092285647808957E-2</v>
      </c>
      <c r="T61" s="32"/>
      <c r="U61" s="262">
        <v>4.0199999999999996</v>
      </c>
      <c r="W61" s="145">
        <v>5799995</v>
      </c>
      <c r="Y61" s="157">
        <f t="shared" si="11"/>
        <v>-1749009.8951040059</v>
      </c>
      <c r="AA61" s="198"/>
    </row>
    <row r="62" spans="1:27" x14ac:dyDescent="0.2">
      <c r="A62" s="26"/>
      <c r="B62" s="139"/>
      <c r="C62" s="63" t="s">
        <v>106</v>
      </c>
      <c r="D62" s="139"/>
      <c r="E62" s="56" t="str">
        <f>[1]KU!$I$24</f>
        <v>77 - S0.5</v>
      </c>
      <c r="F62" s="20" t="s">
        <v>64</v>
      </c>
      <c r="G62" s="222">
        <f>'SKM Prod NS Weighting'!Q$10</f>
        <v>-2.7299999999999998E-2</v>
      </c>
      <c r="H62" s="139"/>
      <c r="I62" s="200">
        <v>198785055.46000001</v>
      </c>
      <c r="J62" s="200"/>
      <c r="K62" s="200">
        <v>96800340</v>
      </c>
      <c r="L62" s="200"/>
      <c r="M62" s="237">
        <f t="shared" si="8"/>
        <v>107411547.47405803</v>
      </c>
      <c r="N62" s="45"/>
      <c r="O62" s="227">
        <f>'[2]312 PL'!$E$88</f>
        <v>28.157093066199394</v>
      </c>
      <c r="P62" s="140"/>
      <c r="Q62" s="196">
        <f t="shared" si="9"/>
        <v>3814724.3119708984</v>
      </c>
      <c r="R62" s="136"/>
      <c r="S62" s="197">
        <f t="shared" si="10"/>
        <v>1.9190196683263779E-2</v>
      </c>
      <c r="T62" s="32"/>
      <c r="U62" s="262">
        <v>2.93</v>
      </c>
      <c r="W62" s="145">
        <v>5834075</v>
      </c>
      <c r="Y62" s="157">
        <f t="shared" si="11"/>
        <v>-2019350.6880291016</v>
      </c>
      <c r="AA62" s="198"/>
    </row>
    <row r="63" spans="1:27" x14ac:dyDescent="0.2">
      <c r="A63" s="26"/>
      <c r="B63" s="139"/>
      <c r="C63" s="63" t="s">
        <v>107</v>
      </c>
      <c r="D63" s="139"/>
      <c r="E63" s="56" t="str">
        <f>[1]KU!$I$24</f>
        <v>77 - S0.5</v>
      </c>
      <c r="F63" s="20" t="s">
        <v>64</v>
      </c>
      <c r="G63" s="222">
        <f>'SKM Prod NS Weighting'!Q$10</f>
        <v>-2.7299999999999998E-2</v>
      </c>
      <c r="H63" s="139"/>
      <c r="I63" s="200">
        <v>98446686.349999994</v>
      </c>
      <c r="J63" s="200"/>
      <c r="K63" s="200">
        <v>73285978</v>
      </c>
      <c r="L63" s="200"/>
      <c r="M63" s="237">
        <f t="shared" si="8"/>
        <v>27848302.887355</v>
      </c>
      <c r="N63" s="45"/>
      <c r="O63" s="227">
        <f>'[2]312 PL'!$E$88</f>
        <v>28.157093066199394</v>
      </c>
      <c r="P63" s="140"/>
      <c r="Q63" s="196">
        <f t="shared" si="9"/>
        <v>989033.30758901825</v>
      </c>
      <c r="R63" s="136"/>
      <c r="S63" s="197">
        <f t="shared" si="10"/>
        <v>1.0046384944565667E-2</v>
      </c>
      <c r="T63" s="32"/>
      <c r="U63" s="262">
        <v>1.81</v>
      </c>
      <c r="W63" s="145">
        <v>1779312</v>
      </c>
      <c r="Y63" s="157">
        <f t="shared" si="11"/>
        <v>-790278.69241098175</v>
      </c>
      <c r="AA63" s="198"/>
    </row>
    <row r="64" spans="1:27" x14ac:dyDescent="0.2">
      <c r="A64" s="26"/>
      <c r="B64" s="139"/>
      <c r="C64" s="63" t="s">
        <v>108</v>
      </c>
      <c r="D64" s="139"/>
      <c r="E64" s="56" t="str">
        <f>[1]KU!$I$24</f>
        <v>77 - S0.5</v>
      </c>
      <c r="F64" s="20" t="s">
        <v>64</v>
      </c>
      <c r="G64" s="222">
        <f>'SKM Prod NS Weighting'!Q$10</f>
        <v>-2.7299999999999998E-2</v>
      </c>
      <c r="H64" s="139"/>
      <c r="I64" s="200">
        <v>254967909.72</v>
      </c>
      <c r="J64" s="200"/>
      <c r="K64" s="200">
        <v>146662379</v>
      </c>
      <c r="L64" s="200"/>
      <c r="M64" s="237">
        <f t="shared" si="8"/>
        <v>115266154.65535602</v>
      </c>
      <c r="N64" s="45"/>
      <c r="O64" s="227">
        <f>'[2]312 PL'!$E$88</f>
        <v>28.157093066199394</v>
      </c>
      <c r="P64" s="140"/>
      <c r="Q64" s="196">
        <f t="shared" si="9"/>
        <v>4093680.9202696038</v>
      </c>
      <c r="R64" s="136"/>
      <c r="S64" s="197">
        <f t="shared" si="10"/>
        <v>1.6055671181385893E-2</v>
      </c>
      <c r="T64" s="32"/>
      <c r="U64" s="262">
        <v>2.31</v>
      </c>
      <c r="W64" s="145">
        <v>5879680</v>
      </c>
      <c r="Y64" s="157">
        <f t="shared" si="11"/>
        <v>-1785999.0797303962</v>
      </c>
      <c r="AA64" s="198"/>
    </row>
    <row r="65" spans="1:27" x14ac:dyDescent="0.2">
      <c r="A65" s="26"/>
      <c r="B65" s="139"/>
      <c r="C65" s="63" t="s">
        <v>109</v>
      </c>
      <c r="D65" s="139"/>
      <c r="E65" s="56" t="str">
        <f>[1]KU!$I$24</f>
        <v>77 - S0.5</v>
      </c>
      <c r="F65" s="20" t="s">
        <v>64</v>
      </c>
      <c r="G65" s="222">
        <f>'SKM Prod NS Weighting'!Q$10</f>
        <v>-2.7299999999999998E-2</v>
      </c>
      <c r="H65" s="139"/>
      <c r="I65" s="200">
        <v>267856280.18000001</v>
      </c>
      <c r="J65" s="200"/>
      <c r="K65" s="200">
        <v>128461343</v>
      </c>
      <c r="L65" s="200"/>
      <c r="M65" s="237">
        <f t="shared" si="8"/>
        <v>146707413.62891406</v>
      </c>
      <c r="N65" s="45"/>
      <c r="O65" s="227">
        <f>'[2]312 PL'!$E$88</f>
        <v>28.157093066199394</v>
      </c>
      <c r="P65" s="140"/>
      <c r="Q65" s="196">
        <f t="shared" si="9"/>
        <v>5210318.1704160348</v>
      </c>
      <c r="R65" s="136"/>
      <c r="S65" s="197">
        <f t="shared" si="10"/>
        <v>1.9451917150923956E-2</v>
      </c>
      <c r="T65" s="32"/>
      <c r="U65" s="262">
        <v>2.6</v>
      </c>
      <c r="W65" s="145">
        <v>6953070</v>
      </c>
      <c r="Y65" s="157">
        <f t="shared" si="11"/>
        <v>-1742751.8295839652</v>
      </c>
      <c r="AA65" s="198"/>
    </row>
    <row r="66" spans="1:27" x14ac:dyDescent="0.2">
      <c r="A66" s="114" t="s">
        <v>160</v>
      </c>
      <c r="B66" s="139"/>
      <c r="C66" s="63" t="s">
        <v>110</v>
      </c>
      <c r="D66" s="139"/>
      <c r="E66" s="56" t="str">
        <f>[1]KU!$I$24</f>
        <v>77 - S0.5</v>
      </c>
      <c r="F66" s="20" t="s">
        <v>64</v>
      </c>
      <c r="G66" s="222">
        <f>'SKM Prod NS Weighting'!Q$10</f>
        <v>-2.7299999999999998E-2</v>
      </c>
      <c r="H66" s="139"/>
      <c r="I66" s="200">
        <v>93278511.280000001</v>
      </c>
      <c r="J66" s="200"/>
      <c r="K66" s="200">
        <v>55024079</v>
      </c>
      <c r="L66" s="200"/>
      <c r="M66" s="237">
        <f t="shared" si="8"/>
        <v>40800935.637944013</v>
      </c>
      <c r="N66" s="45"/>
      <c r="O66" s="227">
        <f>'[2]312 PL'!$E$88</f>
        <v>28.157093066199394</v>
      </c>
      <c r="P66" s="140"/>
      <c r="Q66" s="196">
        <f t="shared" si="9"/>
        <v>1449046.4460240272</v>
      </c>
      <c r="R66" s="136"/>
      <c r="S66" s="197">
        <f t="shared" si="10"/>
        <v>1.5534622349131761E-2</v>
      </c>
      <c r="T66" s="32"/>
      <c r="U66" s="262">
        <v>2.4300000000000002</v>
      </c>
      <c r="W66" s="145">
        <v>2270953</v>
      </c>
      <c r="Y66" s="157">
        <f t="shared" si="11"/>
        <v>-821906.55397597281</v>
      </c>
      <c r="AA66" s="198"/>
    </row>
    <row r="67" spans="1:27" x14ac:dyDescent="0.2">
      <c r="A67" s="26"/>
      <c r="B67" s="139"/>
      <c r="C67" s="63" t="s">
        <v>111</v>
      </c>
      <c r="D67" s="139"/>
      <c r="E67" s="56" t="str">
        <f>[1]KU!$I$24</f>
        <v>77 - S0.5</v>
      </c>
      <c r="F67" s="20" t="s">
        <v>64</v>
      </c>
      <c r="G67" s="222">
        <f>'SKM Prod NS Weighting'!Q$10</f>
        <v>-2.7299999999999998E-2</v>
      </c>
      <c r="H67" s="139"/>
      <c r="I67" s="207">
        <v>127988949.01000001</v>
      </c>
      <c r="J67" s="200"/>
      <c r="K67" s="200">
        <v>24898056</v>
      </c>
      <c r="L67" s="200"/>
      <c r="M67" s="237">
        <f t="shared" si="8"/>
        <v>106584991.31797302</v>
      </c>
      <c r="N67" s="45"/>
      <c r="O67" s="227">
        <f>'[2]312 PL'!$E$88</f>
        <v>28.157093066199394</v>
      </c>
      <c r="P67" s="140"/>
      <c r="Q67" s="196">
        <f t="shared" si="9"/>
        <v>3785369.1454364224</v>
      </c>
      <c r="R67" s="136"/>
      <c r="S67" s="197">
        <f t="shared" si="10"/>
        <v>2.9575749896506024E-2</v>
      </c>
      <c r="T67" s="32"/>
      <c r="U67" s="262">
        <v>3.74</v>
      </c>
      <c r="W67" s="145">
        <v>4782967</v>
      </c>
      <c r="Y67" s="157">
        <f t="shared" si="11"/>
        <v>-997597.85456357757</v>
      </c>
      <c r="AA67" s="198"/>
    </row>
    <row r="68" spans="1:27" x14ac:dyDescent="0.2">
      <c r="A68" s="26"/>
      <c r="B68" s="139"/>
      <c r="C68" s="63" t="s">
        <v>112</v>
      </c>
      <c r="D68" s="139"/>
      <c r="E68" s="56" t="str">
        <f>[1]KU!$I$24</f>
        <v>77 - S0.5</v>
      </c>
      <c r="F68" s="20" t="s">
        <v>64</v>
      </c>
      <c r="G68" s="222">
        <f>'SKM Prod NS Weighting'!Q$10</f>
        <v>-2.7299999999999998E-2</v>
      </c>
      <c r="H68" s="139"/>
      <c r="I68" s="202">
        <v>307100358.5</v>
      </c>
      <c r="J68" s="200"/>
      <c r="K68" s="200">
        <v>41271827</v>
      </c>
      <c r="L68" s="200"/>
      <c r="M68" s="237">
        <f t="shared" si="8"/>
        <v>274212371.28705001</v>
      </c>
      <c r="N68" s="45"/>
      <c r="O68" s="227">
        <f>'[2]312 PL'!$E$88</f>
        <v>28.157093066199394</v>
      </c>
      <c r="P68" s="140"/>
      <c r="Q68" s="196">
        <f t="shared" si="9"/>
        <v>9738660.5443380326</v>
      </c>
      <c r="R68" s="136"/>
      <c r="S68" s="197">
        <f t="shared" si="10"/>
        <v>3.1711654756463051E-2</v>
      </c>
      <c r="T68" s="32"/>
      <c r="U68" s="262">
        <v>3.83</v>
      </c>
      <c r="W68" s="145">
        <v>11768189</v>
      </c>
      <c r="Y68" s="157">
        <f t="shared" si="11"/>
        <v>-2029528.4556619674</v>
      </c>
      <c r="AA68" s="198"/>
    </row>
    <row r="69" spans="1:27" x14ac:dyDescent="0.2">
      <c r="A69" s="26"/>
      <c r="B69" s="139"/>
      <c r="C69" s="139"/>
      <c r="D69" s="139"/>
      <c r="E69" s="20"/>
      <c r="F69" s="20"/>
      <c r="G69" s="222"/>
      <c r="H69" s="139"/>
      <c r="I69" s="200"/>
      <c r="J69" s="205"/>
      <c r="K69" s="206"/>
      <c r="L69" s="201"/>
      <c r="M69" s="206"/>
      <c r="N69" s="34"/>
      <c r="O69" s="41"/>
      <c r="P69" s="140"/>
      <c r="Q69" s="35"/>
      <c r="R69" s="140"/>
      <c r="S69" s="179"/>
      <c r="T69" s="32"/>
      <c r="U69" s="262"/>
      <c r="AA69" s="198"/>
    </row>
    <row r="70" spans="1:27" x14ac:dyDescent="0.2">
      <c r="A70" s="26"/>
      <c r="B70" s="139"/>
      <c r="C70" s="65" t="s">
        <v>28</v>
      </c>
      <c r="D70" s="139"/>
      <c r="E70" s="20"/>
      <c r="F70" s="20"/>
      <c r="G70" s="222"/>
      <c r="H70" s="139"/>
      <c r="I70" s="200">
        <f>SUM(I49:I68)</f>
        <v>2674446282.9600005</v>
      </c>
      <c r="J70" s="205"/>
      <c r="K70" s="200">
        <f>SUM(K49:K68)</f>
        <v>834637320</v>
      </c>
      <c r="L70" s="201"/>
      <c r="M70" s="200">
        <f>SUM(M49:M68)</f>
        <v>1912821346.4848082</v>
      </c>
      <c r="N70" s="34"/>
      <c r="O70" s="41"/>
      <c r="P70" s="140"/>
      <c r="Q70" s="200">
        <f>SUM(Q49:Q68)</f>
        <v>67933907.168173373</v>
      </c>
      <c r="R70" s="136"/>
      <c r="S70" s="197">
        <f t="shared" ref="S70" si="12">+Q70/I70</f>
        <v>2.5401111101392572E-2</v>
      </c>
      <c r="T70" s="32"/>
      <c r="U70" s="262">
        <v>3.1</v>
      </c>
      <c r="W70" s="200">
        <v>82825217</v>
      </c>
      <c r="Y70" s="200">
        <f>SUM(Y49:Y68)</f>
        <v>-14891309.831826614</v>
      </c>
      <c r="AA70" s="198"/>
    </row>
    <row r="71" spans="1:27" x14ac:dyDescent="0.2">
      <c r="A71" s="26"/>
      <c r="B71" s="139"/>
      <c r="C71" s="65"/>
      <c r="D71" s="139"/>
      <c r="E71" s="20"/>
      <c r="F71" s="20"/>
      <c r="G71" s="222"/>
      <c r="H71" s="139"/>
      <c r="I71" s="200"/>
      <c r="J71" s="205"/>
      <c r="K71" s="201"/>
      <c r="L71" s="201"/>
      <c r="M71" s="201"/>
      <c r="N71" s="34"/>
      <c r="O71" s="41"/>
      <c r="P71" s="140"/>
      <c r="Q71" s="35"/>
      <c r="R71" s="140"/>
      <c r="S71" s="179"/>
      <c r="T71" s="32"/>
      <c r="U71" s="262"/>
      <c r="AA71" s="198"/>
    </row>
    <row r="72" spans="1:27" x14ac:dyDescent="0.2">
      <c r="A72" s="26">
        <v>314</v>
      </c>
      <c r="B72" s="139"/>
      <c r="C72" s="139" t="s">
        <v>29</v>
      </c>
      <c r="D72" s="139"/>
      <c r="E72" s="56"/>
      <c r="F72" s="56"/>
      <c r="G72" s="224"/>
      <c r="H72" s="139"/>
      <c r="I72" s="200"/>
      <c r="J72" s="205"/>
      <c r="K72" s="201"/>
      <c r="L72" s="201"/>
      <c r="M72" s="201"/>
      <c r="N72" s="34"/>
      <c r="O72" s="41"/>
      <c r="P72" s="140"/>
      <c r="Q72" s="35"/>
      <c r="R72" s="140"/>
      <c r="S72" s="179"/>
      <c r="T72" s="32"/>
      <c r="U72" s="262"/>
      <c r="AA72" s="198"/>
    </row>
    <row r="73" spans="1:27" x14ac:dyDescent="0.2">
      <c r="A73" s="26"/>
      <c r="B73" s="139"/>
      <c r="C73" s="63" t="s">
        <v>93</v>
      </c>
      <c r="D73" s="139"/>
      <c r="E73" s="20" t="str">
        <f>[1]KU!$I$25</f>
        <v>75.5 - S0</v>
      </c>
      <c r="F73" s="20" t="s">
        <v>64</v>
      </c>
      <c r="G73" s="222">
        <f>'SKM Prod NS Weighting'!Q$13</f>
        <v>-1.95E-2</v>
      </c>
      <c r="H73" s="139"/>
      <c r="I73" s="200">
        <v>83994732.760000005</v>
      </c>
      <c r="J73" s="200"/>
      <c r="K73" s="200">
        <v>12471959</v>
      </c>
      <c r="L73" s="200"/>
      <c r="M73" s="237">
        <f t="shared" ref="M73:M84" si="13">+((1-G73)*I73)-K73</f>
        <v>73160671.048820019</v>
      </c>
      <c r="N73" s="45"/>
      <c r="O73" s="227">
        <f>'[2]314 PL'!$E$87</f>
        <v>27.789193367154329</v>
      </c>
      <c r="P73" s="140"/>
      <c r="Q73" s="196">
        <f t="shared" ref="Q73:Q84" si="14">+M73/O73</f>
        <v>2632702.2192480364</v>
      </c>
      <c r="R73" s="136"/>
      <c r="S73" s="197">
        <f t="shared" ref="S73:S84" si="15">+Q73/I73</f>
        <v>3.1343658497855031E-2</v>
      </c>
      <c r="T73" s="32"/>
      <c r="U73" s="262">
        <v>2.19</v>
      </c>
      <c r="W73" s="145">
        <v>1836110</v>
      </c>
      <c r="Y73" s="157">
        <f t="shared" ref="Y73:Y84" si="16">Q73-W73</f>
        <v>796592.21924803639</v>
      </c>
      <c r="AA73" s="198"/>
    </row>
    <row r="74" spans="1:27" x14ac:dyDescent="0.2">
      <c r="A74" s="26"/>
      <c r="B74" s="139"/>
      <c r="C74" s="59" t="s">
        <v>96</v>
      </c>
      <c r="D74" s="139"/>
      <c r="E74" s="20" t="str">
        <f>[1]KU!$I$25</f>
        <v>75.5 - S0</v>
      </c>
      <c r="F74" s="20" t="s">
        <v>64</v>
      </c>
      <c r="G74" s="222">
        <f>'SKM Prod NS Weighting'!Q$13</f>
        <v>-1.95E-2</v>
      </c>
      <c r="H74" s="139"/>
      <c r="I74" s="200">
        <v>4805513.66</v>
      </c>
      <c r="J74" s="200"/>
      <c r="K74" s="200">
        <v>3825756</v>
      </c>
      <c r="L74" s="200"/>
      <c r="M74" s="237">
        <f t="shared" si="13"/>
        <v>1073465.1763700005</v>
      </c>
      <c r="N74" s="45"/>
      <c r="O74" s="227">
        <f>'[2]314 PL'!$E$87</f>
        <v>27.789193367154329</v>
      </c>
      <c r="P74" s="140"/>
      <c r="Q74" s="196">
        <f t="shared" si="14"/>
        <v>38628.871381304351</v>
      </c>
      <c r="R74" s="136"/>
      <c r="S74" s="197">
        <f t="shared" si="15"/>
        <v>8.0384479400906223E-3</v>
      </c>
      <c r="T74" s="32"/>
      <c r="U74" s="262">
        <v>7.71</v>
      </c>
      <c r="W74" s="145">
        <v>370738</v>
      </c>
      <c r="Y74" s="157">
        <f t="shared" si="16"/>
        <v>-332109.12861869566</v>
      </c>
      <c r="AA74" s="198"/>
    </row>
    <row r="75" spans="1:27" x14ac:dyDescent="0.2">
      <c r="A75" s="26"/>
      <c r="B75" s="139"/>
      <c r="C75" s="59" t="s">
        <v>97</v>
      </c>
      <c r="D75" s="139"/>
      <c r="E75" s="20" t="str">
        <f>[1]KU!$I$25</f>
        <v>75.5 - S0</v>
      </c>
      <c r="F75" s="20" t="s">
        <v>64</v>
      </c>
      <c r="G75" s="222">
        <f>'SKM Prod NS Weighting'!Q$13</f>
        <v>-1.95E-2</v>
      </c>
      <c r="H75" s="139"/>
      <c r="I75" s="200">
        <v>68205.72</v>
      </c>
      <c r="J75" s="200"/>
      <c r="K75" s="200">
        <v>75026</v>
      </c>
      <c r="L75" s="200"/>
      <c r="M75" s="237">
        <f t="shared" si="13"/>
        <v>-5490.268459999992</v>
      </c>
      <c r="N75" s="45"/>
      <c r="O75" s="227">
        <f>'[2]314 PL'!$E$87</f>
        <v>27.789193367154329</v>
      </c>
      <c r="P75" s="140"/>
      <c r="Q75" s="196">
        <f t="shared" si="14"/>
        <v>-197.5684715803684</v>
      </c>
      <c r="R75" s="136"/>
      <c r="S75" s="197">
        <f t="shared" si="15"/>
        <v>-2.8966554649722692E-3</v>
      </c>
      <c r="T75" s="32"/>
      <c r="U75" s="262" t="s">
        <v>297</v>
      </c>
      <c r="W75" s="145">
        <v>0</v>
      </c>
      <c r="Y75" s="157">
        <f t="shared" si="16"/>
        <v>-197.5684715803684</v>
      </c>
      <c r="AA75" s="198"/>
    </row>
    <row r="76" spans="1:27" x14ac:dyDescent="0.2">
      <c r="A76" s="26"/>
      <c r="B76" s="139"/>
      <c r="C76" s="63" t="s">
        <v>98</v>
      </c>
      <c r="D76" s="139"/>
      <c r="E76" s="20" t="str">
        <f>[1]KU!$I$25</f>
        <v>75.5 - S0</v>
      </c>
      <c r="F76" s="20" t="s">
        <v>64</v>
      </c>
      <c r="G76" s="222">
        <f>'SKM Prod NS Weighting'!Q$13</f>
        <v>-1.95E-2</v>
      </c>
      <c r="H76" s="139"/>
      <c r="I76" s="200">
        <v>4562193.51</v>
      </c>
      <c r="J76" s="200"/>
      <c r="K76" s="200">
        <v>4064201</v>
      </c>
      <c r="L76" s="200"/>
      <c r="M76" s="237">
        <f t="shared" si="13"/>
        <v>586955.28344499972</v>
      </c>
      <c r="N76" s="45"/>
      <c r="O76" s="227">
        <f>'[2]314 PL'!$E$87</f>
        <v>27.789193367154329</v>
      </c>
      <c r="P76" s="140"/>
      <c r="Q76" s="196">
        <f t="shared" si="14"/>
        <v>21121.710000361381</v>
      </c>
      <c r="R76" s="136"/>
      <c r="S76" s="197">
        <f t="shared" si="15"/>
        <v>4.629726896516799E-3</v>
      </c>
      <c r="T76" s="32"/>
      <c r="U76" s="262">
        <v>5.29</v>
      </c>
      <c r="W76" s="145">
        <v>241317</v>
      </c>
      <c r="Y76" s="157">
        <f t="shared" si="16"/>
        <v>-220195.28999963863</v>
      </c>
      <c r="AA76" s="198"/>
    </row>
    <row r="77" spans="1:27" x14ac:dyDescent="0.2">
      <c r="A77" s="26"/>
      <c r="B77" s="139"/>
      <c r="C77" s="63" t="s">
        <v>99</v>
      </c>
      <c r="D77" s="139"/>
      <c r="E77" s="20" t="str">
        <f>[1]KU!$I$25</f>
        <v>75.5 - S0</v>
      </c>
      <c r="F77" s="20" t="s">
        <v>64</v>
      </c>
      <c r="G77" s="222">
        <f>'SKM Prod NS Weighting'!Q$13</f>
        <v>-1.95E-2</v>
      </c>
      <c r="H77" s="139"/>
      <c r="I77" s="200">
        <v>10390485.9</v>
      </c>
      <c r="J77" s="200"/>
      <c r="K77" s="200">
        <v>9545563</v>
      </c>
      <c r="L77" s="200"/>
      <c r="M77" s="237">
        <f t="shared" si="13"/>
        <v>1047537.3750500008</v>
      </c>
      <c r="N77" s="45"/>
      <c r="O77" s="227">
        <f>'[2]314 PL'!$E$87</f>
        <v>27.789193367154329</v>
      </c>
      <c r="P77" s="140"/>
      <c r="Q77" s="196">
        <f t="shared" si="14"/>
        <v>37695.853967756637</v>
      </c>
      <c r="R77" s="136"/>
      <c r="S77" s="197">
        <f t="shared" si="15"/>
        <v>3.6279202272683549E-3</v>
      </c>
      <c r="T77" s="32"/>
      <c r="U77" s="262">
        <v>4.55</v>
      </c>
      <c r="W77" s="145">
        <v>472404</v>
      </c>
      <c r="Y77" s="157">
        <f t="shared" si="16"/>
        <v>-434708.14603224338</v>
      </c>
      <c r="AA77" s="198"/>
    </row>
    <row r="78" spans="1:27" x14ac:dyDescent="0.2">
      <c r="A78" s="26"/>
      <c r="B78" s="139"/>
      <c r="C78" s="63" t="s">
        <v>101</v>
      </c>
      <c r="D78" s="139"/>
      <c r="E78" s="20" t="str">
        <f>[1]KU!$I$25</f>
        <v>75.5 - S0</v>
      </c>
      <c r="F78" s="20" t="s">
        <v>64</v>
      </c>
      <c r="G78" s="222">
        <f>'SKM Prod NS Weighting'!Q$13</f>
        <v>-1.95E-2</v>
      </c>
      <c r="H78" s="139"/>
      <c r="I78" s="200">
        <v>7512824.9500000002</v>
      </c>
      <c r="J78" s="200"/>
      <c r="K78" s="200">
        <v>4893897</v>
      </c>
      <c r="L78" s="200"/>
      <c r="M78" s="237">
        <f t="shared" si="13"/>
        <v>2765428.0365250008</v>
      </c>
      <c r="N78" s="45"/>
      <c r="O78" s="227">
        <f>'[2]314 PL'!$E$87</f>
        <v>27.789193367154329</v>
      </c>
      <c r="P78" s="140"/>
      <c r="Q78" s="196">
        <f t="shared" si="14"/>
        <v>99514.512709592425</v>
      </c>
      <c r="R78" s="136"/>
      <c r="S78" s="197">
        <f t="shared" si="15"/>
        <v>1.3245951206355796E-2</v>
      </c>
      <c r="T78" s="32"/>
      <c r="U78" s="262">
        <v>2.87</v>
      </c>
      <c r="W78" s="145">
        <v>215514</v>
      </c>
      <c r="Y78" s="157">
        <f t="shared" si="16"/>
        <v>-115999.48729040757</v>
      </c>
      <c r="AA78" s="198"/>
    </row>
    <row r="79" spans="1:27" x14ac:dyDescent="0.2">
      <c r="A79" s="26"/>
      <c r="B79" s="139"/>
      <c r="C79" s="63" t="s">
        <v>102</v>
      </c>
      <c r="D79" s="139"/>
      <c r="E79" s="20" t="str">
        <f>[1]KU!$I$25</f>
        <v>75.5 - S0</v>
      </c>
      <c r="F79" s="20" t="s">
        <v>64</v>
      </c>
      <c r="G79" s="222">
        <f>'SKM Prod NS Weighting'!Q$13</f>
        <v>-1.95E-2</v>
      </c>
      <c r="H79" s="139"/>
      <c r="I79" s="200">
        <v>12299721.869999999</v>
      </c>
      <c r="J79" s="200"/>
      <c r="K79" s="200">
        <v>8687176</v>
      </c>
      <c r="L79" s="200"/>
      <c r="M79" s="237">
        <f t="shared" si="13"/>
        <v>3852390.4464650005</v>
      </c>
      <c r="N79" s="45"/>
      <c r="O79" s="227">
        <f>'[2]314 PL'!$E$87</f>
        <v>27.789193367154329</v>
      </c>
      <c r="P79" s="140"/>
      <c r="Q79" s="196">
        <f t="shared" si="14"/>
        <v>138629.08489522283</v>
      </c>
      <c r="R79" s="136"/>
      <c r="S79" s="197">
        <f t="shared" si="15"/>
        <v>1.1270912168619862E-2</v>
      </c>
      <c r="T79" s="32"/>
      <c r="U79" s="262">
        <v>1.86</v>
      </c>
      <c r="W79" s="145">
        <v>228841</v>
      </c>
      <c r="Y79" s="157">
        <f t="shared" si="16"/>
        <v>-90211.915104777174</v>
      </c>
      <c r="AA79" s="198"/>
    </row>
    <row r="80" spans="1:27" x14ac:dyDescent="0.2">
      <c r="A80" s="26"/>
      <c r="B80" s="139"/>
      <c r="C80" s="63" t="s">
        <v>103</v>
      </c>
      <c r="D80" s="139"/>
      <c r="E80" s="20" t="str">
        <f>[1]KU!$I$25</f>
        <v>75.5 - S0</v>
      </c>
      <c r="F80" s="20" t="s">
        <v>64</v>
      </c>
      <c r="G80" s="222">
        <f>'SKM Prod NS Weighting'!Q$13</f>
        <v>-1.95E-2</v>
      </c>
      <c r="H80" s="139"/>
      <c r="I80" s="200">
        <v>29293398.16</v>
      </c>
      <c r="J80" s="200"/>
      <c r="K80" s="200">
        <v>20414202</v>
      </c>
      <c r="L80" s="200"/>
      <c r="M80" s="237">
        <f t="shared" si="13"/>
        <v>9450417.4241200015</v>
      </c>
      <c r="N80" s="45"/>
      <c r="O80" s="227">
        <f>'[2]314 PL'!$E$87</f>
        <v>27.789193367154329</v>
      </c>
      <c r="P80" s="140"/>
      <c r="Q80" s="196">
        <f t="shared" si="14"/>
        <v>340075.26952149684</v>
      </c>
      <c r="R80" s="136"/>
      <c r="S80" s="197">
        <f t="shared" si="15"/>
        <v>1.1609280277556465E-2</v>
      </c>
      <c r="T80" s="32"/>
      <c r="U80" s="262">
        <v>1.86</v>
      </c>
      <c r="W80" s="145">
        <v>543748</v>
      </c>
      <c r="Y80" s="157">
        <f t="shared" si="16"/>
        <v>-203672.73047850316</v>
      </c>
      <c r="AA80" s="198"/>
    </row>
    <row r="81" spans="1:27" x14ac:dyDescent="0.2">
      <c r="A81" s="26"/>
      <c r="B81" s="139"/>
      <c r="C81" s="63" t="s">
        <v>106</v>
      </c>
      <c r="D81" s="139"/>
      <c r="E81" s="20" t="str">
        <f>[1]KU!$I$25</f>
        <v>75.5 - S0</v>
      </c>
      <c r="F81" s="20" t="s">
        <v>64</v>
      </c>
      <c r="G81" s="222">
        <f>'SKM Prod NS Weighting'!Q$13</f>
        <v>-1.95E-2</v>
      </c>
      <c r="H81" s="139"/>
      <c r="I81" s="200">
        <v>36687321.399999999</v>
      </c>
      <c r="J81" s="200"/>
      <c r="K81" s="200">
        <v>20194109</v>
      </c>
      <c r="L81" s="200"/>
      <c r="M81" s="237">
        <f t="shared" si="13"/>
        <v>17208615.167300001</v>
      </c>
      <c r="N81" s="45"/>
      <c r="O81" s="227">
        <f>'[2]314 PL'!$E$87</f>
        <v>27.789193367154329</v>
      </c>
      <c r="P81" s="140"/>
      <c r="Q81" s="196">
        <f t="shared" si="14"/>
        <v>619255.65596444649</v>
      </c>
      <c r="R81" s="136"/>
      <c r="S81" s="197">
        <f t="shared" si="15"/>
        <v>1.6879282333336184E-2</v>
      </c>
      <c r="T81" s="32"/>
      <c r="U81" s="262">
        <v>2.67</v>
      </c>
      <c r="W81" s="145">
        <v>978789</v>
      </c>
      <c r="Y81" s="157">
        <f t="shared" si="16"/>
        <v>-359533.34403555351</v>
      </c>
      <c r="AA81" s="198"/>
    </row>
    <row r="82" spans="1:27" x14ac:dyDescent="0.2">
      <c r="A82" s="26"/>
      <c r="B82" s="67"/>
      <c r="C82" s="63" t="s">
        <v>107</v>
      </c>
      <c r="D82" s="32"/>
      <c r="E82" s="20" t="str">
        <f>[1]KU!$I$25</f>
        <v>75.5 - S0</v>
      </c>
      <c r="F82" s="20" t="s">
        <v>64</v>
      </c>
      <c r="G82" s="222">
        <f>'SKM Prod NS Weighting'!Q$13</f>
        <v>-1.95E-2</v>
      </c>
      <c r="H82" s="32"/>
      <c r="I82" s="200">
        <v>30417591.789999999</v>
      </c>
      <c r="J82" s="200"/>
      <c r="K82" s="200">
        <v>20815737</v>
      </c>
      <c r="L82" s="200"/>
      <c r="M82" s="237">
        <f t="shared" si="13"/>
        <v>10194997.829905</v>
      </c>
      <c r="N82" s="45"/>
      <c r="O82" s="227">
        <f>'[2]314 PL'!$E$87</f>
        <v>27.789193367154329</v>
      </c>
      <c r="P82" s="42"/>
      <c r="Q82" s="196">
        <f t="shared" si="14"/>
        <v>366869.15288282756</v>
      </c>
      <c r="R82" s="136"/>
      <c r="S82" s="197">
        <f t="shared" si="15"/>
        <v>1.2061084763568904E-2</v>
      </c>
      <c r="T82" s="32"/>
      <c r="U82" s="262">
        <v>2.2400000000000002</v>
      </c>
      <c r="W82" s="145">
        <v>682670</v>
      </c>
      <c r="Y82" s="157">
        <f t="shared" si="16"/>
        <v>-315800.84711717244</v>
      </c>
      <c r="AA82" s="198"/>
    </row>
    <row r="83" spans="1:27" x14ac:dyDescent="0.2">
      <c r="A83" s="26"/>
      <c r="B83" s="139"/>
      <c r="C83" s="63" t="s">
        <v>108</v>
      </c>
      <c r="D83" s="139"/>
      <c r="E83" s="20" t="str">
        <f>[1]KU!$I$25</f>
        <v>75.5 - S0</v>
      </c>
      <c r="F83" s="20" t="s">
        <v>64</v>
      </c>
      <c r="G83" s="222">
        <f>'SKM Prod NS Weighting'!Q$13</f>
        <v>-1.95E-2</v>
      </c>
      <c r="H83" s="139"/>
      <c r="I83" s="200">
        <v>42595556.799999997</v>
      </c>
      <c r="J83" s="200"/>
      <c r="K83" s="200">
        <v>28152257</v>
      </c>
      <c r="L83" s="200"/>
      <c r="M83" s="237">
        <f t="shared" si="13"/>
        <v>15273913.157600001</v>
      </c>
      <c r="N83" s="45"/>
      <c r="O83" s="227">
        <f>'[2]314 PL'!$E$87</f>
        <v>27.789193367154329</v>
      </c>
      <c r="P83" s="140"/>
      <c r="Q83" s="196">
        <f t="shared" si="14"/>
        <v>549634.99500684068</v>
      </c>
      <c r="R83" s="136"/>
      <c r="S83" s="197">
        <f t="shared" si="15"/>
        <v>1.2903575778749786E-2</v>
      </c>
      <c r="T83" s="32"/>
      <c r="U83" s="262">
        <v>2.08</v>
      </c>
      <c r="W83" s="145">
        <v>887493</v>
      </c>
      <c r="Y83" s="157">
        <f t="shared" si="16"/>
        <v>-337858.00499315932</v>
      </c>
      <c r="AA83" s="198"/>
    </row>
    <row r="84" spans="1:27" x14ac:dyDescent="0.2">
      <c r="A84" s="26"/>
      <c r="B84" s="139"/>
      <c r="C84" s="63" t="s">
        <v>109</v>
      </c>
      <c r="D84" s="139"/>
      <c r="E84" s="20" t="str">
        <f>[1]KU!$I$25</f>
        <v>75.5 - S0</v>
      </c>
      <c r="F84" s="20" t="s">
        <v>64</v>
      </c>
      <c r="G84" s="222">
        <f>'SKM Prod NS Weighting'!Q$13</f>
        <v>-1.95E-2</v>
      </c>
      <c r="H84" s="139"/>
      <c r="I84" s="202">
        <v>57036973.140000001</v>
      </c>
      <c r="J84" s="200"/>
      <c r="K84" s="200">
        <v>32047642</v>
      </c>
      <c r="L84" s="200"/>
      <c r="M84" s="237">
        <f t="shared" si="13"/>
        <v>26101552.116230004</v>
      </c>
      <c r="N84" s="45"/>
      <c r="O84" s="227">
        <f>'[2]314 PL'!$E$87</f>
        <v>27.789193367154329</v>
      </c>
      <c r="P84" s="140"/>
      <c r="Q84" s="196">
        <f t="shared" si="14"/>
        <v>939269.87269378442</v>
      </c>
      <c r="R84" s="136"/>
      <c r="S84" s="197">
        <f t="shared" si="15"/>
        <v>1.6467736995585323E-2</v>
      </c>
      <c r="T84" s="32"/>
      <c r="U84" s="262">
        <v>2.4300000000000002</v>
      </c>
      <c r="W84" s="145">
        <v>1388323</v>
      </c>
      <c r="Y84" s="157">
        <f t="shared" si="16"/>
        <v>-449053.12730621558</v>
      </c>
      <c r="AA84" s="198"/>
    </row>
    <row r="85" spans="1:27" x14ac:dyDescent="0.2">
      <c r="A85" s="26"/>
      <c r="B85" s="139"/>
      <c r="C85" s="139"/>
      <c r="D85" s="139"/>
      <c r="E85" s="20"/>
      <c r="F85" s="20"/>
      <c r="G85" s="222"/>
      <c r="H85" s="139"/>
      <c r="I85" s="200"/>
      <c r="J85" s="205"/>
      <c r="K85" s="206"/>
      <c r="L85" s="201"/>
      <c r="M85" s="206"/>
      <c r="N85" s="34"/>
      <c r="O85" s="41"/>
      <c r="P85" s="140"/>
      <c r="Q85" s="35"/>
      <c r="R85" s="140"/>
      <c r="S85" s="179"/>
      <c r="T85" s="32"/>
      <c r="U85" s="262"/>
      <c r="AA85" s="198"/>
    </row>
    <row r="86" spans="1:27" x14ac:dyDescent="0.2">
      <c r="A86" s="26"/>
      <c r="B86" s="139"/>
      <c r="C86" s="65" t="s">
        <v>30</v>
      </c>
      <c r="D86" s="139"/>
      <c r="E86" s="20"/>
      <c r="F86" s="20"/>
      <c r="G86" s="222"/>
      <c r="H86" s="139"/>
      <c r="I86" s="200">
        <f>SUM(I73:I84)</f>
        <v>319664519.66000003</v>
      </c>
      <c r="J86" s="205"/>
      <c r="K86" s="200">
        <f>SUM(K73:K84)</f>
        <v>165187525</v>
      </c>
      <c r="L86" s="201"/>
      <c r="M86" s="200">
        <f>SUM(M73:M84)</f>
        <v>160710452.79337004</v>
      </c>
      <c r="N86" s="34"/>
      <c r="O86" s="41"/>
      <c r="P86" s="140"/>
      <c r="Q86" s="200">
        <f>SUM(Q73:Q84)</f>
        <v>5783199.6298000896</v>
      </c>
      <c r="R86" s="136"/>
      <c r="S86" s="197">
        <f t="shared" ref="S86" si="17">+Q86/I86</f>
        <v>1.8091465502493638E-2</v>
      </c>
      <c r="T86" s="32"/>
      <c r="U86" s="262">
        <v>2.4500000000000002</v>
      </c>
      <c r="W86" s="200">
        <v>7845947</v>
      </c>
      <c r="Y86" s="200">
        <f>SUM(Y73:Y84)</f>
        <v>-2062747.3701999104</v>
      </c>
      <c r="AA86" s="198"/>
    </row>
    <row r="87" spans="1:27" x14ac:dyDescent="0.2">
      <c r="A87" s="26"/>
      <c r="B87" s="139"/>
      <c r="C87" s="139"/>
      <c r="D87" s="139"/>
      <c r="E87" s="20"/>
      <c r="F87" s="20"/>
      <c r="G87" s="222"/>
      <c r="H87" s="139"/>
      <c r="I87" s="200"/>
      <c r="J87" s="205"/>
      <c r="K87" s="201"/>
      <c r="L87" s="201"/>
      <c r="M87" s="201"/>
      <c r="N87" s="34"/>
      <c r="O87" s="41"/>
      <c r="P87" s="140"/>
      <c r="Q87" s="35"/>
      <c r="R87" s="140"/>
      <c r="S87" s="179"/>
      <c r="T87" s="32"/>
      <c r="U87" s="262"/>
      <c r="AA87" s="198"/>
    </row>
    <row r="88" spans="1:27" x14ac:dyDescent="0.2">
      <c r="A88" s="26">
        <v>315</v>
      </c>
      <c r="B88" s="139"/>
      <c r="C88" s="139" t="s">
        <v>31</v>
      </c>
      <c r="D88" s="139"/>
      <c r="E88" s="56"/>
      <c r="F88" s="56"/>
      <c r="G88" s="224"/>
      <c r="H88" s="139"/>
      <c r="I88" s="200"/>
      <c r="J88" s="205"/>
      <c r="K88" s="201"/>
      <c r="L88" s="201"/>
      <c r="M88" s="201"/>
      <c r="N88" s="34"/>
      <c r="O88" s="41"/>
      <c r="P88" s="140"/>
      <c r="Q88" s="35"/>
      <c r="R88" s="140"/>
      <c r="S88" s="179"/>
      <c r="T88" s="32"/>
      <c r="U88" s="262"/>
      <c r="AA88" s="198"/>
    </row>
    <row r="89" spans="1:27" x14ac:dyDescent="0.2">
      <c r="A89" s="26"/>
      <c r="B89" s="139"/>
      <c r="C89" s="59" t="s">
        <v>93</v>
      </c>
      <c r="D89" s="139"/>
      <c r="E89" s="56" t="str">
        <f>[1]KU!$I$26</f>
        <v>98.3 - L2</v>
      </c>
      <c r="F89" s="56" t="s">
        <v>64</v>
      </c>
      <c r="G89" s="222">
        <f>'SKM Prod NS Weighting'!Q$14</f>
        <v>-5.1999999999999998E-3</v>
      </c>
      <c r="H89" s="139"/>
      <c r="I89" s="200">
        <v>41600356.799999997</v>
      </c>
      <c r="J89" s="205"/>
      <c r="K89" s="201">
        <v>4958709</v>
      </c>
      <c r="L89" s="201"/>
      <c r="M89" s="237">
        <f t="shared" ref="M89:M106" si="18">+((1-G89)*I89)-K89</f>
        <v>36857969.655359998</v>
      </c>
      <c r="N89" s="34"/>
      <c r="O89" s="227">
        <f>'[2]315 PL'!$E$88</f>
        <v>28.871712774138441</v>
      </c>
      <c r="P89" s="140"/>
      <c r="Q89" s="196">
        <f t="shared" ref="Q89:Q106" si="19">+M89/O89</f>
        <v>1276611.8152981617</v>
      </c>
      <c r="R89" s="136"/>
      <c r="S89" s="197">
        <f t="shared" ref="S89:S106" si="20">+Q89/I89</f>
        <v>3.0687520817084958E-2</v>
      </c>
      <c r="T89" s="32"/>
      <c r="U89" s="262">
        <v>2.0099999999999998</v>
      </c>
      <c r="W89" s="145">
        <v>836186</v>
      </c>
      <c r="Y89" s="157">
        <f t="shared" ref="Y89:Y106" si="21">Q89-W89</f>
        <v>440425.8152981617</v>
      </c>
      <c r="AA89" s="198"/>
    </row>
    <row r="90" spans="1:27" x14ac:dyDescent="0.2">
      <c r="A90" s="26"/>
      <c r="B90" s="139"/>
      <c r="C90" s="59" t="s">
        <v>94</v>
      </c>
      <c r="D90" s="139"/>
      <c r="E90" s="56" t="str">
        <f>[1]KU!$I$26</f>
        <v>98.3 - L2</v>
      </c>
      <c r="F90" s="56" t="s">
        <v>64</v>
      </c>
      <c r="G90" s="222">
        <f>'SKM Prod NS Weighting'!Q$14</f>
        <v>-5.1999999999999998E-3</v>
      </c>
      <c r="H90" s="139"/>
      <c r="I90" s="200">
        <v>1415469.1</v>
      </c>
      <c r="J90" s="205"/>
      <c r="K90" s="201">
        <v>653351</v>
      </c>
      <c r="L90" s="201"/>
      <c r="M90" s="237">
        <f t="shared" si="18"/>
        <v>769478.53932000021</v>
      </c>
      <c r="N90" s="34"/>
      <c r="O90" s="227">
        <f>'[2]315 PL'!$E$88</f>
        <v>28.871712774138441</v>
      </c>
      <c r="P90" s="140"/>
      <c r="Q90" s="196">
        <f t="shared" si="19"/>
        <v>26651.641533690137</v>
      </c>
      <c r="R90" s="136"/>
      <c r="S90" s="197">
        <f t="shared" si="20"/>
        <v>1.8828840229497157E-2</v>
      </c>
      <c r="T90" s="32"/>
      <c r="U90" s="262">
        <v>1.56</v>
      </c>
      <c r="W90" s="145">
        <v>22036</v>
      </c>
      <c r="Y90" s="157">
        <f t="shared" si="21"/>
        <v>4615.6415336901373</v>
      </c>
      <c r="AA90" s="198"/>
    </row>
    <row r="91" spans="1:27" x14ac:dyDescent="0.2">
      <c r="A91" s="26"/>
      <c r="B91" s="139"/>
      <c r="C91" s="59" t="s">
        <v>96</v>
      </c>
      <c r="D91" s="139"/>
      <c r="E91" s="56" t="str">
        <f>[1]KU!$I$26</f>
        <v>98.3 - L2</v>
      </c>
      <c r="F91" s="56" t="s">
        <v>64</v>
      </c>
      <c r="G91" s="222">
        <f>'SKM Prod NS Weighting'!Q$14</f>
        <v>-5.1999999999999998E-3</v>
      </c>
      <c r="H91" s="139"/>
      <c r="I91" s="200">
        <v>2081692.71</v>
      </c>
      <c r="J91" s="205"/>
      <c r="K91" s="201">
        <v>1087407</v>
      </c>
      <c r="L91" s="201"/>
      <c r="M91" s="237">
        <f t="shared" si="18"/>
        <v>1005110.5120920001</v>
      </c>
      <c r="N91" s="34"/>
      <c r="O91" s="227">
        <f>'[2]315 PL'!$E$88</f>
        <v>28.871712774138441</v>
      </c>
      <c r="P91" s="140"/>
      <c r="Q91" s="196">
        <f t="shared" si="19"/>
        <v>34812.985289612545</v>
      </c>
      <c r="R91" s="136"/>
      <c r="S91" s="197">
        <f t="shared" si="20"/>
        <v>1.6723402605186885E-2</v>
      </c>
      <c r="T91" s="32"/>
      <c r="U91" s="262">
        <v>14.65</v>
      </c>
      <c r="W91" s="145">
        <v>305060</v>
      </c>
      <c r="Y91" s="157">
        <f t="shared" si="21"/>
        <v>-270247.01471038745</v>
      </c>
      <c r="AA91" s="198"/>
    </row>
    <row r="92" spans="1:27" x14ac:dyDescent="0.2">
      <c r="A92" s="26"/>
      <c r="B92" s="139"/>
      <c r="C92" s="59" t="s">
        <v>97</v>
      </c>
      <c r="D92" s="139"/>
      <c r="E92" s="56" t="str">
        <f>[1]KU!$I$26</f>
        <v>98.3 - L2</v>
      </c>
      <c r="F92" s="56" t="s">
        <v>64</v>
      </c>
      <c r="G92" s="222">
        <f>'SKM Prod NS Weighting'!Q$14</f>
        <v>-5.1999999999999998E-3</v>
      </c>
      <c r="H92" s="139"/>
      <c r="I92" s="200">
        <v>99210.72</v>
      </c>
      <c r="J92" s="205"/>
      <c r="K92" s="201">
        <v>109132</v>
      </c>
      <c r="L92" s="201"/>
      <c r="M92" s="237">
        <f t="shared" si="18"/>
        <v>-9405.3842559999903</v>
      </c>
      <c r="N92" s="34"/>
      <c r="O92" s="227">
        <f>'[2]315 PL'!$E$88</f>
        <v>28.871712774138441</v>
      </c>
      <c r="P92" s="140"/>
      <c r="Q92" s="196">
        <f t="shared" si="19"/>
        <v>-325.76467941398937</v>
      </c>
      <c r="R92" s="136"/>
      <c r="S92" s="197">
        <f t="shared" si="20"/>
        <v>-3.2835633025744531E-3</v>
      </c>
      <c r="T92" s="32"/>
      <c r="U92" s="262" t="s">
        <v>297</v>
      </c>
      <c r="W92" s="145">
        <v>0</v>
      </c>
      <c r="Y92" s="157">
        <f t="shared" si="21"/>
        <v>-325.76467941398937</v>
      </c>
      <c r="AA92" s="198"/>
    </row>
    <row r="93" spans="1:27" x14ac:dyDescent="0.2">
      <c r="A93" s="26"/>
      <c r="B93" s="139"/>
      <c r="C93" s="63" t="s">
        <v>98</v>
      </c>
      <c r="D93" s="139"/>
      <c r="E93" s="56" t="str">
        <f>[1]KU!$I$26</f>
        <v>98.3 - L2</v>
      </c>
      <c r="F93" s="56" t="s">
        <v>64</v>
      </c>
      <c r="G93" s="222">
        <f>'SKM Prod NS Weighting'!Q$14</f>
        <v>-5.1999999999999998E-3</v>
      </c>
      <c r="H93" s="139"/>
      <c r="I93" s="200">
        <v>1205362.18</v>
      </c>
      <c r="J93" s="205"/>
      <c r="K93" s="201">
        <v>554397</v>
      </c>
      <c r="L93" s="201"/>
      <c r="M93" s="237">
        <f t="shared" si="18"/>
        <v>657233.06333600008</v>
      </c>
      <c r="N93" s="34"/>
      <c r="O93" s="227">
        <f>'[2]315 PL'!$E$88</f>
        <v>28.871712774138441</v>
      </c>
      <c r="P93" s="140"/>
      <c r="Q93" s="196">
        <f t="shared" si="19"/>
        <v>22763.909729827676</v>
      </c>
      <c r="R93" s="136"/>
      <c r="S93" s="197">
        <f t="shared" si="20"/>
        <v>1.8885535076127637E-2</v>
      </c>
      <c r="T93" s="32"/>
      <c r="U93" s="262">
        <v>16.16</v>
      </c>
      <c r="W93" s="145">
        <v>194829</v>
      </c>
      <c r="Y93" s="157">
        <f t="shared" si="21"/>
        <v>-172065.09027017234</v>
      </c>
      <c r="AA93" s="198"/>
    </row>
    <row r="94" spans="1:27" x14ac:dyDescent="0.2">
      <c r="A94" s="26"/>
      <c r="B94" s="139"/>
      <c r="C94" s="63" t="s">
        <v>99</v>
      </c>
      <c r="D94" s="139"/>
      <c r="E94" s="56" t="str">
        <f>[1]KU!$I$26</f>
        <v>98.3 - L2</v>
      </c>
      <c r="F94" s="20" t="s">
        <v>64</v>
      </c>
      <c r="G94" s="222">
        <f>'SKM Prod NS Weighting'!Q$14</f>
        <v>-5.1999999999999998E-3</v>
      </c>
      <c r="H94" s="139"/>
      <c r="I94" s="200">
        <v>2695328.66</v>
      </c>
      <c r="J94" s="200"/>
      <c r="K94" s="200">
        <v>1846556</v>
      </c>
      <c r="L94" s="200"/>
      <c r="M94" s="237">
        <f t="shared" si="18"/>
        <v>862788.36903200019</v>
      </c>
      <c r="N94" s="45"/>
      <c r="O94" s="227">
        <f>'[2]315 PL'!$E$88</f>
        <v>28.871712774138441</v>
      </c>
      <c r="P94" s="140"/>
      <c r="Q94" s="196">
        <f t="shared" si="19"/>
        <v>29883.518715413189</v>
      </c>
      <c r="R94" s="136"/>
      <c r="S94" s="197">
        <f t="shared" si="20"/>
        <v>1.1087152063827788E-2</v>
      </c>
      <c r="T94" s="32"/>
      <c r="U94" s="262">
        <v>10.53</v>
      </c>
      <c r="W94" s="145">
        <v>283879</v>
      </c>
      <c r="Y94" s="157">
        <f t="shared" si="21"/>
        <v>-253995.4812845868</v>
      </c>
      <c r="AA94" s="198"/>
    </row>
    <row r="95" spans="1:27" x14ac:dyDescent="0.2">
      <c r="A95" s="26"/>
      <c r="B95" s="139"/>
      <c r="C95" s="63" t="s">
        <v>101</v>
      </c>
      <c r="D95" s="139"/>
      <c r="E95" s="56" t="str">
        <f>[1]KU!$I$26</f>
        <v>98.3 - L2</v>
      </c>
      <c r="F95" s="20" t="s">
        <v>64</v>
      </c>
      <c r="G95" s="222">
        <f>'SKM Prod NS Weighting'!Q$14</f>
        <v>-5.1999999999999998E-3</v>
      </c>
      <c r="H95" s="139"/>
      <c r="I95" s="200">
        <v>3859109.33</v>
      </c>
      <c r="J95" s="200"/>
      <c r="K95" s="200">
        <v>3259464</v>
      </c>
      <c r="L95" s="200"/>
      <c r="M95" s="237">
        <f t="shared" si="18"/>
        <v>619712.69851600053</v>
      </c>
      <c r="N95" s="45"/>
      <c r="O95" s="227">
        <f>'[2]315 PL'!$E$88</f>
        <v>28.871712774138441</v>
      </c>
      <c r="P95" s="140"/>
      <c r="Q95" s="196">
        <f t="shared" si="19"/>
        <v>21464.355210374018</v>
      </c>
      <c r="R95" s="136"/>
      <c r="S95" s="197">
        <f t="shared" si="20"/>
        <v>5.5619971798969523E-3</v>
      </c>
      <c r="T95" s="32"/>
      <c r="U95" s="262">
        <v>1.61</v>
      </c>
      <c r="W95" s="145">
        <v>62118</v>
      </c>
      <c r="Y95" s="157">
        <f t="shared" si="21"/>
        <v>-40653.644789625978</v>
      </c>
      <c r="AA95" s="198"/>
    </row>
    <row r="96" spans="1:27" x14ac:dyDescent="0.2">
      <c r="A96" s="26"/>
      <c r="B96" s="139"/>
      <c r="C96" s="63" t="s">
        <v>102</v>
      </c>
      <c r="D96" s="139"/>
      <c r="E96" s="56" t="str">
        <f>[1]KU!$I$26</f>
        <v>98.3 - L2</v>
      </c>
      <c r="F96" s="20" t="s">
        <v>64</v>
      </c>
      <c r="G96" s="222">
        <f>'SKM Prod NS Weighting'!Q$14</f>
        <v>-5.1999999999999998E-3</v>
      </c>
      <c r="H96" s="139"/>
      <c r="I96" s="200">
        <v>2165576.9900000002</v>
      </c>
      <c r="J96" s="200"/>
      <c r="K96" s="200">
        <v>1331430</v>
      </c>
      <c r="L96" s="200"/>
      <c r="M96" s="237">
        <f t="shared" si="18"/>
        <v>845407.99034800055</v>
      </c>
      <c r="N96" s="45"/>
      <c r="O96" s="227">
        <f>'[2]315 PL'!$E$88</f>
        <v>28.871712774138441</v>
      </c>
      <c r="P96" s="140"/>
      <c r="Q96" s="196">
        <f t="shared" si="19"/>
        <v>29281.532306779758</v>
      </c>
      <c r="R96" s="136"/>
      <c r="S96" s="197">
        <f t="shared" si="20"/>
        <v>1.3521353635540686E-2</v>
      </c>
      <c r="T96" s="32"/>
      <c r="U96" s="262">
        <v>2.2000000000000002</v>
      </c>
      <c r="W96" s="145">
        <v>47686</v>
      </c>
      <c r="Y96" s="157">
        <f t="shared" si="21"/>
        <v>-18404.467693220242</v>
      </c>
      <c r="AA96" s="198"/>
    </row>
    <row r="97" spans="1:27" x14ac:dyDescent="0.2">
      <c r="A97" s="26"/>
      <c r="B97" s="139"/>
      <c r="C97" s="63" t="s">
        <v>103</v>
      </c>
      <c r="D97" s="139"/>
      <c r="E97" s="56" t="str">
        <f>[1]KU!$I$26</f>
        <v>98.3 - L2</v>
      </c>
      <c r="F97" s="20" t="s">
        <v>64</v>
      </c>
      <c r="G97" s="222">
        <f>'SKM Prod NS Weighting'!Q$14</f>
        <v>-5.1999999999999998E-3</v>
      </c>
      <c r="H97" s="139"/>
      <c r="I97" s="200">
        <v>8597465.8800000008</v>
      </c>
      <c r="J97" s="200"/>
      <c r="K97" s="200">
        <v>6533915</v>
      </c>
      <c r="L97" s="200"/>
      <c r="M97" s="237">
        <f t="shared" si="18"/>
        <v>2108257.7025760021</v>
      </c>
      <c r="N97" s="45"/>
      <c r="O97" s="227">
        <f>'[2]315 PL'!$E$88</f>
        <v>28.871712774138441</v>
      </c>
      <c r="P97" s="140"/>
      <c r="Q97" s="196">
        <f t="shared" si="19"/>
        <v>73021.566786451745</v>
      </c>
      <c r="R97" s="136"/>
      <c r="S97" s="197">
        <f t="shared" si="20"/>
        <v>8.4933825624501046E-3</v>
      </c>
      <c r="T97" s="32"/>
      <c r="U97" s="262">
        <v>1.49</v>
      </c>
      <c r="W97" s="145">
        <v>128146</v>
      </c>
      <c r="Y97" s="157">
        <f t="shared" si="21"/>
        <v>-55124.433213548255</v>
      </c>
      <c r="AA97" s="198"/>
    </row>
    <row r="98" spans="1:27" x14ac:dyDescent="0.2">
      <c r="A98" s="26"/>
      <c r="B98" s="139"/>
      <c r="C98" s="63" t="s">
        <v>186</v>
      </c>
      <c r="D98" s="139"/>
      <c r="E98" s="56" t="str">
        <f>[1]KU!$I$26</f>
        <v>98.3 - L2</v>
      </c>
      <c r="F98" s="20" t="s">
        <v>64</v>
      </c>
      <c r="G98" s="222">
        <f>'SKM Prod NS Weighting'!Q$14</f>
        <v>-5.1999999999999998E-3</v>
      </c>
      <c r="H98" s="139"/>
      <c r="I98" s="200">
        <v>29503821.449999999</v>
      </c>
      <c r="J98" s="200"/>
      <c r="K98" s="200">
        <v>1205108</v>
      </c>
      <c r="L98" s="200"/>
      <c r="M98" s="237">
        <f t="shared" si="18"/>
        <v>28452133.321540002</v>
      </c>
      <c r="N98" s="45"/>
      <c r="O98" s="227">
        <f>'[2]315 PL'!$E$88</f>
        <v>28.871712774138441</v>
      </c>
      <c r="P98" s="140"/>
      <c r="Q98" s="196">
        <f t="shared" si="19"/>
        <v>985467.45543360093</v>
      </c>
      <c r="R98" s="136"/>
      <c r="S98" s="197">
        <f t="shared" si="20"/>
        <v>3.3401349621901298E-2</v>
      </c>
      <c r="T98" s="32"/>
      <c r="U98" s="262">
        <v>4.55</v>
      </c>
      <c r="W98" s="145">
        <v>1342875</v>
      </c>
      <c r="Y98" s="157">
        <f t="shared" si="21"/>
        <v>-357407.54456639907</v>
      </c>
      <c r="AA98" s="198"/>
    </row>
    <row r="99" spans="1:27" x14ac:dyDescent="0.2">
      <c r="A99" s="26"/>
      <c r="B99" s="139"/>
      <c r="C99" s="63" t="s">
        <v>105</v>
      </c>
      <c r="D99" s="139"/>
      <c r="E99" s="56" t="str">
        <f>[1]KU!$I$26</f>
        <v>98.3 - L2</v>
      </c>
      <c r="F99" s="20" t="s">
        <v>64</v>
      </c>
      <c r="G99" s="222">
        <f>'SKM Prod NS Weighting'!Q$14</f>
        <v>-5.1999999999999998E-3</v>
      </c>
      <c r="H99" s="139"/>
      <c r="I99" s="200">
        <v>13292784.699999999</v>
      </c>
      <c r="J99" s="200"/>
      <c r="K99" s="200">
        <v>3266572</v>
      </c>
      <c r="L99" s="200"/>
      <c r="M99" s="237">
        <f t="shared" si="18"/>
        <v>10095335.180440001</v>
      </c>
      <c r="N99" s="45"/>
      <c r="O99" s="227">
        <f>'[2]315 PL'!$E$88</f>
        <v>28.871712774138441</v>
      </c>
      <c r="P99" s="140"/>
      <c r="Q99" s="196">
        <f t="shared" si="19"/>
        <v>349661.80425162724</v>
      </c>
      <c r="R99" s="136"/>
      <c r="S99" s="197">
        <f t="shared" si="20"/>
        <v>2.6304631583450477E-2</v>
      </c>
      <c r="T99" s="32"/>
      <c r="U99" s="262">
        <v>3.89</v>
      </c>
      <c r="W99" s="145">
        <v>517122</v>
      </c>
      <c r="Y99" s="157">
        <f t="shared" si="21"/>
        <v>-167460.19574837276</v>
      </c>
      <c r="AA99" s="198"/>
    </row>
    <row r="100" spans="1:27" x14ac:dyDescent="0.2">
      <c r="A100" s="26"/>
      <c r="B100" s="139"/>
      <c r="C100" s="63" t="s">
        <v>106</v>
      </c>
      <c r="D100" s="139"/>
      <c r="E100" s="56" t="str">
        <f>[1]KU!$I$26</f>
        <v>98.3 - L2</v>
      </c>
      <c r="F100" s="20" t="s">
        <v>64</v>
      </c>
      <c r="G100" s="222">
        <f>'SKM Prod NS Weighting'!Q$14</f>
        <v>-5.1999999999999998E-3</v>
      </c>
      <c r="H100" s="139"/>
      <c r="I100" s="200">
        <v>8872543.2599999998</v>
      </c>
      <c r="J100" s="200"/>
      <c r="K100" s="200">
        <v>8274863</v>
      </c>
      <c r="L100" s="200"/>
      <c r="M100" s="237">
        <f t="shared" si="18"/>
        <v>643817.4849520009</v>
      </c>
      <c r="N100" s="45"/>
      <c r="O100" s="227">
        <f>'[2]315 PL'!$E$88</f>
        <v>28.871712774138441</v>
      </c>
      <c r="P100" s="140"/>
      <c r="Q100" s="196">
        <f t="shared" si="19"/>
        <v>22299.248055996672</v>
      </c>
      <c r="R100" s="136"/>
      <c r="S100" s="197">
        <f t="shared" si="20"/>
        <v>2.5132870477541829E-3</v>
      </c>
      <c r="T100" s="32"/>
      <c r="U100" s="262">
        <v>0.87</v>
      </c>
      <c r="W100" s="145">
        <v>77332</v>
      </c>
      <c r="Y100" s="157">
        <f t="shared" si="21"/>
        <v>-55032.751944003328</v>
      </c>
      <c r="AA100" s="198"/>
    </row>
    <row r="101" spans="1:27" x14ac:dyDescent="0.2">
      <c r="A101" s="26"/>
      <c r="B101" s="139"/>
      <c r="C101" s="63" t="s">
        <v>107</v>
      </c>
      <c r="D101" s="139"/>
      <c r="E101" s="56" t="str">
        <f>[1]KU!$I$26</f>
        <v>98.3 - L2</v>
      </c>
      <c r="F101" s="20" t="s">
        <v>64</v>
      </c>
      <c r="G101" s="222">
        <f>'SKM Prod NS Weighting'!Q$14</f>
        <v>-5.1999999999999998E-3</v>
      </c>
      <c r="H101" s="139"/>
      <c r="I101" s="200">
        <v>13858388.529999999</v>
      </c>
      <c r="J101" s="200"/>
      <c r="K101" s="200">
        <v>10602781</v>
      </c>
      <c r="L101" s="200"/>
      <c r="M101" s="237">
        <f t="shared" si="18"/>
        <v>3327671.1503560003</v>
      </c>
      <c r="N101" s="45"/>
      <c r="O101" s="227">
        <f>'[2]315 PL'!$E$88</f>
        <v>28.871712774138441</v>
      </c>
      <c r="P101" s="140"/>
      <c r="Q101" s="196">
        <f t="shared" si="19"/>
        <v>115257.14377903931</v>
      </c>
      <c r="R101" s="136"/>
      <c r="S101" s="197">
        <f t="shared" si="20"/>
        <v>8.3167782119498209E-3</v>
      </c>
      <c r="T101" s="32"/>
      <c r="U101" s="262">
        <v>1.65</v>
      </c>
      <c r="W101" s="145">
        <v>229310</v>
      </c>
      <c r="Y101" s="157">
        <f t="shared" si="21"/>
        <v>-114052.85622096069</v>
      </c>
      <c r="AA101" s="198"/>
    </row>
    <row r="102" spans="1:27" x14ac:dyDescent="0.2">
      <c r="A102" s="26"/>
      <c r="B102" s="139"/>
      <c r="C102" s="63" t="s">
        <v>108</v>
      </c>
      <c r="D102" s="139"/>
      <c r="E102" s="56" t="str">
        <f>[1]KU!$I$26</f>
        <v>98.3 - L2</v>
      </c>
      <c r="F102" s="20" t="s">
        <v>64</v>
      </c>
      <c r="G102" s="222">
        <f>'SKM Prod NS Weighting'!Q$14</f>
        <v>-5.1999999999999998E-3</v>
      </c>
      <c r="H102" s="139"/>
      <c r="I102" s="200">
        <v>30932405.420000002</v>
      </c>
      <c r="J102" s="200"/>
      <c r="K102" s="200">
        <v>22826297</v>
      </c>
      <c r="L102" s="200"/>
      <c r="M102" s="237">
        <f t="shared" si="18"/>
        <v>8266956.9281840064</v>
      </c>
      <c r="N102" s="45"/>
      <c r="O102" s="227">
        <f>'[2]315 PL'!$E$88</f>
        <v>28.871712774138441</v>
      </c>
      <c r="P102" s="140"/>
      <c r="Q102" s="196">
        <f t="shared" si="19"/>
        <v>286334.13586702949</v>
      </c>
      <c r="R102" s="136"/>
      <c r="S102" s="197">
        <f t="shared" si="20"/>
        <v>9.2567691383578631E-3</v>
      </c>
      <c r="T102" s="32"/>
      <c r="U102" s="262">
        <v>1.59</v>
      </c>
      <c r="W102" s="145">
        <v>490361</v>
      </c>
      <c r="Y102" s="157">
        <f t="shared" si="21"/>
        <v>-204026.86413297051</v>
      </c>
      <c r="AA102" s="198"/>
    </row>
    <row r="103" spans="1:27" x14ac:dyDescent="0.2">
      <c r="A103" s="26"/>
      <c r="B103" s="139"/>
      <c r="C103" s="63" t="s">
        <v>109</v>
      </c>
      <c r="D103" s="139"/>
      <c r="E103" s="56" t="str">
        <f>[1]KU!$I$26</f>
        <v>98.3 - L2</v>
      </c>
      <c r="F103" s="20" t="s">
        <v>64</v>
      </c>
      <c r="G103" s="222">
        <f>'SKM Prod NS Weighting'!Q$14</f>
        <v>-5.1999999999999998E-3</v>
      </c>
      <c r="H103" s="139"/>
      <c r="I103" s="200">
        <v>24412796.920000002</v>
      </c>
      <c r="J103" s="200"/>
      <c r="K103" s="200">
        <v>16503145</v>
      </c>
      <c r="L103" s="200"/>
      <c r="M103" s="237">
        <f t="shared" si="18"/>
        <v>8036598.4639840052</v>
      </c>
      <c r="N103" s="45"/>
      <c r="O103" s="227">
        <f>'[2]315 PL'!$E$88</f>
        <v>28.871712774138441</v>
      </c>
      <c r="P103" s="140"/>
      <c r="Q103" s="196">
        <f t="shared" si="19"/>
        <v>278355.44523644302</v>
      </c>
      <c r="R103" s="136"/>
      <c r="S103" s="197">
        <f t="shared" si="20"/>
        <v>1.1402030097108717E-2</v>
      </c>
      <c r="T103" s="32"/>
      <c r="U103" s="262">
        <v>1.76</v>
      </c>
      <c r="W103" s="145">
        <v>429536</v>
      </c>
      <c r="Y103" s="157">
        <f t="shared" si="21"/>
        <v>-151180.55476355698</v>
      </c>
      <c r="AA103" s="198"/>
    </row>
    <row r="104" spans="1:27" x14ac:dyDescent="0.2">
      <c r="A104" s="26"/>
      <c r="B104" s="139"/>
      <c r="C104" s="63" t="s">
        <v>110</v>
      </c>
      <c r="D104" s="139"/>
      <c r="E104" s="56" t="str">
        <f>[1]KU!$I$26</f>
        <v>98.3 - L2</v>
      </c>
      <c r="F104" s="20" t="s">
        <v>64</v>
      </c>
      <c r="G104" s="222">
        <f>'SKM Prod NS Weighting'!Q$14</f>
        <v>-5.1999999999999998E-3</v>
      </c>
      <c r="H104" s="139"/>
      <c r="I104" s="200">
        <v>1155753.06</v>
      </c>
      <c r="J104" s="200"/>
      <c r="K104" s="200">
        <v>73909</v>
      </c>
      <c r="L104" s="200"/>
      <c r="M104" s="237">
        <f t="shared" si="18"/>
        <v>1087853.9759120001</v>
      </c>
      <c r="N104" s="45"/>
      <c r="O104" s="227">
        <f>'[2]315 PL'!$E$88</f>
        <v>28.871712774138441</v>
      </c>
      <c r="P104" s="140"/>
      <c r="Q104" s="196">
        <f t="shared" si="19"/>
        <v>37678.886057859192</v>
      </c>
      <c r="R104" s="136"/>
      <c r="S104" s="197">
        <f t="shared" si="20"/>
        <v>3.2601156217452881E-2</v>
      </c>
      <c r="T104" s="32"/>
      <c r="U104" s="262">
        <v>4.7</v>
      </c>
      <c r="W104" s="145">
        <v>54270</v>
      </c>
      <c r="Y104" s="157">
        <f t="shared" si="21"/>
        <v>-16591.113942140808</v>
      </c>
      <c r="AA104" s="198"/>
    </row>
    <row r="105" spans="1:27" x14ac:dyDescent="0.2">
      <c r="A105" s="26"/>
      <c r="B105" s="139"/>
      <c r="C105" s="63" t="s">
        <v>111</v>
      </c>
      <c r="D105" s="139"/>
      <c r="E105" s="56" t="str">
        <f>[1]KU!$I$26</f>
        <v>98.3 - L2</v>
      </c>
      <c r="F105" s="20" t="s">
        <v>64</v>
      </c>
      <c r="G105" s="222">
        <f>'SKM Prod NS Weighting'!Q$14</f>
        <v>-5.1999999999999998E-3</v>
      </c>
      <c r="H105" s="139"/>
      <c r="I105" s="200">
        <v>12041998.279999999</v>
      </c>
      <c r="J105" s="200"/>
      <c r="K105" s="200">
        <v>1992181</v>
      </c>
      <c r="L105" s="200"/>
      <c r="M105" s="237">
        <f t="shared" si="18"/>
        <v>10112435.671056001</v>
      </c>
      <c r="N105" s="45"/>
      <c r="O105" s="227">
        <f>'[2]315 PL'!$E$88</f>
        <v>28.871712774138441</v>
      </c>
      <c r="P105" s="140"/>
      <c r="Q105" s="196">
        <f t="shared" si="19"/>
        <v>350254.09646337706</v>
      </c>
      <c r="R105" s="136"/>
      <c r="S105" s="197">
        <f t="shared" si="20"/>
        <v>2.9086044385598191E-2</v>
      </c>
      <c r="T105" s="32"/>
      <c r="U105" s="262">
        <v>3.75</v>
      </c>
      <c r="W105" s="145">
        <v>451284</v>
      </c>
      <c r="Y105" s="157">
        <f t="shared" si="21"/>
        <v>-101029.90353662294</v>
      </c>
      <c r="AA105" s="198"/>
    </row>
    <row r="106" spans="1:27" x14ac:dyDescent="0.2">
      <c r="A106" s="26"/>
      <c r="B106" s="139"/>
      <c r="C106" s="63" t="s">
        <v>112</v>
      </c>
      <c r="D106" s="139"/>
      <c r="E106" s="56" t="str">
        <f>[1]KU!$I$26</f>
        <v>98.3 - L2</v>
      </c>
      <c r="F106" s="20" t="s">
        <v>64</v>
      </c>
      <c r="G106" s="222">
        <f>'SKM Prod NS Weighting'!Q$14</f>
        <v>-5.1999999999999998E-3</v>
      </c>
      <c r="H106" s="139"/>
      <c r="I106" s="202">
        <v>3844595.46</v>
      </c>
      <c r="J106" s="200"/>
      <c r="K106" s="200">
        <v>381019</v>
      </c>
      <c r="L106" s="200"/>
      <c r="M106" s="237">
        <f t="shared" si="18"/>
        <v>3483568.3563920003</v>
      </c>
      <c r="N106" s="45"/>
      <c r="O106" s="227">
        <f>'[2]315 PL'!$E$88</f>
        <v>28.871712774138441</v>
      </c>
      <c r="P106" s="140"/>
      <c r="Q106" s="196">
        <f t="shared" si="19"/>
        <v>120656.79593184279</v>
      </c>
      <c r="R106" s="136"/>
      <c r="S106" s="197">
        <f t="shared" si="20"/>
        <v>3.1383482914439792E-2</v>
      </c>
      <c r="T106" s="32"/>
      <c r="U106" s="262">
        <v>3.86</v>
      </c>
      <c r="W106" s="145">
        <v>148278</v>
      </c>
      <c r="Y106" s="157">
        <f t="shared" si="21"/>
        <v>-27621.204068157211</v>
      </c>
      <c r="AA106" s="198"/>
    </row>
    <row r="107" spans="1:27" x14ac:dyDescent="0.2">
      <c r="A107" s="26"/>
      <c r="B107" s="139"/>
      <c r="C107" s="139"/>
      <c r="D107" s="139"/>
      <c r="E107" s="20"/>
      <c r="F107" s="20"/>
      <c r="G107" s="222"/>
      <c r="H107" s="139"/>
      <c r="I107" s="200"/>
      <c r="J107" s="205"/>
      <c r="K107" s="206"/>
      <c r="L107" s="201"/>
      <c r="M107" s="206"/>
      <c r="N107" s="34"/>
      <c r="O107" s="41"/>
      <c r="P107" s="140"/>
      <c r="Q107" s="35"/>
      <c r="R107" s="140"/>
      <c r="S107" s="179"/>
      <c r="T107" s="32"/>
      <c r="U107" s="262"/>
      <c r="AA107" s="198"/>
    </row>
    <row r="108" spans="1:27" x14ac:dyDescent="0.2">
      <c r="A108" s="26"/>
      <c r="B108" s="139"/>
      <c r="C108" s="65" t="s">
        <v>32</v>
      </c>
      <c r="D108" s="139"/>
      <c r="E108" s="20"/>
      <c r="F108" s="20"/>
      <c r="G108" s="222"/>
      <c r="H108" s="139"/>
      <c r="I108" s="200">
        <f>SUM(I89:I106)</f>
        <v>201634659.45000005</v>
      </c>
      <c r="J108" s="205"/>
      <c r="K108" s="200">
        <f>SUM(K89:K106)</f>
        <v>85460236</v>
      </c>
      <c r="L108" s="201"/>
      <c r="M108" s="200">
        <f>SUM(M89:M106)</f>
        <v>117222923.67914003</v>
      </c>
      <c r="N108" s="34"/>
      <c r="O108" s="41"/>
      <c r="P108" s="140"/>
      <c r="Q108" s="200">
        <f>SUM(Q89:Q106)</f>
        <v>4060130.5712677129</v>
      </c>
      <c r="R108" s="136"/>
      <c r="S108" s="197">
        <f t="shared" ref="S108" si="22">+Q108/I108</f>
        <v>2.0136074732104853E-2</v>
      </c>
      <c r="T108" s="32"/>
      <c r="U108" s="262">
        <v>2.79</v>
      </c>
      <c r="W108" s="200">
        <v>5620308</v>
      </c>
      <c r="Y108" s="200">
        <f>SUM(Y89:Y106)</f>
        <v>-1560177.4287322871</v>
      </c>
      <c r="AA108" s="198"/>
    </row>
    <row r="109" spans="1:27" x14ac:dyDescent="0.2">
      <c r="A109" s="26"/>
      <c r="B109" s="139"/>
      <c r="C109" s="139"/>
      <c r="D109" s="139"/>
      <c r="E109" s="20"/>
      <c r="F109" s="20"/>
      <c r="G109" s="222"/>
      <c r="H109" s="139"/>
      <c r="I109" s="200"/>
      <c r="J109" s="205"/>
      <c r="K109" s="201"/>
      <c r="L109" s="201"/>
      <c r="M109" s="201"/>
      <c r="N109" s="34"/>
      <c r="O109" s="41"/>
      <c r="P109" s="140"/>
      <c r="Q109" s="35"/>
      <c r="R109" s="140"/>
      <c r="S109" s="179"/>
      <c r="T109" s="32"/>
      <c r="U109" s="262"/>
      <c r="AA109" s="198"/>
    </row>
    <row r="110" spans="1:27" x14ac:dyDescent="0.2">
      <c r="A110" s="26">
        <v>316</v>
      </c>
      <c r="B110" s="139" t="s">
        <v>1</v>
      </c>
      <c r="C110" s="59" t="s">
        <v>170</v>
      </c>
      <c r="D110" s="139"/>
      <c r="E110" s="56"/>
      <c r="F110" s="56"/>
      <c r="G110" s="224"/>
      <c r="H110" s="139"/>
      <c r="I110" s="200"/>
      <c r="J110" s="205"/>
      <c r="K110" s="201"/>
      <c r="L110" s="201"/>
      <c r="M110" s="201"/>
      <c r="N110" s="34"/>
      <c r="O110" s="41"/>
      <c r="P110" s="140"/>
      <c r="Q110" s="35"/>
      <c r="R110" s="140"/>
      <c r="S110" s="179"/>
      <c r="T110" s="32"/>
      <c r="U110" s="262"/>
      <c r="AA110" s="198"/>
    </row>
    <row r="111" spans="1:27" x14ac:dyDescent="0.2">
      <c r="A111" s="26"/>
      <c r="B111" s="139"/>
      <c r="C111" s="63" t="s">
        <v>93</v>
      </c>
      <c r="D111" s="139"/>
      <c r="E111" s="20" t="str">
        <f>[1]KU!$I$27</f>
        <v>116 R0.5</v>
      </c>
      <c r="F111" s="20" t="s">
        <v>64</v>
      </c>
      <c r="G111" s="222">
        <f>'SKM Prod NS Weighting'!Q$15</f>
        <v>0</v>
      </c>
      <c r="H111" s="139"/>
      <c r="I111" s="200">
        <v>3502446.96</v>
      </c>
      <c r="J111" s="200"/>
      <c r="K111" s="200">
        <v>126166</v>
      </c>
      <c r="L111" s="200"/>
      <c r="M111" s="237">
        <f t="shared" ref="M111:M125" si="23">+((1-G111)*I111)-K111</f>
        <v>3376280.96</v>
      </c>
      <c r="N111" s="45"/>
      <c r="O111" s="227">
        <f>'[2]316 PL'!$E$94</f>
        <v>24.544204066345198</v>
      </c>
      <c r="P111" s="140"/>
      <c r="Q111" s="196">
        <f t="shared" ref="Q111:Q125" si="24">+M111/O111</f>
        <v>137559.19527370323</v>
      </c>
      <c r="R111" s="136"/>
      <c r="S111" s="197">
        <f t="shared" ref="S111:S125" si="25">+Q111/I111</f>
        <v>3.9275168716246089E-2</v>
      </c>
      <c r="T111" s="32"/>
      <c r="U111" s="262">
        <v>2.31</v>
      </c>
      <c r="W111" s="145">
        <v>81004</v>
      </c>
      <c r="Y111" s="157">
        <f t="shared" ref="Y111:Y125" si="26">Q111-W111</f>
        <v>56555.195273703226</v>
      </c>
      <c r="AA111" s="198"/>
    </row>
    <row r="112" spans="1:27" x14ac:dyDescent="0.2">
      <c r="A112" s="26"/>
      <c r="B112" s="139"/>
      <c r="C112" s="59" t="s">
        <v>95</v>
      </c>
      <c r="D112" s="139"/>
      <c r="E112" s="20" t="str">
        <f>[1]KU!$I$27</f>
        <v>116 R0.5</v>
      </c>
      <c r="F112" s="20" t="s">
        <v>64</v>
      </c>
      <c r="G112" s="222">
        <f>'SKM Prod NS Weighting'!Q$15</f>
        <v>0</v>
      </c>
      <c r="H112" s="139"/>
      <c r="I112" s="200">
        <v>2763048.67</v>
      </c>
      <c r="J112" s="200"/>
      <c r="K112" s="200">
        <v>790095</v>
      </c>
      <c r="L112" s="200"/>
      <c r="M112" s="237">
        <f t="shared" si="23"/>
        <v>1972953.67</v>
      </c>
      <c r="N112" s="45"/>
      <c r="O112" s="227">
        <f>'[2]316 PL'!$E$94</f>
        <v>24.544204066345198</v>
      </c>
      <c r="P112" s="140"/>
      <c r="Q112" s="196">
        <f t="shared" si="24"/>
        <v>80383.68914579296</v>
      </c>
      <c r="R112" s="136"/>
      <c r="S112" s="197">
        <f t="shared" si="25"/>
        <v>2.9092389873028535E-2</v>
      </c>
      <c r="T112" s="32"/>
      <c r="U112" s="262">
        <v>2.7</v>
      </c>
      <c r="W112" s="145">
        <v>74526</v>
      </c>
      <c r="Y112" s="157">
        <f t="shared" si="26"/>
        <v>5857.6891457929596</v>
      </c>
      <c r="AA112" s="198"/>
    </row>
    <row r="113" spans="1:27" x14ac:dyDescent="0.2">
      <c r="A113" s="26"/>
      <c r="B113" s="139"/>
      <c r="C113" s="59" t="s">
        <v>96</v>
      </c>
      <c r="D113" s="139"/>
      <c r="E113" s="20" t="str">
        <f>[1]KU!$I$27</f>
        <v>116 R0.5</v>
      </c>
      <c r="F113" s="20" t="s">
        <v>64</v>
      </c>
      <c r="G113" s="222">
        <f>'SKM Prod NS Weighting'!Q$15</f>
        <v>0</v>
      </c>
      <c r="H113" s="139"/>
      <c r="I113" s="200">
        <v>553355.01</v>
      </c>
      <c r="J113" s="200"/>
      <c r="K113" s="200">
        <v>251724</v>
      </c>
      <c r="L113" s="200"/>
      <c r="M113" s="237">
        <f t="shared" si="23"/>
        <v>301631.01</v>
      </c>
      <c r="N113" s="45"/>
      <c r="O113" s="227">
        <f>'[2]316 PL'!$E$94</f>
        <v>24.544204066345198</v>
      </c>
      <c r="P113" s="140"/>
      <c r="Q113" s="196">
        <f t="shared" si="24"/>
        <v>12289.296861477527</v>
      </c>
      <c r="R113" s="136"/>
      <c r="S113" s="197">
        <f t="shared" si="25"/>
        <v>2.22087026219886E-2</v>
      </c>
      <c r="T113" s="32"/>
      <c r="U113" s="262">
        <v>16.28</v>
      </c>
      <c r="W113" s="145">
        <v>90112</v>
      </c>
      <c r="Y113" s="157">
        <f t="shared" si="26"/>
        <v>-77822.703138522469</v>
      </c>
      <c r="AA113" s="198"/>
    </row>
    <row r="114" spans="1:27" x14ac:dyDescent="0.2">
      <c r="A114" s="26"/>
      <c r="B114" s="139"/>
      <c r="C114" s="59" t="s">
        <v>97</v>
      </c>
      <c r="D114" s="139"/>
      <c r="E114" s="20" t="str">
        <f>[1]KU!$I$27</f>
        <v>116 R0.5</v>
      </c>
      <c r="F114" s="20" t="s">
        <v>64</v>
      </c>
      <c r="G114" s="222">
        <f>'SKM Prod NS Weighting'!Q$15</f>
        <v>0</v>
      </c>
      <c r="H114" s="139"/>
      <c r="I114" s="200">
        <v>50126.84</v>
      </c>
      <c r="J114" s="200"/>
      <c r="K114" s="200">
        <v>55140</v>
      </c>
      <c r="L114" s="200"/>
      <c r="M114" s="237">
        <f t="shared" si="23"/>
        <v>-5013.1600000000035</v>
      </c>
      <c r="N114" s="45"/>
      <c r="O114" s="227">
        <f>'[2]316 PL'!$E$94</f>
        <v>24.544204066345198</v>
      </c>
      <c r="P114" s="140"/>
      <c r="Q114" s="196">
        <f t="shared" si="24"/>
        <v>-204.25025747215022</v>
      </c>
      <c r="R114" s="136"/>
      <c r="S114" s="197">
        <f t="shared" si="25"/>
        <v>-4.0746685303153013E-3</v>
      </c>
      <c r="T114" s="32"/>
      <c r="U114" s="262" t="s">
        <v>297</v>
      </c>
      <c r="W114" s="145">
        <v>0</v>
      </c>
      <c r="Y114" s="157">
        <f t="shared" si="26"/>
        <v>-204.25025747215022</v>
      </c>
      <c r="AA114" s="198"/>
    </row>
    <row r="115" spans="1:27" x14ac:dyDescent="0.2">
      <c r="A115" s="26"/>
      <c r="B115" s="139"/>
      <c r="C115" s="63" t="s">
        <v>98</v>
      </c>
      <c r="D115" s="139"/>
      <c r="E115" s="20" t="str">
        <f>[1]KU!$I$27</f>
        <v>116 R0.5</v>
      </c>
      <c r="F115" s="20" t="s">
        <v>64</v>
      </c>
      <c r="G115" s="222">
        <f>'SKM Prod NS Weighting'!Q$15</f>
        <v>0</v>
      </c>
      <c r="H115" s="139"/>
      <c r="I115" s="200">
        <v>152146.47</v>
      </c>
      <c r="J115" s="200"/>
      <c r="K115" s="200">
        <v>101809</v>
      </c>
      <c r="L115" s="200"/>
      <c r="M115" s="237">
        <f t="shared" si="23"/>
        <v>50337.47</v>
      </c>
      <c r="N115" s="45"/>
      <c r="O115" s="227">
        <f>'[2]316 PL'!$E$94</f>
        <v>24.544204066345198</v>
      </c>
      <c r="P115" s="140"/>
      <c r="Q115" s="196">
        <f t="shared" si="24"/>
        <v>2050.8902983341109</v>
      </c>
      <c r="R115" s="136"/>
      <c r="S115" s="197">
        <f t="shared" si="25"/>
        <v>1.3479710034246018E-2</v>
      </c>
      <c r="T115" s="32"/>
      <c r="U115" s="262">
        <v>10.87</v>
      </c>
      <c r="W115" s="145">
        <v>16545</v>
      </c>
      <c r="Y115" s="157">
        <f t="shared" si="26"/>
        <v>-14494.10970166589</v>
      </c>
      <c r="AA115" s="198"/>
    </row>
    <row r="116" spans="1:27" x14ac:dyDescent="0.2">
      <c r="A116" s="26"/>
      <c r="B116" s="139"/>
      <c r="C116" s="63" t="s">
        <v>99</v>
      </c>
      <c r="D116" s="139"/>
      <c r="E116" s="20" t="str">
        <f>[1]KU!$I$27</f>
        <v>116 R0.5</v>
      </c>
      <c r="F116" s="20" t="s">
        <v>64</v>
      </c>
      <c r="G116" s="222">
        <f>'SKM Prod NS Weighting'!Q$15</f>
        <v>0</v>
      </c>
      <c r="H116" s="139"/>
      <c r="I116" s="200">
        <v>2408142.84</v>
      </c>
      <c r="J116" s="200"/>
      <c r="K116" s="200">
        <v>1418850</v>
      </c>
      <c r="L116" s="200"/>
      <c r="M116" s="237">
        <f t="shared" si="23"/>
        <v>989292.83999999985</v>
      </c>
      <c r="N116" s="45"/>
      <c r="O116" s="227">
        <f>'[2]316 PL'!$E$94</f>
        <v>24.544204066345198</v>
      </c>
      <c r="P116" s="140"/>
      <c r="Q116" s="196">
        <f t="shared" si="24"/>
        <v>40306.576547597637</v>
      </c>
      <c r="R116" s="136"/>
      <c r="S116" s="197">
        <f t="shared" si="25"/>
        <v>1.6737618665343637E-2</v>
      </c>
      <c r="T116" s="32"/>
      <c r="U116" s="262">
        <v>12.87</v>
      </c>
      <c r="W116" s="145">
        <v>310000</v>
      </c>
      <c r="Y116" s="157">
        <f t="shared" si="26"/>
        <v>-269693.42345240235</v>
      </c>
      <c r="AA116" s="198"/>
    </row>
    <row r="117" spans="1:27" x14ac:dyDescent="0.2">
      <c r="A117" s="26"/>
      <c r="B117" s="139"/>
      <c r="C117" s="63" t="s">
        <v>100</v>
      </c>
      <c r="D117" s="139"/>
      <c r="E117" s="20" t="str">
        <f>[1]KU!$I$27</f>
        <v>116 R0.5</v>
      </c>
      <c r="F117" s="20" t="s">
        <v>64</v>
      </c>
      <c r="G117" s="222">
        <f>'SKM Prod NS Weighting'!Q$15</f>
        <v>0</v>
      </c>
      <c r="H117" s="139"/>
      <c r="I117" s="200">
        <v>84749.53</v>
      </c>
      <c r="J117" s="200"/>
      <c r="K117" s="200">
        <v>93224</v>
      </c>
      <c r="L117" s="200"/>
      <c r="M117" s="237">
        <f t="shared" si="23"/>
        <v>-8474.4700000000012</v>
      </c>
      <c r="N117" s="45"/>
      <c r="O117" s="227">
        <f>'[2]316 PL'!$E$94</f>
        <v>24.544204066345198</v>
      </c>
      <c r="P117" s="140"/>
      <c r="Q117" s="196">
        <f t="shared" si="24"/>
        <v>-345.27377531138285</v>
      </c>
      <c r="R117" s="136"/>
      <c r="S117" s="197">
        <f t="shared" si="25"/>
        <v>-4.0740494408804725E-3</v>
      </c>
      <c r="T117" s="32"/>
      <c r="U117" s="262" t="s">
        <v>297</v>
      </c>
      <c r="W117" s="145">
        <v>0</v>
      </c>
      <c r="Y117" s="157">
        <f t="shared" si="26"/>
        <v>-345.27377531138285</v>
      </c>
      <c r="AA117" s="198"/>
    </row>
    <row r="118" spans="1:27" x14ac:dyDescent="0.2">
      <c r="A118" s="26"/>
      <c r="B118" s="139"/>
      <c r="C118" s="63" t="s">
        <v>101</v>
      </c>
      <c r="D118" s="139"/>
      <c r="E118" s="20" t="str">
        <f>[1]KU!$I$27</f>
        <v>116 R0.5</v>
      </c>
      <c r="F118" s="20" t="s">
        <v>64</v>
      </c>
      <c r="G118" s="222">
        <f>'SKM Prod NS Weighting'!Q$15</f>
        <v>0</v>
      </c>
      <c r="H118" s="139"/>
      <c r="I118" s="200">
        <v>432577.58</v>
      </c>
      <c r="J118" s="200"/>
      <c r="K118" s="200">
        <v>351287</v>
      </c>
      <c r="L118" s="200"/>
      <c r="M118" s="237">
        <f t="shared" si="23"/>
        <v>81290.580000000016</v>
      </c>
      <c r="N118" s="45"/>
      <c r="O118" s="227">
        <f>'[2]316 PL'!$E$94</f>
        <v>24.544204066345198</v>
      </c>
      <c r="P118" s="140"/>
      <c r="Q118" s="196">
        <f t="shared" si="24"/>
        <v>3312.007176124524</v>
      </c>
      <c r="R118" s="136"/>
      <c r="S118" s="197">
        <f t="shared" si="25"/>
        <v>7.656446679748229E-3</v>
      </c>
      <c r="T118" s="32"/>
      <c r="U118" s="262">
        <v>1.86</v>
      </c>
      <c r="W118" s="145">
        <v>8059</v>
      </c>
      <c r="Y118" s="157">
        <f t="shared" si="26"/>
        <v>-4746.9928238754765</v>
      </c>
      <c r="AA118" s="198"/>
    </row>
    <row r="119" spans="1:27" x14ac:dyDescent="0.2">
      <c r="A119" s="26"/>
      <c r="B119" s="139"/>
      <c r="C119" s="63" t="s">
        <v>102</v>
      </c>
      <c r="D119" s="139"/>
      <c r="E119" s="20" t="str">
        <f>[1]KU!$I$27</f>
        <v>116 R0.5</v>
      </c>
      <c r="F119" s="20" t="s">
        <v>64</v>
      </c>
      <c r="G119" s="222">
        <f>'SKM Prod NS Weighting'!Q$15</f>
        <v>0</v>
      </c>
      <c r="H119" s="139"/>
      <c r="I119" s="200">
        <v>106658.32</v>
      </c>
      <c r="J119" s="200"/>
      <c r="K119" s="200">
        <v>109842</v>
      </c>
      <c r="L119" s="200"/>
      <c r="M119" s="237">
        <f t="shared" si="23"/>
        <v>-3183.679999999993</v>
      </c>
      <c r="N119" s="45"/>
      <c r="O119" s="227">
        <f>'[2]316 PL'!$E$94</f>
        <v>24.544204066345198</v>
      </c>
      <c r="P119" s="140"/>
      <c r="Q119" s="196">
        <f t="shared" si="24"/>
        <v>-129.71208972163933</v>
      </c>
      <c r="R119" s="136"/>
      <c r="S119" s="197">
        <f t="shared" si="25"/>
        <v>-1.2161460045652258E-3</v>
      </c>
      <c r="T119" s="32"/>
      <c r="U119" s="262">
        <v>0.37</v>
      </c>
      <c r="W119" s="145">
        <v>395</v>
      </c>
      <c r="Y119" s="157">
        <f t="shared" si="26"/>
        <v>-524.71208972163936</v>
      </c>
      <c r="AA119" s="198"/>
    </row>
    <row r="120" spans="1:27" x14ac:dyDescent="0.2">
      <c r="A120" s="26"/>
      <c r="B120" s="139"/>
      <c r="C120" s="63" t="s">
        <v>103</v>
      </c>
      <c r="D120" s="139"/>
      <c r="E120" s="20" t="str">
        <f>[1]KU!$I$27</f>
        <v>116 R0.5</v>
      </c>
      <c r="F120" s="20" t="s">
        <v>64</v>
      </c>
      <c r="G120" s="222">
        <f>'SKM Prod NS Weighting'!Q$15</f>
        <v>0</v>
      </c>
      <c r="H120" s="139"/>
      <c r="I120" s="200">
        <v>5070448.32</v>
      </c>
      <c r="J120" s="200"/>
      <c r="K120" s="200">
        <v>2925174</v>
      </c>
      <c r="L120" s="200"/>
      <c r="M120" s="237">
        <f t="shared" si="23"/>
        <v>2145274.3200000003</v>
      </c>
      <c r="N120" s="45"/>
      <c r="O120" s="227">
        <f>'[2]316 PL'!$E$94</f>
        <v>24.544204066345198</v>
      </c>
      <c r="P120" s="140"/>
      <c r="Q120" s="196">
        <f t="shared" si="24"/>
        <v>87404.517750957835</v>
      </c>
      <c r="R120" s="136"/>
      <c r="S120" s="197">
        <f t="shared" si="25"/>
        <v>1.7238025561999579E-2</v>
      </c>
      <c r="T120" s="32"/>
      <c r="U120" s="262">
        <v>2.4</v>
      </c>
      <c r="W120" s="145">
        <v>121490</v>
      </c>
      <c r="Y120" s="157">
        <f t="shared" si="26"/>
        <v>-34085.482249042165</v>
      </c>
      <c r="AA120" s="198"/>
    </row>
    <row r="121" spans="1:27" x14ac:dyDescent="0.2">
      <c r="A121" s="114" t="s">
        <v>162</v>
      </c>
      <c r="B121" s="139"/>
      <c r="C121" s="63" t="s">
        <v>105</v>
      </c>
      <c r="D121" s="139"/>
      <c r="E121" s="20" t="str">
        <f>[1]KU!$I$27</f>
        <v>116 R0.5</v>
      </c>
      <c r="F121" s="20" t="s">
        <v>64</v>
      </c>
      <c r="G121" s="222">
        <f>'SKM Prod NS Weighting'!Q$15</f>
        <v>0</v>
      </c>
      <c r="H121" s="139"/>
      <c r="I121" s="200">
        <v>1033027.09</v>
      </c>
      <c r="J121" s="200"/>
      <c r="K121" s="200">
        <v>834195</v>
      </c>
      <c r="L121" s="200"/>
      <c r="M121" s="237">
        <f t="shared" si="23"/>
        <v>198832.08999999997</v>
      </c>
      <c r="N121" s="45"/>
      <c r="O121" s="227">
        <f>'[2]316 PL'!$E$94</f>
        <v>24.544204066345198</v>
      </c>
      <c r="P121" s="140"/>
      <c r="Q121" s="196">
        <f t="shared" si="24"/>
        <v>8100.9793376285043</v>
      </c>
      <c r="R121" s="136"/>
      <c r="S121" s="197">
        <f t="shared" si="25"/>
        <v>7.8419815085667352E-3</v>
      </c>
      <c r="T121" s="32"/>
      <c r="U121" s="262">
        <v>1.46</v>
      </c>
      <c r="W121" s="145">
        <v>15091</v>
      </c>
      <c r="Y121" s="157">
        <f t="shared" si="26"/>
        <v>-6990.0206623714957</v>
      </c>
      <c r="AA121" s="198"/>
    </row>
    <row r="122" spans="1:27" x14ac:dyDescent="0.2">
      <c r="A122" s="26"/>
      <c r="B122" s="139"/>
      <c r="C122" s="63" t="s">
        <v>106</v>
      </c>
      <c r="D122" s="139"/>
      <c r="E122" s="20" t="str">
        <f>[1]KU!$I$27</f>
        <v>116 R0.5</v>
      </c>
      <c r="F122" s="20" t="s">
        <v>64</v>
      </c>
      <c r="G122" s="222">
        <f>'SKM Prod NS Weighting'!Q$15</f>
        <v>0</v>
      </c>
      <c r="H122" s="139"/>
      <c r="I122" s="200">
        <v>1747526.86</v>
      </c>
      <c r="J122" s="200"/>
      <c r="K122" s="200">
        <v>1578287</v>
      </c>
      <c r="L122" s="200"/>
      <c r="M122" s="237">
        <f t="shared" si="23"/>
        <v>169239.8600000001</v>
      </c>
      <c r="N122" s="45"/>
      <c r="O122" s="227">
        <f>'[2]316 PL'!$E$94</f>
        <v>24.544204066345198</v>
      </c>
      <c r="P122" s="140"/>
      <c r="Q122" s="196">
        <f t="shared" si="24"/>
        <v>6895.3085438227899</v>
      </c>
      <c r="R122" s="136"/>
      <c r="S122" s="197">
        <f t="shared" si="25"/>
        <v>3.9457525384318211E-3</v>
      </c>
      <c r="T122" s="32"/>
      <c r="U122" s="262">
        <v>1.03</v>
      </c>
      <c r="W122" s="145">
        <v>18058</v>
      </c>
      <c r="Y122" s="157">
        <f t="shared" si="26"/>
        <v>-11162.69145617721</v>
      </c>
      <c r="AA122" s="198"/>
    </row>
    <row r="123" spans="1:27" x14ac:dyDescent="0.2">
      <c r="B123" s="139"/>
      <c r="C123" s="63" t="s">
        <v>107</v>
      </c>
      <c r="D123" s="139"/>
      <c r="E123" s="20" t="str">
        <f>[1]KU!$I$27</f>
        <v>116 R0.5</v>
      </c>
      <c r="F123" s="20" t="s">
        <v>64</v>
      </c>
      <c r="G123" s="222">
        <f>'SKM Prod NS Weighting'!Q$15</f>
        <v>0</v>
      </c>
      <c r="H123" s="139"/>
      <c r="I123" s="200">
        <v>1500525.31</v>
      </c>
      <c r="J123" s="200"/>
      <c r="K123" s="200">
        <v>1397086</v>
      </c>
      <c r="L123" s="200"/>
      <c r="M123" s="237">
        <f t="shared" si="23"/>
        <v>103439.31000000006</v>
      </c>
      <c r="N123" s="45"/>
      <c r="O123" s="227">
        <f>'[2]316 PL'!$E$94</f>
        <v>24.544204066345198</v>
      </c>
      <c r="P123" s="140"/>
      <c r="Q123" s="196">
        <f t="shared" si="24"/>
        <v>4214.4088160444835</v>
      </c>
      <c r="R123" s="136"/>
      <c r="S123" s="197">
        <f t="shared" si="25"/>
        <v>2.8086222791166935E-3</v>
      </c>
      <c r="T123" s="32"/>
      <c r="U123" s="262">
        <v>0.92</v>
      </c>
      <c r="W123" s="145">
        <v>13774</v>
      </c>
      <c r="Y123" s="157">
        <f t="shared" si="26"/>
        <v>-9559.5911839555156</v>
      </c>
      <c r="AA123" s="198"/>
    </row>
    <row r="124" spans="1:27" x14ac:dyDescent="0.2">
      <c r="A124" s="26"/>
      <c r="B124" s="139"/>
      <c r="C124" s="63" t="s">
        <v>108</v>
      </c>
      <c r="D124" s="139"/>
      <c r="E124" s="20" t="str">
        <f>[1]KU!$I$27</f>
        <v>116 R0.5</v>
      </c>
      <c r="F124" s="20" t="s">
        <v>64</v>
      </c>
      <c r="G124" s="222">
        <f>'SKM Prod NS Weighting'!Q$15</f>
        <v>0</v>
      </c>
      <c r="H124" s="139"/>
      <c r="I124" s="200">
        <v>3150437.55</v>
      </c>
      <c r="J124" s="200"/>
      <c r="K124" s="200">
        <v>2534754</v>
      </c>
      <c r="L124" s="200"/>
      <c r="M124" s="237">
        <f t="shared" si="23"/>
        <v>615683.54999999981</v>
      </c>
      <c r="N124" s="45"/>
      <c r="O124" s="227">
        <f>'[2]316 PL'!$E$94</f>
        <v>24.544204066345198</v>
      </c>
      <c r="P124" s="140"/>
      <c r="Q124" s="196">
        <f t="shared" si="24"/>
        <v>25084.681839172768</v>
      </c>
      <c r="R124" s="136"/>
      <c r="S124" s="197">
        <f t="shared" si="25"/>
        <v>7.9622850607442668E-3</v>
      </c>
      <c r="T124" s="32"/>
      <c r="U124" s="262">
        <v>1.36</v>
      </c>
      <c r="W124" s="145">
        <v>42799</v>
      </c>
      <c r="Y124" s="157">
        <f t="shared" si="26"/>
        <v>-17714.318160827232</v>
      </c>
      <c r="AA124" s="198"/>
    </row>
    <row r="125" spans="1:27" x14ac:dyDescent="0.2">
      <c r="A125" s="26"/>
      <c r="B125" s="139"/>
      <c r="C125" s="63" t="s">
        <v>109</v>
      </c>
      <c r="D125" s="139"/>
      <c r="E125" s="20" t="str">
        <f>[1]KU!$I$27</f>
        <v>116 R0.5</v>
      </c>
      <c r="F125" s="20" t="s">
        <v>64</v>
      </c>
      <c r="G125" s="222">
        <f>'SKM Prod NS Weighting'!Q$15</f>
        <v>0</v>
      </c>
      <c r="H125" s="139"/>
      <c r="I125" s="202">
        <v>7455181.3300000001</v>
      </c>
      <c r="J125" s="200"/>
      <c r="K125" s="200">
        <v>2842039</v>
      </c>
      <c r="L125" s="200"/>
      <c r="M125" s="237">
        <f t="shared" si="23"/>
        <v>4613142.33</v>
      </c>
      <c r="N125" s="45"/>
      <c r="O125" s="227">
        <f>'[2]316 PL'!$E$94</f>
        <v>24.544204066345198</v>
      </c>
      <c r="P125" s="140"/>
      <c r="Q125" s="196">
        <f t="shared" si="24"/>
        <v>187952.41098591994</v>
      </c>
      <c r="R125" s="136"/>
      <c r="S125" s="197">
        <f t="shared" si="25"/>
        <v>2.5210977797359615E-2</v>
      </c>
      <c r="T125" s="32"/>
      <c r="U125" s="262">
        <v>2.98</v>
      </c>
      <c r="W125" s="145">
        <v>221851</v>
      </c>
      <c r="Y125" s="157">
        <f t="shared" si="26"/>
        <v>-33898.589014080062</v>
      </c>
      <c r="AA125" s="198"/>
    </row>
    <row r="126" spans="1:27" x14ac:dyDescent="0.2">
      <c r="A126" s="26"/>
      <c r="B126" s="139"/>
      <c r="C126" s="63"/>
      <c r="D126" s="139"/>
      <c r="E126" s="20"/>
      <c r="F126" s="20"/>
      <c r="G126" s="222"/>
      <c r="H126" s="139"/>
      <c r="I126" s="200"/>
      <c r="J126" s="205"/>
      <c r="K126" s="206"/>
      <c r="L126" s="201"/>
      <c r="M126" s="206"/>
      <c r="N126" s="34"/>
      <c r="O126" s="41"/>
      <c r="P126" s="140"/>
      <c r="Q126" s="35"/>
      <c r="R126" s="140"/>
      <c r="S126" s="179"/>
      <c r="T126" s="32"/>
      <c r="U126" s="262"/>
      <c r="AA126" s="198"/>
    </row>
    <row r="127" spans="1:27" x14ac:dyDescent="0.2">
      <c r="A127" s="26"/>
      <c r="B127" s="139"/>
      <c r="C127" s="65" t="s">
        <v>178</v>
      </c>
      <c r="D127" s="139"/>
      <c r="E127" s="20"/>
      <c r="F127" s="20"/>
      <c r="G127" s="222"/>
      <c r="H127" s="139"/>
      <c r="I127" s="202">
        <f>SUM(I111:I125)</f>
        <v>30010398.68</v>
      </c>
      <c r="J127" s="205"/>
      <c r="K127" s="208">
        <f>+SUBTOTAL(9,K111:K126)</f>
        <v>15409672</v>
      </c>
      <c r="L127" s="201"/>
      <c r="M127" s="208">
        <f>+SUBTOTAL(9,M111:M126)</f>
        <v>14600726.679999998</v>
      </c>
      <c r="N127" s="34"/>
      <c r="O127" s="41"/>
      <c r="P127" s="140"/>
      <c r="Q127" s="208">
        <f>+SUBTOTAL(9,Q111:Q126)</f>
        <v>594874.72645407123</v>
      </c>
      <c r="R127" s="136"/>
      <c r="S127" s="197">
        <f t="shared" ref="S127" si="27">+Q127/I127</f>
        <v>1.9822286694595528E-2</v>
      </c>
      <c r="T127" s="32"/>
      <c r="U127" s="262">
        <v>3.38</v>
      </c>
      <c r="W127" s="208">
        <v>1013704</v>
      </c>
      <c r="Y127" s="208">
        <f>+SUBTOTAL(9,Y111:Y126)</f>
        <v>-418829.27354592871</v>
      </c>
      <c r="AA127" s="198"/>
    </row>
    <row r="128" spans="1:27" x14ac:dyDescent="0.2">
      <c r="A128" s="26"/>
      <c r="B128" s="139"/>
      <c r="C128" s="65"/>
      <c r="D128" s="139"/>
      <c r="E128" s="20"/>
      <c r="F128" s="20"/>
      <c r="G128" s="222"/>
      <c r="H128" s="139"/>
      <c r="I128" s="200"/>
      <c r="J128" s="205"/>
      <c r="K128" s="201"/>
      <c r="L128" s="201"/>
      <c r="M128" s="201"/>
      <c r="N128" s="34"/>
      <c r="O128" s="41"/>
      <c r="P128" s="140"/>
      <c r="Q128" s="35"/>
      <c r="R128" s="140"/>
      <c r="S128" s="179"/>
      <c r="T128" s="32"/>
      <c r="U128" s="262"/>
      <c r="AA128" s="198"/>
    </row>
    <row r="129" spans="1:27" ht="15.75" x14ac:dyDescent="0.25">
      <c r="A129" s="26"/>
      <c r="B129" s="139"/>
      <c r="C129" s="50" t="s">
        <v>33</v>
      </c>
      <c r="D129" s="139"/>
      <c r="E129" s="20"/>
      <c r="F129" s="20"/>
      <c r="G129" s="247"/>
      <c r="H129" s="139"/>
      <c r="I129" s="203">
        <f>SUM(I127,I108,I86,I70,I46)</f>
        <v>3559706076.0500007</v>
      </c>
      <c r="J129" s="204"/>
      <c r="K129" s="203">
        <f>SUM(K127,K108,K86,K70,K46)</f>
        <v>1260919945</v>
      </c>
      <c r="L129" s="204"/>
      <c r="M129" s="203">
        <f>SUM(M127,M108,M86,M70,M46)</f>
        <v>2381668587.1058931</v>
      </c>
      <c r="N129" s="31"/>
      <c r="O129" s="178"/>
      <c r="P129" s="140"/>
      <c r="Q129" s="203">
        <f>SUM(Q127,Q108,Q86,Q70,Q46)</f>
        <v>83875780.316659346</v>
      </c>
      <c r="R129" s="140"/>
      <c r="S129" s="179"/>
      <c r="T129" s="32"/>
      <c r="U129" s="262">
        <v>2.93</v>
      </c>
      <c r="W129" s="203">
        <v>104351776</v>
      </c>
      <c r="Y129" s="203">
        <f>SUM(Y127,Y108,Y86,Y70,Y46)</f>
        <v>-20475995.683340628</v>
      </c>
      <c r="Z129" s="145">
        <f>+Y129</f>
        <v>-20475995.683340628</v>
      </c>
      <c r="AA129" s="198"/>
    </row>
    <row r="130" spans="1:27" ht="15.75" x14ac:dyDescent="0.25">
      <c r="A130" s="26"/>
      <c r="B130" s="139"/>
      <c r="C130" s="50"/>
      <c r="D130" s="139"/>
      <c r="E130" s="20"/>
      <c r="F130" s="20"/>
      <c r="G130" s="222"/>
      <c r="H130" s="139"/>
      <c r="I130" s="200"/>
      <c r="J130" s="204"/>
      <c r="K130" s="204"/>
      <c r="L130" s="204"/>
      <c r="M130" s="204"/>
      <c r="N130" s="31"/>
      <c r="O130" s="178"/>
      <c r="P130" s="140"/>
      <c r="Q130" s="35"/>
      <c r="R130" s="140"/>
      <c r="S130" s="179"/>
      <c r="T130" s="32"/>
      <c r="U130" s="262"/>
      <c r="AA130" s="198"/>
    </row>
    <row r="131" spans="1:27" ht="15.75" x14ac:dyDescent="0.25">
      <c r="A131" s="26"/>
      <c r="B131" s="139"/>
      <c r="C131" s="70" t="s">
        <v>187</v>
      </c>
      <c r="D131" s="139"/>
      <c r="E131" s="20"/>
      <c r="F131" s="20"/>
      <c r="G131" s="222"/>
      <c r="H131" s="139"/>
      <c r="I131" s="200"/>
      <c r="J131" s="204"/>
      <c r="K131" s="204"/>
      <c r="L131" s="204"/>
      <c r="M131" s="204"/>
      <c r="N131" s="31"/>
      <c r="O131" s="178"/>
      <c r="P131" s="140"/>
      <c r="Q131" s="35"/>
      <c r="R131" s="140"/>
      <c r="S131" s="179"/>
      <c r="T131" s="32"/>
      <c r="U131" s="262"/>
      <c r="AA131" s="198"/>
    </row>
    <row r="132" spans="1:27" s="139" customFormat="1" ht="15.75" x14ac:dyDescent="0.25">
      <c r="A132" s="26"/>
      <c r="C132" s="28"/>
      <c r="E132" s="20"/>
      <c r="F132" s="20"/>
      <c r="G132" s="222"/>
      <c r="I132" s="200"/>
      <c r="J132" s="204"/>
      <c r="K132" s="204"/>
      <c r="L132" s="204"/>
      <c r="M132" s="204"/>
      <c r="N132" s="31"/>
      <c r="O132" s="178"/>
      <c r="P132" s="140"/>
      <c r="Q132" s="35"/>
      <c r="R132" s="140"/>
      <c r="S132" s="179"/>
      <c r="T132" s="32"/>
      <c r="U132" s="262"/>
      <c r="W132" s="150"/>
      <c r="Y132" s="153"/>
      <c r="AA132" s="198"/>
    </row>
    <row r="133" spans="1:27" s="139" customFormat="1" ht="15.75" x14ac:dyDescent="0.25">
      <c r="A133" s="26">
        <v>330.1</v>
      </c>
      <c r="C133" s="57" t="s">
        <v>91</v>
      </c>
      <c r="E133" s="20"/>
      <c r="F133" s="20"/>
      <c r="G133" s="222"/>
      <c r="I133" s="200"/>
      <c r="J133" s="204"/>
      <c r="K133" s="204"/>
      <c r="L133" s="204"/>
      <c r="M133" s="204"/>
      <c r="N133" s="31"/>
      <c r="O133" s="178"/>
      <c r="P133" s="140"/>
      <c r="Q133" s="35"/>
      <c r="R133" s="140"/>
      <c r="S133" s="179"/>
      <c r="T133" s="32"/>
      <c r="U133" s="262"/>
      <c r="W133" s="150"/>
      <c r="Y133" s="153"/>
      <c r="AA133" s="198"/>
    </row>
    <row r="134" spans="1:27" x14ac:dyDescent="0.2">
      <c r="A134" s="26"/>
      <c r="B134" s="139"/>
      <c r="C134" s="28" t="s">
        <v>57</v>
      </c>
      <c r="D134" s="139"/>
      <c r="E134" s="20" t="str">
        <f>[1]KU!$I$31</f>
        <v>100 - R4</v>
      </c>
      <c r="F134" s="20" t="s">
        <v>64</v>
      </c>
      <c r="G134" s="222">
        <v>0</v>
      </c>
      <c r="H134" s="139"/>
      <c r="I134" s="209">
        <v>879311.47</v>
      </c>
      <c r="J134" s="210"/>
      <c r="K134" s="211">
        <v>879311</v>
      </c>
      <c r="L134" s="210"/>
      <c r="M134" s="237">
        <f t="shared" ref="M134" si="28">+((1-G134)*I134)-K134</f>
        <v>0.46999999997206032</v>
      </c>
      <c r="N134" s="75"/>
      <c r="O134" s="227">
        <f>'[2]330.10 PL'!$E$94</f>
        <v>24.984758834863328</v>
      </c>
      <c r="P134" s="140"/>
      <c r="Q134" s="196">
        <f t="shared" ref="Q134" si="29">+M134/O134</f>
        <v>1.881146834670383E-2</v>
      </c>
      <c r="R134" s="136"/>
      <c r="S134" s="197">
        <f t="shared" ref="S134" si="30">+Q134/I134</f>
        <v>2.1393407215197398E-8</v>
      </c>
      <c r="T134" s="32"/>
      <c r="U134" s="262" t="s">
        <v>297</v>
      </c>
      <c r="W134" s="158">
        <v>0</v>
      </c>
      <c r="Y134" s="157">
        <f t="shared" ref="Y134" si="31">Q134-W134</f>
        <v>1.881146834670383E-2</v>
      </c>
      <c r="AA134" s="198"/>
    </row>
    <row r="135" spans="1:27" x14ac:dyDescent="0.2">
      <c r="A135" s="26"/>
      <c r="B135" s="139"/>
      <c r="C135" s="28"/>
      <c r="D135" s="139"/>
      <c r="E135" s="20"/>
      <c r="F135" s="20"/>
      <c r="G135" s="222"/>
      <c r="H135" s="139"/>
      <c r="I135" s="212"/>
      <c r="J135" s="210"/>
      <c r="K135" s="210"/>
      <c r="L135" s="210"/>
      <c r="M135" s="210"/>
      <c r="N135" s="75"/>
      <c r="O135" s="180"/>
      <c r="P135" s="140"/>
      <c r="Q135" s="35"/>
      <c r="R135" s="140"/>
      <c r="S135" s="179"/>
      <c r="T135" s="32"/>
      <c r="U135" s="262"/>
      <c r="Y135" s="159"/>
      <c r="AA135" s="198"/>
    </row>
    <row r="136" spans="1:27" x14ac:dyDescent="0.2">
      <c r="A136" s="26"/>
      <c r="B136" s="139"/>
      <c r="C136" s="76" t="s">
        <v>65</v>
      </c>
      <c r="D136" s="139"/>
      <c r="E136" s="20"/>
      <c r="F136" s="20"/>
      <c r="G136" s="222"/>
      <c r="H136" s="139"/>
      <c r="I136" s="212">
        <f>+SUBTOTAL(9,I134:I135)</f>
        <v>879311.47</v>
      </c>
      <c r="J136" s="210"/>
      <c r="K136" s="212">
        <f>+SUBTOTAL(9,K134:K135)</f>
        <v>879311</v>
      </c>
      <c r="L136" s="210"/>
      <c r="M136" s="212">
        <f>+SUBTOTAL(9,M134:M135)</f>
        <v>0.46999999997206032</v>
      </c>
      <c r="N136" s="75"/>
      <c r="O136" s="210"/>
      <c r="P136" s="140"/>
      <c r="Q136" s="212">
        <f>+SUBTOTAL(9,Q134:Q135)</f>
        <v>1.881146834670383E-2</v>
      </c>
      <c r="R136" s="136"/>
      <c r="S136" s="177"/>
      <c r="T136" s="32"/>
      <c r="U136" s="262" t="s">
        <v>297</v>
      </c>
      <c r="W136" s="212">
        <v>0</v>
      </c>
      <c r="Y136" s="212">
        <f>+SUBTOTAL(9,Y134:Y135)</f>
        <v>1.881146834670383E-2</v>
      </c>
      <c r="AA136" s="198"/>
    </row>
    <row r="137" spans="1:27" x14ac:dyDescent="0.2">
      <c r="A137" s="26"/>
      <c r="B137" s="139"/>
      <c r="C137" s="28"/>
      <c r="D137" s="139"/>
      <c r="E137" s="20"/>
      <c r="F137" s="20"/>
      <c r="G137" s="222"/>
      <c r="H137" s="139"/>
      <c r="I137" s="212"/>
      <c r="J137" s="210"/>
      <c r="K137" s="210"/>
      <c r="L137" s="210"/>
      <c r="M137" s="210"/>
      <c r="N137" s="75"/>
      <c r="O137" s="180"/>
      <c r="P137" s="140"/>
      <c r="Q137" s="35"/>
      <c r="R137" s="140"/>
      <c r="S137" s="179"/>
      <c r="T137" s="32"/>
      <c r="U137" s="262"/>
      <c r="AA137" s="198"/>
    </row>
    <row r="138" spans="1:27" x14ac:dyDescent="0.2">
      <c r="A138" s="26">
        <v>331</v>
      </c>
      <c r="B138" s="139"/>
      <c r="C138" s="28" t="s">
        <v>35</v>
      </c>
      <c r="D138" s="139"/>
      <c r="E138" s="20"/>
      <c r="F138" s="20"/>
      <c r="G138" s="222"/>
      <c r="H138" s="139"/>
      <c r="I138" s="212"/>
      <c r="J138" s="210"/>
      <c r="K138" s="210"/>
      <c r="L138" s="210"/>
      <c r="M138" s="210"/>
      <c r="N138" s="75"/>
      <c r="O138" s="180"/>
      <c r="P138" s="140"/>
      <c r="Q138" s="35"/>
      <c r="R138" s="140"/>
      <c r="S138" s="179"/>
      <c r="T138" s="32"/>
      <c r="U138" s="262"/>
      <c r="AA138" s="198"/>
    </row>
    <row r="139" spans="1:27" x14ac:dyDescent="0.2">
      <c r="A139" s="26"/>
      <c r="B139" s="139"/>
      <c r="C139" s="28" t="s">
        <v>58</v>
      </c>
      <c r="D139" s="139"/>
      <c r="E139" s="20" t="str">
        <f>[1]KU!$I$32</f>
        <v>90 - S2</v>
      </c>
      <c r="F139" s="20" t="s">
        <v>64</v>
      </c>
      <c r="G139" s="222">
        <f>'SKM Prod NS Weighting'!Q19</f>
        <v>-6.0000000000000006E-4</v>
      </c>
      <c r="H139" s="139"/>
      <c r="I139" s="209">
        <v>616526.68999999994</v>
      </c>
      <c r="J139" s="210"/>
      <c r="K139" s="211">
        <v>353805</v>
      </c>
      <c r="L139" s="210"/>
      <c r="M139" s="237">
        <f t="shared" ref="M139" si="32">+((1-G139)*I139)-K139</f>
        <v>263091.6060139999</v>
      </c>
      <c r="N139" s="75"/>
      <c r="O139" s="227">
        <f>'[2]331 PL'!$E$94</f>
        <v>26.320516928318451</v>
      </c>
      <c r="P139" s="140"/>
      <c r="Q139" s="196">
        <f t="shared" ref="Q139" si="33">+M139/O139</f>
        <v>9995.6853708650979</v>
      </c>
      <c r="R139" s="136"/>
      <c r="S139" s="197">
        <f t="shared" ref="S139" si="34">+Q139/I139</f>
        <v>1.6212899673273024E-2</v>
      </c>
      <c r="T139" s="32"/>
      <c r="U139" s="262">
        <v>1.74</v>
      </c>
      <c r="W139" s="145">
        <v>10702</v>
      </c>
      <c r="Y139" s="157">
        <f t="shared" ref="Y139" si="35">Q139-W139</f>
        <v>-706.31462913490213</v>
      </c>
      <c r="AA139" s="198"/>
    </row>
    <row r="140" spans="1:27" x14ac:dyDescent="0.2">
      <c r="A140" s="26"/>
      <c r="B140" s="139"/>
      <c r="C140" s="28"/>
      <c r="D140" s="139"/>
      <c r="E140" s="20"/>
      <c r="F140" s="20"/>
      <c r="G140" s="222"/>
      <c r="H140" s="139"/>
      <c r="I140" s="212"/>
      <c r="J140" s="210"/>
      <c r="K140" s="210"/>
      <c r="L140" s="210"/>
      <c r="M140" s="210"/>
      <c r="N140" s="75"/>
      <c r="O140" s="180"/>
      <c r="P140" s="140"/>
      <c r="Q140" s="35"/>
      <c r="R140" s="140"/>
      <c r="S140" s="179"/>
      <c r="T140" s="32"/>
      <c r="U140" s="262"/>
      <c r="AA140" s="198"/>
    </row>
    <row r="141" spans="1:27" x14ac:dyDescent="0.2">
      <c r="A141" s="26"/>
      <c r="B141" s="139"/>
      <c r="C141" s="76" t="s">
        <v>66</v>
      </c>
      <c r="D141" s="139"/>
      <c r="E141" s="20"/>
      <c r="F141" s="20"/>
      <c r="G141" s="222"/>
      <c r="H141" s="139"/>
      <c r="I141" s="212">
        <f>I139</f>
        <v>616526.68999999994</v>
      </c>
      <c r="J141" s="210"/>
      <c r="K141" s="212">
        <f>K139</f>
        <v>353805</v>
      </c>
      <c r="L141" s="210"/>
      <c r="M141" s="212">
        <f>M139</f>
        <v>263091.6060139999</v>
      </c>
      <c r="N141" s="75"/>
      <c r="O141" s="180"/>
      <c r="P141" s="140"/>
      <c r="Q141" s="212">
        <f>Q139</f>
        <v>9995.6853708650979</v>
      </c>
      <c r="R141" s="136"/>
      <c r="S141" s="177"/>
      <c r="T141" s="32"/>
      <c r="U141" s="262">
        <v>1.74</v>
      </c>
      <c r="W141" s="212">
        <v>10702</v>
      </c>
      <c r="Y141" s="212">
        <f>Y139</f>
        <v>-706.31462913490213</v>
      </c>
      <c r="AA141" s="198"/>
    </row>
    <row r="142" spans="1:27" x14ac:dyDescent="0.2">
      <c r="A142" s="26"/>
      <c r="B142" s="139"/>
      <c r="C142" s="28"/>
      <c r="D142" s="139"/>
      <c r="E142" s="20"/>
      <c r="F142" s="20"/>
      <c r="G142" s="222"/>
      <c r="H142" s="139"/>
      <c r="I142" s="212"/>
      <c r="J142" s="210"/>
      <c r="K142" s="210"/>
      <c r="L142" s="210"/>
      <c r="M142" s="210"/>
      <c r="N142" s="75"/>
      <c r="O142" s="180"/>
      <c r="P142" s="140"/>
      <c r="Q142" s="35"/>
      <c r="R142" s="140"/>
      <c r="S142" s="179"/>
      <c r="T142" s="32"/>
      <c r="U142" s="262"/>
      <c r="AA142" s="198"/>
    </row>
    <row r="143" spans="1:27" x14ac:dyDescent="0.2">
      <c r="A143" s="26">
        <v>332</v>
      </c>
      <c r="B143" s="139"/>
      <c r="C143" s="57" t="s">
        <v>171</v>
      </c>
      <c r="D143" s="139"/>
      <c r="E143" s="56"/>
      <c r="F143" s="56"/>
      <c r="G143" s="224"/>
      <c r="H143" s="139"/>
      <c r="I143" s="212"/>
      <c r="J143" s="210"/>
      <c r="K143" s="210"/>
      <c r="L143" s="210"/>
      <c r="M143" s="210"/>
      <c r="N143" s="75"/>
      <c r="O143" s="180"/>
      <c r="P143" s="140"/>
      <c r="Q143" s="35"/>
      <c r="R143" s="140"/>
      <c r="S143" s="179"/>
      <c r="T143" s="32"/>
      <c r="U143" s="262"/>
      <c r="AA143" s="198"/>
    </row>
    <row r="144" spans="1:27" x14ac:dyDescent="0.2">
      <c r="A144" s="26"/>
      <c r="B144" s="139"/>
      <c r="C144" s="28" t="s">
        <v>58</v>
      </c>
      <c r="D144" s="139"/>
      <c r="E144" s="20" t="str">
        <f>[1]KU!$I$33</f>
        <v>156 R2.5</v>
      </c>
      <c r="F144" s="20" t="s">
        <v>64</v>
      </c>
      <c r="G144" s="222">
        <f>'SKM Prod NS Weighting'!Q20</f>
        <v>-1.6000000000000001E-3</v>
      </c>
      <c r="H144" s="139"/>
      <c r="I144" s="213">
        <v>21603969.66</v>
      </c>
      <c r="J144" s="214"/>
      <c r="K144" s="213">
        <v>6697620</v>
      </c>
      <c r="L144" s="214"/>
      <c r="M144" s="237">
        <f t="shared" ref="M144" si="36">+((1-G144)*I144)-K144</f>
        <v>14940916.011456002</v>
      </c>
      <c r="N144" s="111"/>
      <c r="O144" s="227">
        <f>'[2]332 PL'!$E$93</f>
        <v>29.505409110680514</v>
      </c>
      <c r="P144" s="140"/>
      <c r="Q144" s="196">
        <f t="shared" ref="Q144" si="37">+M144/O144</f>
        <v>506378.87973048358</v>
      </c>
      <c r="R144" s="136"/>
      <c r="S144" s="197">
        <f t="shared" ref="S144" si="38">+Q144/I144</f>
        <v>2.3439158992527652E-2</v>
      </c>
      <c r="T144" s="32"/>
      <c r="U144" s="262">
        <v>2.59</v>
      </c>
      <c r="W144" s="145">
        <v>558948</v>
      </c>
      <c r="Y144" s="157">
        <f t="shared" ref="Y144" si="39">Q144-W144</f>
        <v>-52569.120269516425</v>
      </c>
      <c r="AA144" s="198"/>
    </row>
    <row r="145" spans="1:27" x14ac:dyDescent="0.2">
      <c r="A145" s="26"/>
      <c r="B145" s="139"/>
      <c r="C145" s="28"/>
      <c r="D145" s="139"/>
      <c r="E145" s="20"/>
      <c r="F145" s="20"/>
      <c r="G145" s="222"/>
      <c r="H145" s="139"/>
      <c r="I145" s="212"/>
      <c r="J145" s="210"/>
      <c r="K145" s="210"/>
      <c r="L145" s="210"/>
      <c r="M145" s="210"/>
      <c r="N145" s="75"/>
      <c r="O145" s="180"/>
      <c r="P145" s="140"/>
      <c r="Q145" s="35"/>
      <c r="R145" s="140"/>
      <c r="S145" s="179"/>
      <c r="T145" s="32"/>
      <c r="U145" s="262"/>
      <c r="W145" s="152"/>
      <c r="AA145" s="198"/>
    </row>
    <row r="146" spans="1:27" x14ac:dyDescent="0.2">
      <c r="A146" s="26"/>
      <c r="B146" s="139"/>
      <c r="C146" s="115" t="s">
        <v>172</v>
      </c>
      <c r="D146" s="139"/>
      <c r="E146" s="20"/>
      <c r="F146" s="20"/>
      <c r="G146" s="222"/>
      <c r="H146" s="139"/>
      <c r="I146" s="212">
        <f>I144</f>
        <v>21603969.66</v>
      </c>
      <c r="J146" s="210"/>
      <c r="K146" s="212">
        <f>K144</f>
        <v>6697620</v>
      </c>
      <c r="L146" s="210"/>
      <c r="M146" s="212">
        <f>M144</f>
        <v>14940916.011456002</v>
      </c>
      <c r="N146" s="75"/>
      <c r="O146" s="180"/>
      <c r="P146" s="140"/>
      <c r="Q146" s="212">
        <f>Q144</f>
        <v>506378.87973048358</v>
      </c>
      <c r="R146" s="136"/>
      <c r="S146" s="177"/>
      <c r="T146" s="32"/>
      <c r="U146" s="262">
        <v>2.59</v>
      </c>
      <c r="W146" s="212">
        <v>558948</v>
      </c>
      <c r="Y146" s="212">
        <f>Y144</f>
        <v>-52569.120269516425</v>
      </c>
      <c r="AA146" s="198"/>
    </row>
    <row r="147" spans="1:27" x14ac:dyDescent="0.2">
      <c r="A147" s="26"/>
      <c r="B147" s="139"/>
      <c r="C147" s="28"/>
      <c r="D147" s="139"/>
      <c r="E147" s="20"/>
      <c r="F147" s="20"/>
      <c r="G147" s="222"/>
      <c r="H147" s="139"/>
      <c r="I147" s="212"/>
      <c r="J147" s="210"/>
      <c r="K147" s="210"/>
      <c r="L147" s="210"/>
      <c r="M147" s="210"/>
      <c r="N147" s="75"/>
      <c r="O147" s="180"/>
      <c r="P147" s="140"/>
      <c r="Q147" s="35"/>
      <c r="R147" s="140"/>
      <c r="S147" s="179"/>
      <c r="T147" s="32"/>
      <c r="U147" s="262"/>
      <c r="AA147" s="198"/>
    </row>
    <row r="148" spans="1:27" x14ac:dyDescent="0.2">
      <c r="A148" s="26">
        <v>333</v>
      </c>
      <c r="B148" s="139"/>
      <c r="C148" s="57" t="s">
        <v>173</v>
      </c>
      <c r="D148" s="139"/>
      <c r="E148" s="20"/>
      <c r="F148" s="20"/>
      <c r="G148" s="222"/>
      <c r="H148" s="139"/>
      <c r="I148" s="212"/>
      <c r="J148" s="210"/>
      <c r="K148" s="210"/>
      <c r="L148" s="210"/>
      <c r="M148" s="210"/>
      <c r="N148" s="75"/>
      <c r="O148" s="180"/>
      <c r="P148" s="140"/>
      <c r="Q148" s="35"/>
      <c r="R148" s="140"/>
      <c r="S148" s="179"/>
      <c r="T148" s="32"/>
      <c r="U148" s="262"/>
      <c r="AA148" s="198"/>
    </row>
    <row r="149" spans="1:27" x14ac:dyDescent="0.2">
      <c r="A149" s="26"/>
      <c r="B149" s="139"/>
      <c r="C149" s="28" t="s">
        <v>59</v>
      </c>
      <c r="D149" s="139"/>
      <c r="E149" s="20" t="str">
        <f>[1]KU!$I$34</f>
        <v>75 - S3</v>
      </c>
      <c r="F149" s="20" t="s">
        <v>64</v>
      </c>
      <c r="G149" s="222">
        <f>'SKM Prod NS Weighting'!Q21</f>
        <v>-1E-3</v>
      </c>
      <c r="H149" s="139"/>
      <c r="I149" s="213">
        <v>4430624.3099999996</v>
      </c>
      <c r="J149" s="214"/>
      <c r="K149" s="213">
        <v>19710</v>
      </c>
      <c r="L149" s="214"/>
      <c r="M149" s="237">
        <f t="shared" ref="M149" si="40">+((1-G149)*I149)-K149</f>
        <v>4415344.9343099995</v>
      </c>
      <c r="N149" s="111"/>
      <c r="O149" s="227">
        <f>'[2]333 PL'!$E$94</f>
        <v>29.09546634584725</v>
      </c>
      <c r="P149" s="140"/>
      <c r="Q149" s="196">
        <f t="shared" ref="Q149" si="41">+M149/O149</f>
        <v>151753.70904272152</v>
      </c>
      <c r="R149" s="136"/>
      <c r="S149" s="197">
        <f t="shared" ref="S149" si="42">+Q149/I149</f>
        <v>3.4251089332988725E-2</v>
      </c>
      <c r="T149" s="32"/>
      <c r="U149" s="262">
        <v>3.77</v>
      </c>
      <c r="W149" s="145">
        <v>166967</v>
      </c>
      <c r="Y149" s="157">
        <f t="shared" ref="Y149" si="43">Q149-W149</f>
        <v>-15213.290957278485</v>
      </c>
      <c r="AA149" s="198"/>
    </row>
    <row r="150" spans="1:27" x14ac:dyDescent="0.2">
      <c r="A150" s="26"/>
      <c r="B150" s="139"/>
      <c r="C150" s="28"/>
      <c r="D150" s="139"/>
      <c r="E150" s="20"/>
      <c r="F150" s="20"/>
      <c r="G150" s="222"/>
      <c r="H150" s="139"/>
      <c r="I150" s="212"/>
      <c r="J150" s="210"/>
      <c r="K150" s="210"/>
      <c r="L150" s="210"/>
      <c r="M150" s="210"/>
      <c r="N150" s="75"/>
      <c r="O150" s="180"/>
      <c r="P150" s="140"/>
      <c r="Q150" s="35"/>
      <c r="R150" s="140"/>
      <c r="S150" s="179"/>
      <c r="T150" s="32"/>
      <c r="U150" s="262"/>
      <c r="AA150" s="198"/>
    </row>
    <row r="151" spans="1:27" x14ac:dyDescent="0.2">
      <c r="A151" s="26"/>
      <c r="B151" s="139"/>
      <c r="C151" s="115" t="s">
        <v>174</v>
      </c>
      <c r="D151" s="139"/>
      <c r="E151" s="20"/>
      <c r="F151" s="20"/>
      <c r="G151" s="222"/>
      <c r="H151" s="139"/>
      <c r="I151" s="212">
        <f>I149</f>
        <v>4430624.3099999996</v>
      </c>
      <c r="J151" s="210"/>
      <c r="K151" s="212">
        <f>K149</f>
        <v>19710</v>
      </c>
      <c r="L151" s="210"/>
      <c r="M151" s="212">
        <f>M149</f>
        <v>4415344.9343099995</v>
      </c>
      <c r="N151" s="75"/>
      <c r="O151" s="180"/>
      <c r="P151" s="140"/>
      <c r="Q151" s="212">
        <f>Q149</f>
        <v>151753.70904272152</v>
      </c>
      <c r="R151" s="136"/>
      <c r="S151" s="177"/>
      <c r="T151" s="32"/>
      <c r="U151" s="262">
        <v>3.77</v>
      </c>
      <c r="W151" s="212">
        <v>166967</v>
      </c>
      <c r="Y151" s="134">
        <f>+SUBTOTAL(9,Y149:Y150)</f>
        <v>-15213.290957278485</v>
      </c>
      <c r="AA151" s="198"/>
    </row>
    <row r="152" spans="1:27" x14ac:dyDescent="0.2">
      <c r="A152" s="26"/>
      <c r="B152" s="139"/>
      <c r="C152" s="28"/>
      <c r="D152" s="139"/>
      <c r="E152" s="20"/>
      <c r="F152" s="20"/>
      <c r="G152" s="222"/>
      <c r="H152" s="139"/>
      <c r="I152" s="212"/>
      <c r="J152" s="210"/>
      <c r="K152" s="210"/>
      <c r="L152" s="210"/>
      <c r="M152" s="210"/>
      <c r="N152" s="75"/>
      <c r="O152" s="180"/>
      <c r="P152" s="140"/>
      <c r="Q152" s="35"/>
      <c r="R152" s="140"/>
      <c r="S152" s="179"/>
      <c r="T152" s="32"/>
      <c r="U152" s="262"/>
      <c r="AA152" s="198"/>
    </row>
    <row r="153" spans="1:27" x14ac:dyDescent="0.2">
      <c r="A153" s="26">
        <v>334</v>
      </c>
      <c r="B153" s="139"/>
      <c r="C153" s="28" t="s">
        <v>60</v>
      </c>
      <c r="D153" s="139"/>
      <c r="E153" s="20"/>
      <c r="F153" s="20"/>
      <c r="G153" s="222"/>
      <c r="H153" s="139"/>
      <c r="I153" s="212"/>
      <c r="J153" s="210"/>
      <c r="K153" s="210"/>
      <c r="L153" s="210"/>
      <c r="M153" s="210"/>
      <c r="N153" s="75"/>
      <c r="O153" s="180"/>
      <c r="P153" s="140"/>
      <c r="Q153" s="35"/>
      <c r="R153" s="140"/>
      <c r="S153" s="179"/>
      <c r="T153" s="32"/>
      <c r="U153" s="262"/>
      <c r="AA153" s="198"/>
    </row>
    <row r="154" spans="1:27" x14ac:dyDescent="0.2">
      <c r="A154" s="26"/>
      <c r="B154" s="139"/>
      <c r="C154" s="28" t="s">
        <v>59</v>
      </c>
      <c r="D154" s="139"/>
      <c r="E154" s="20" t="str">
        <f>[1]KU!$I$35</f>
        <v>40 - L2</v>
      </c>
      <c r="F154" s="20" t="s">
        <v>64</v>
      </c>
      <c r="G154" s="222">
        <f>'SKM Prod NS Weighting'!Q22</f>
        <v>0</v>
      </c>
      <c r="H154" s="139"/>
      <c r="I154" s="209">
        <v>578333.28</v>
      </c>
      <c r="J154" s="210"/>
      <c r="K154" s="211">
        <v>90045</v>
      </c>
      <c r="L154" s="210"/>
      <c r="M154" s="237">
        <f t="shared" ref="M154" si="44">+((1-G154)*I154)-K154</f>
        <v>488288.28</v>
      </c>
      <c r="N154" s="75"/>
      <c r="O154" s="227">
        <f>'[2]334 PL'!$E$94</f>
        <v>24.25493511246594</v>
      </c>
      <c r="P154" s="140"/>
      <c r="Q154" s="196">
        <f t="shared" ref="Q154" si="45">+M154/O154</f>
        <v>20131.502217420566</v>
      </c>
      <c r="R154" s="136"/>
      <c r="S154" s="197">
        <f t="shared" ref="S154" si="46">+Q154/I154</f>
        <v>3.4809517130711488E-2</v>
      </c>
      <c r="T154" s="32"/>
      <c r="U154" s="262">
        <v>3.65</v>
      </c>
      <c r="W154" s="145">
        <v>21138</v>
      </c>
      <c r="Y154" s="157">
        <f t="shared" ref="Y154" si="47">Q154-W154</f>
        <v>-1006.497782579434</v>
      </c>
      <c r="AA154" s="198"/>
    </row>
    <row r="155" spans="1:27" x14ac:dyDescent="0.2">
      <c r="A155" s="26"/>
      <c r="B155" s="139"/>
      <c r="C155" s="28"/>
      <c r="D155" s="139"/>
      <c r="E155" s="20"/>
      <c r="F155" s="20"/>
      <c r="G155" s="222"/>
      <c r="H155" s="139"/>
      <c r="I155" s="212"/>
      <c r="J155" s="210"/>
      <c r="K155" s="210"/>
      <c r="L155" s="210"/>
      <c r="M155" s="210"/>
      <c r="N155" s="75"/>
      <c r="O155" s="180"/>
      <c r="P155" s="140"/>
      <c r="Q155" s="35"/>
      <c r="R155" s="140"/>
      <c r="S155" s="179"/>
      <c r="T155" s="32"/>
      <c r="U155" s="262"/>
      <c r="AA155" s="198"/>
    </row>
    <row r="156" spans="1:27" x14ac:dyDescent="0.2">
      <c r="A156" s="26"/>
      <c r="B156" s="139"/>
      <c r="C156" s="76" t="s">
        <v>67</v>
      </c>
      <c r="D156" s="139"/>
      <c r="E156" s="20"/>
      <c r="F156" s="20"/>
      <c r="G156" s="222"/>
      <c r="H156" s="139"/>
      <c r="I156" s="212">
        <f>I154</f>
        <v>578333.28</v>
      </c>
      <c r="J156" s="210"/>
      <c r="K156" s="212">
        <f>K154</f>
        <v>90045</v>
      </c>
      <c r="L156" s="210"/>
      <c r="M156" s="212">
        <f>M154</f>
        <v>488288.28</v>
      </c>
      <c r="N156" s="75"/>
      <c r="O156" s="180"/>
      <c r="P156" s="140"/>
      <c r="Q156" s="212">
        <f>Q154</f>
        <v>20131.502217420566</v>
      </c>
      <c r="R156" s="136"/>
      <c r="S156" s="177"/>
      <c r="T156" s="32"/>
      <c r="U156" s="262">
        <v>3.65</v>
      </c>
      <c r="W156" s="212">
        <v>21138</v>
      </c>
      <c r="Y156" s="134">
        <f>+SUBTOTAL(9,Y154:Y155)</f>
        <v>-1006.497782579434</v>
      </c>
      <c r="AA156" s="198"/>
    </row>
    <row r="157" spans="1:27" x14ac:dyDescent="0.2">
      <c r="A157" s="26"/>
      <c r="B157" s="139"/>
      <c r="C157" s="28"/>
      <c r="D157" s="139"/>
      <c r="E157" s="20"/>
      <c r="F157" s="20"/>
      <c r="G157" s="222"/>
      <c r="H157" s="139"/>
      <c r="I157" s="212"/>
      <c r="J157" s="210"/>
      <c r="K157" s="210"/>
      <c r="L157" s="210"/>
      <c r="M157" s="210"/>
      <c r="N157" s="75"/>
      <c r="O157" s="180"/>
      <c r="P157" s="140"/>
      <c r="Q157" s="35"/>
      <c r="R157" s="140"/>
      <c r="S157" s="179"/>
      <c r="T157" s="32"/>
      <c r="U157" s="262"/>
      <c r="AA157" s="198"/>
    </row>
    <row r="158" spans="1:27" x14ac:dyDescent="0.2">
      <c r="A158" s="26">
        <v>335</v>
      </c>
      <c r="B158" s="139"/>
      <c r="C158" s="28" t="s">
        <v>69</v>
      </c>
      <c r="D158" s="139"/>
      <c r="E158" s="20"/>
      <c r="F158" s="20"/>
      <c r="G158" s="222"/>
      <c r="H158" s="139"/>
      <c r="I158" s="212"/>
      <c r="J158" s="210"/>
      <c r="K158" s="210"/>
      <c r="L158" s="210"/>
      <c r="M158" s="210"/>
      <c r="N158" s="75"/>
      <c r="O158" s="180"/>
      <c r="P158" s="140"/>
      <c r="Q158" s="35"/>
      <c r="R158" s="140"/>
      <c r="S158" s="179"/>
      <c r="T158" s="32"/>
      <c r="U158" s="262"/>
      <c r="AA158" s="198"/>
    </row>
    <row r="159" spans="1:27" x14ac:dyDescent="0.2">
      <c r="A159" s="26"/>
      <c r="B159" s="139"/>
      <c r="C159" s="28" t="s">
        <v>59</v>
      </c>
      <c r="D159" s="139"/>
      <c r="E159" s="20" t="str">
        <f>[1]KU!$I$36</f>
        <v>82.0 - 04</v>
      </c>
      <c r="F159" s="20" t="s">
        <v>64</v>
      </c>
      <c r="G159" s="222">
        <f>'SKM Prod NS Weighting'!Q23</f>
        <v>-1.9300000000000001E-2</v>
      </c>
      <c r="H159" s="139"/>
      <c r="I159" s="209">
        <v>297023.86</v>
      </c>
      <c r="J159" s="210"/>
      <c r="K159" s="211">
        <v>85989</v>
      </c>
      <c r="L159" s="210"/>
      <c r="M159" s="237">
        <f t="shared" ref="M159" si="48">+((1-G159)*I159)-K159</f>
        <v>216767.42049799999</v>
      </c>
      <c r="N159" s="75"/>
      <c r="O159" s="227">
        <f>'[2]335 PL'!$E$94</f>
        <v>23.64032503191288</v>
      </c>
      <c r="P159" s="140"/>
      <c r="Q159" s="196">
        <f t="shared" ref="Q159" si="49">+M159/O159</f>
        <v>9169.3925614549826</v>
      </c>
      <c r="R159" s="136"/>
      <c r="S159" s="197">
        <f t="shared" ref="S159" si="50">+Q159/I159</f>
        <v>3.0870895561908671E-2</v>
      </c>
      <c r="T159" s="32"/>
      <c r="U159" s="262">
        <v>4.5599999999999996</v>
      </c>
      <c r="W159" s="145">
        <v>13551</v>
      </c>
      <c r="Y159" s="157">
        <f t="shared" ref="Y159" si="51">Q159-W159</f>
        <v>-4381.6074385450174</v>
      </c>
      <c r="AA159" s="198"/>
    </row>
    <row r="160" spans="1:27" x14ac:dyDescent="0.2">
      <c r="A160" s="26"/>
      <c r="B160" s="139"/>
      <c r="C160" s="28"/>
      <c r="D160" s="139"/>
      <c r="E160" s="20"/>
      <c r="F160" s="20"/>
      <c r="G160" s="222"/>
      <c r="H160" s="139"/>
      <c r="I160" s="212"/>
      <c r="J160" s="210"/>
      <c r="K160" s="210"/>
      <c r="L160" s="210"/>
      <c r="M160" s="210"/>
      <c r="N160" s="75"/>
      <c r="O160" s="180"/>
      <c r="P160" s="140"/>
      <c r="Q160" s="35"/>
      <c r="R160" s="140"/>
      <c r="S160" s="179"/>
      <c r="T160" s="32"/>
      <c r="U160" s="262"/>
      <c r="AA160" s="198"/>
    </row>
    <row r="161" spans="1:27" x14ac:dyDescent="0.2">
      <c r="A161" s="26"/>
      <c r="B161" s="139"/>
      <c r="C161" s="76" t="s">
        <v>68</v>
      </c>
      <c r="D161" s="139"/>
      <c r="E161" s="20"/>
      <c r="F161" s="20"/>
      <c r="G161" s="222"/>
      <c r="H161" s="139"/>
      <c r="I161" s="212">
        <f>I159</f>
        <v>297023.86</v>
      </c>
      <c r="J161" s="210"/>
      <c r="K161" s="212">
        <f>K159</f>
        <v>85989</v>
      </c>
      <c r="L161" s="210"/>
      <c r="M161" s="212">
        <f>M159</f>
        <v>216767.42049799999</v>
      </c>
      <c r="N161" s="75"/>
      <c r="O161" s="180"/>
      <c r="P161" s="140"/>
      <c r="Q161" s="212">
        <f>Q159</f>
        <v>9169.3925614549826</v>
      </c>
      <c r="R161" s="136"/>
      <c r="S161" s="177"/>
      <c r="T161" s="32"/>
      <c r="U161" s="262">
        <v>4.5599999999999996</v>
      </c>
      <c r="W161" s="212">
        <v>13551</v>
      </c>
      <c r="Y161" s="134">
        <f>+SUBTOTAL(9,Y159:Y160)</f>
        <v>-4381.6074385450174</v>
      </c>
      <c r="AA161" s="198"/>
    </row>
    <row r="162" spans="1:27" x14ac:dyDescent="0.2">
      <c r="A162" s="26"/>
      <c r="B162" s="139"/>
      <c r="C162" s="28"/>
      <c r="D162" s="139"/>
      <c r="E162" s="20"/>
      <c r="F162" s="20"/>
      <c r="G162" s="222"/>
      <c r="H162" s="139"/>
      <c r="I162" s="212"/>
      <c r="J162" s="210"/>
      <c r="K162" s="210"/>
      <c r="L162" s="210"/>
      <c r="M162" s="210"/>
      <c r="N162" s="75"/>
      <c r="O162" s="180"/>
      <c r="P162" s="140"/>
      <c r="Q162" s="35"/>
      <c r="R162" s="140"/>
      <c r="S162" s="179"/>
      <c r="T162" s="32"/>
      <c r="U162" s="263"/>
      <c r="AA162" s="198"/>
    </row>
    <row r="163" spans="1:27" x14ac:dyDescent="0.2">
      <c r="A163" s="26">
        <v>336</v>
      </c>
      <c r="B163" s="139"/>
      <c r="C163" s="57" t="s">
        <v>175</v>
      </c>
      <c r="D163" s="139"/>
      <c r="E163" s="20"/>
      <c r="F163" s="20"/>
      <c r="G163" s="222"/>
      <c r="H163" s="139"/>
      <c r="I163" s="212"/>
      <c r="J163" s="210"/>
      <c r="K163" s="210"/>
      <c r="L163" s="210"/>
      <c r="M163" s="210"/>
      <c r="N163" s="75"/>
      <c r="O163" s="180"/>
      <c r="P163" s="140"/>
      <c r="Q163" s="35"/>
      <c r="R163" s="140"/>
      <c r="S163" s="179"/>
      <c r="T163" s="32"/>
      <c r="U163" s="262"/>
      <c r="AA163" s="198"/>
    </row>
    <row r="164" spans="1:27" s="25" customFormat="1" x14ac:dyDescent="0.2">
      <c r="A164" s="79"/>
      <c r="B164" s="72"/>
      <c r="C164" s="28" t="s">
        <v>58</v>
      </c>
      <c r="D164" s="72"/>
      <c r="E164" s="80" t="str">
        <f>[1]KU!$I$37</f>
        <v>87 - S5</v>
      </c>
      <c r="F164" s="20" t="s">
        <v>64</v>
      </c>
      <c r="G164" s="222">
        <f>'SKM Prod NS Weighting'!Q24</f>
        <v>0</v>
      </c>
      <c r="H164" s="72"/>
      <c r="I164" s="209">
        <v>176359.59</v>
      </c>
      <c r="J164" s="210"/>
      <c r="K164" s="211">
        <v>49946</v>
      </c>
      <c r="L164" s="210"/>
      <c r="M164" s="237">
        <f t="shared" ref="M164" si="52">+((1-G164)*I164)-K164</f>
        <v>126413.59</v>
      </c>
      <c r="N164" s="75"/>
      <c r="O164" s="227">
        <f>'[2]336 PL'!$E$94</f>
        <v>26.475316309031719</v>
      </c>
      <c r="P164" s="181"/>
      <c r="Q164" s="196">
        <f t="shared" ref="Q164" si="53">+M164/O164</f>
        <v>4774.7716599282176</v>
      </c>
      <c r="R164" s="136"/>
      <c r="S164" s="197">
        <f t="shared" ref="S164" si="54">+Q164/I164</f>
        <v>2.7074068724747078E-2</v>
      </c>
      <c r="T164" s="54"/>
      <c r="U164" s="262">
        <v>4.1900000000000004</v>
      </c>
      <c r="W164" s="145">
        <v>7394</v>
      </c>
      <c r="X164" s="138"/>
      <c r="Y164" s="157">
        <f t="shared" ref="Y164" si="55">Q164-W164</f>
        <v>-2619.2283400717824</v>
      </c>
      <c r="AA164" s="198"/>
    </row>
    <row r="165" spans="1:27" x14ac:dyDescent="0.2">
      <c r="A165" s="26"/>
      <c r="B165" s="139"/>
      <c r="C165" s="28"/>
      <c r="D165" s="139"/>
      <c r="E165" s="20"/>
      <c r="F165" s="20"/>
      <c r="G165" s="222"/>
      <c r="H165" s="139"/>
      <c r="I165" s="212"/>
      <c r="J165" s="210"/>
      <c r="K165" s="210"/>
      <c r="L165" s="210"/>
      <c r="M165" s="210"/>
      <c r="N165" s="75"/>
      <c r="O165" s="180"/>
      <c r="P165" s="140"/>
      <c r="Q165" s="35"/>
      <c r="R165" s="140"/>
      <c r="S165" s="179"/>
      <c r="T165" s="32"/>
      <c r="U165" s="262"/>
      <c r="AA165" s="198"/>
    </row>
    <row r="166" spans="1:27" ht="15.75" x14ac:dyDescent="0.25">
      <c r="A166" s="26"/>
      <c r="B166" s="139"/>
      <c r="C166" s="76" t="s">
        <v>61</v>
      </c>
      <c r="D166" s="139"/>
      <c r="E166" s="20"/>
      <c r="F166" s="20"/>
      <c r="G166" s="222"/>
      <c r="H166" s="139"/>
      <c r="I166" s="209">
        <f>I164</f>
        <v>176359.59</v>
      </c>
      <c r="J166" s="210"/>
      <c r="K166" s="209">
        <f>K164</f>
        <v>49946</v>
      </c>
      <c r="L166" s="210"/>
      <c r="M166" s="209">
        <f>M164</f>
        <v>126413.59</v>
      </c>
      <c r="N166" s="75"/>
      <c r="O166" s="180"/>
      <c r="P166" s="140"/>
      <c r="Q166" s="209">
        <f>Q164</f>
        <v>4774.7716599282176</v>
      </c>
      <c r="R166" s="136"/>
      <c r="S166" s="177"/>
      <c r="T166" s="32"/>
      <c r="U166" s="264">
        <v>4.1900000000000004</v>
      </c>
      <c r="W166" s="209">
        <v>7394</v>
      </c>
      <c r="Y166" s="133">
        <f>+SUBTOTAL(9,Y164:Y165)</f>
        <v>-2619.2283400717824</v>
      </c>
      <c r="AA166" s="198"/>
    </row>
    <row r="167" spans="1:27" x14ac:dyDescent="0.2">
      <c r="A167" s="26"/>
      <c r="B167" s="139"/>
      <c r="C167" s="28"/>
      <c r="D167" s="139"/>
      <c r="E167" s="20"/>
      <c r="F167" s="20"/>
      <c r="G167" s="222"/>
      <c r="H167" s="139"/>
      <c r="I167" s="212"/>
      <c r="J167" s="210"/>
      <c r="K167" s="210"/>
      <c r="L167" s="210"/>
      <c r="M167" s="210"/>
      <c r="N167" s="75"/>
      <c r="O167" s="180"/>
      <c r="P167" s="140"/>
      <c r="Q167" s="35"/>
      <c r="R167" s="140"/>
      <c r="S167" s="179"/>
      <c r="T167" s="32"/>
      <c r="U167" s="262"/>
      <c r="AA167" s="198"/>
    </row>
    <row r="168" spans="1:27" s="24" customFormat="1" ht="15.75" x14ac:dyDescent="0.25">
      <c r="A168" s="82"/>
      <c r="B168" s="83"/>
      <c r="C168" s="64" t="s">
        <v>188</v>
      </c>
      <c r="D168" s="83"/>
      <c r="E168" s="85"/>
      <c r="F168" s="85"/>
      <c r="G168" s="225"/>
      <c r="H168" s="83"/>
      <c r="I168" s="203">
        <f>SUM(I166,I161,I156,I151,I146,I141,I136)</f>
        <v>28582148.859999999</v>
      </c>
      <c r="J168" s="215"/>
      <c r="K168" s="203">
        <f>SUM(K166,K161,K156,K151,K146,K141,K136)</f>
        <v>8176426</v>
      </c>
      <c r="L168" s="215"/>
      <c r="M168" s="203">
        <f>SUM(M166,M161,M156,M151,M146,M141,M136)</f>
        <v>20450822.312277999</v>
      </c>
      <c r="N168" s="84"/>
      <c r="O168" s="182"/>
      <c r="P168" s="183"/>
      <c r="Q168" s="203">
        <f>SUM(Q166,Q161,Q156,Q151,Q146,Q141,Q136)</f>
        <v>702203.95939434227</v>
      </c>
      <c r="R168" s="140"/>
      <c r="S168" s="197">
        <f t="shared" ref="S168" si="56">+Q168/I168</f>
        <v>2.4567920446914301E-2</v>
      </c>
      <c r="T168" s="112"/>
      <c r="U168" s="262">
        <v>2.72</v>
      </c>
      <c r="W168" s="203">
        <v>778700</v>
      </c>
      <c r="X168" s="137"/>
      <c r="Y168" s="203">
        <f>SUM(Y166,Y161,Y156,Y151,Y146,Y141,Y136)</f>
        <v>-76496.04060565769</v>
      </c>
      <c r="Z168" s="259">
        <f>+Y168</f>
        <v>-76496.04060565769</v>
      </c>
      <c r="AA168" s="198"/>
    </row>
    <row r="169" spans="1:27" ht="15.75" x14ac:dyDescent="0.25">
      <c r="A169" s="26"/>
      <c r="B169" s="139"/>
      <c r="C169" s="28"/>
      <c r="D169" s="139"/>
      <c r="E169" s="20"/>
      <c r="F169" s="20"/>
      <c r="G169" s="222"/>
      <c r="H169" s="139"/>
      <c r="I169" s="200"/>
      <c r="J169" s="204"/>
      <c r="K169" s="204"/>
      <c r="L169" s="204"/>
      <c r="M169" s="204"/>
      <c r="N169" s="31"/>
      <c r="O169" s="178"/>
      <c r="P169" s="140"/>
      <c r="Q169" s="35"/>
      <c r="R169" s="140"/>
      <c r="S169" s="179"/>
      <c r="T169" s="32"/>
      <c r="U169" s="262"/>
      <c r="AA169" s="198"/>
    </row>
    <row r="170" spans="1:27" x14ac:dyDescent="0.2">
      <c r="A170" s="26"/>
      <c r="B170" s="139"/>
      <c r="C170" s="87"/>
      <c r="D170" s="139"/>
      <c r="E170" s="20"/>
      <c r="F170" s="20"/>
      <c r="G170" s="222"/>
      <c r="H170" s="139"/>
      <c r="I170" s="200"/>
      <c r="J170" s="205"/>
      <c r="K170" s="201"/>
      <c r="L170" s="201"/>
      <c r="M170" s="201"/>
      <c r="N170" s="34"/>
      <c r="O170" s="41"/>
      <c r="P170" s="140"/>
      <c r="Q170" s="35"/>
      <c r="R170" s="140"/>
      <c r="S170" s="179"/>
      <c r="T170" s="32"/>
      <c r="U170" s="262"/>
      <c r="AA170" s="198"/>
    </row>
    <row r="171" spans="1:27" ht="15.75" x14ac:dyDescent="0.25">
      <c r="A171" s="26"/>
      <c r="B171" s="32"/>
      <c r="C171" s="53" t="s">
        <v>34</v>
      </c>
      <c r="D171" s="32"/>
      <c r="E171" s="20"/>
      <c r="F171" s="20"/>
      <c r="G171" s="222"/>
      <c r="H171" s="32"/>
      <c r="I171" s="200"/>
      <c r="J171" s="201"/>
      <c r="K171" s="201"/>
      <c r="L171" s="201"/>
      <c r="M171" s="201"/>
      <c r="N171" s="34"/>
      <c r="O171" s="41"/>
      <c r="P171" s="42"/>
      <c r="Q171" s="35"/>
      <c r="R171" s="140"/>
      <c r="S171" s="179"/>
      <c r="T171" s="32"/>
      <c r="U171" s="265"/>
      <c r="AA171" s="198"/>
    </row>
    <row r="172" spans="1:27" s="139" customFormat="1" x14ac:dyDescent="0.2">
      <c r="A172" s="26"/>
      <c r="C172" s="33"/>
      <c r="E172" s="20"/>
      <c r="F172" s="20"/>
      <c r="G172" s="222"/>
      <c r="I172" s="200"/>
      <c r="J172" s="205"/>
      <c r="K172" s="201"/>
      <c r="L172" s="201"/>
      <c r="M172" s="201"/>
      <c r="N172" s="34"/>
      <c r="O172" s="41"/>
      <c r="P172" s="140"/>
      <c r="Q172" s="35"/>
      <c r="R172" s="140"/>
      <c r="S172" s="179"/>
      <c r="T172" s="32"/>
      <c r="U172" s="265"/>
      <c r="W172" s="150"/>
      <c r="Y172" s="153"/>
      <c r="AA172" s="198"/>
    </row>
    <row r="173" spans="1:27" s="140" customFormat="1" x14ac:dyDescent="0.2">
      <c r="A173" s="35">
        <v>340.1</v>
      </c>
      <c r="C173" s="37" t="s">
        <v>91</v>
      </c>
      <c r="E173" s="38"/>
      <c r="F173" s="38"/>
      <c r="G173" s="226"/>
      <c r="I173" s="207"/>
      <c r="J173" s="216"/>
      <c r="K173" s="217"/>
      <c r="L173" s="217"/>
      <c r="M173" s="217"/>
      <c r="N173" s="41"/>
      <c r="O173" s="41"/>
      <c r="Q173" s="35"/>
      <c r="S173" s="179"/>
      <c r="T173" s="42"/>
      <c r="U173" s="265"/>
      <c r="W173" s="151"/>
      <c r="Y173" s="156"/>
      <c r="AA173" s="198"/>
    </row>
    <row r="174" spans="1:27" s="136" customFormat="1" x14ac:dyDescent="0.2">
      <c r="A174" s="35"/>
      <c r="B174" s="140"/>
      <c r="C174" s="88" t="s">
        <v>190</v>
      </c>
      <c r="D174" s="140"/>
      <c r="E174" s="38" t="str">
        <f>[1]KU!$I$41</f>
        <v>93.9 - 04</v>
      </c>
      <c r="F174" s="20" t="s">
        <v>64</v>
      </c>
      <c r="G174" s="226">
        <v>0</v>
      </c>
      <c r="H174" s="140"/>
      <c r="I174" s="202">
        <v>176409.31</v>
      </c>
      <c r="J174" s="216"/>
      <c r="K174" s="208">
        <v>99438</v>
      </c>
      <c r="L174" s="217"/>
      <c r="M174" s="237">
        <f t="shared" ref="M174" si="57">+((1-G174)*I174)-K174</f>
        <v>76971.31</v>
      </c>
      <c r="N174" s="41"/>
      <c r="O174" s="221">
        <f>'[2]340.10 PL'!$E$41</f>
        <v>13.384458212610225</v>
      </c>
      <c r="P174" s="140"/>
      <c r="Q174" s="196">
        <f t="shared" ref="Q174" si="58">+M174/O174</f>
        <v>5750.7975875692264</v>
      </c>
      <c r="S174" s="197">
        <f t="shared" ref="S174" si="59">+Q174/I174</f>
        <v>3.2599172841667065E-2</v>
      </c>
      <c r="T174" s="42"/>
      <c r="U174" s="265">
        <v>2.2400000000000002</v>
      </c>
      <c r="W174" s="145">
        <v>3947</v>
      </c>
      <c r="Y174" s="157">
        <f t="shared" ref="Y174" si="60">Q174-W174</f>
        <v>1803.7975875692264</v>
      </c>
      <c r="AA174" s="198"/>
    </row>
    <row r="175" spans="1:27" s="136" customFormat="1" x14ac:dyDescent="0.2">
      <c r="A175" s="35"/>
      <c r="B175" s="140"/>
      <c r="C175" s="37"/>
      <c r="D175" s="140"/>
      <c r="E175" s="38"/>
      <c r="F175" s="38"/>
      <c r="G175" s="226"/>
      <c r="H175" s="140"/>
      <c r="I175" s="207"/>
      <c r="J175" s="216"/>
      <c r="K175" s="217"/>
      <c r="L175" s="217"/>
      <c r="M175" s="217"/>
      <c r="N175" s="41"/>
      <c r="O175" s="41"/>
      <c r="P175" s="140"/>
      <c r="Q175" s="35"/>
      <c r="R175" s="140"/>
      <c r="S175" s="179"/>
      <c r="T175" s="42"/>
      <c r="U175" s="265"/>
      <c r="W175" s="152"/>
      <c r="Y175" s="157"/>
      <c r="AA175" s="198"/>
    </row>
    <row r="176" spans="1:27" s="136" customFormat="1" x14ac:dyDescent="0.2">
      <c r="A176" s="35"/>
      <c r="B176" s="140"/>
      <c r="C176" s="89" t="s">
        <v>89</v>
      </c>
      <c r="D176" s="140"/>
      <c r="E176" s="38"/>
      <c r="F176" s="38"/>
      <c r="G176" s="226"/>
      <c r="H176" s="140"/>
      <c r="I176" s="212">
        <f>SUM(I174)</f>
        <v>176409.31</v>
      </c>
      <c r="J176" s="210"/>
      <c r="K176" s="212">
        <f>SUM(K174)</f>
        <v>99438</v>
      </c>
      <c r="L176" s="210"/>
      <c r="M176" s="212">
        <f>SUM(M174)</f>
        <v>76971.31</v>
      </c>
      <c r="N176" s="75"/>
      <c r="O176" s="180"/>
      <c r="P176" s="140"/>
      <c r="Q176" s="212">
        <f>SUM(Q174)</f>
        <v>5750.7975875692264</v>
      </c>
      <c r="S176" s="177"/>
      <c r="T176" s="42"/>
      <c r="U176" s="262">
        <v>2.2400000000000002</v>
      </c>
      <c r="W176" s="212">
        <v>3947</v>
      </c>
      <c r="Y176" s="212">
        <f>SUM(Y174)</f>
        <v>1803.7975875692264</v>
      </c>
      <c r="AA176" s="198"/>
    </row>
    <row r="177" spans="1:27" s="136" customFormat="1" x14ac:dyDescent="0.2">
      <c r="A177" s="35"/>
      <c r="B177" s="140"/>
      <c r="C177" s="37"/>
      <c r="D177" s="140"/>
      <c r="E177" s="38"/>
      <c r="F177" s="38"/>
      <c r="G177" s="226"/>
      <c r="H177" s="140"/>
      <c r="I177" s="207"/>
      <c r="J177" s="216"/>
      <c r="K177" s="217"/>
      <c r="L177" s="217"/>
      <c r="M177" s="217"/>
      <c r="N177" s="41"/>
      <c r="O177" s="41"/>
      <c r="P177" s="140"/>
      <c r="Q177" s="35"/>
      <c r="R177" s="140"/>
      <c r="S177" s="179"/>
      <c r="T177" s="42"/>
      <c r="U177" s="262"/>
      <c r="W177" s="152"/>
      <c r="Y177" s="157"/>
      <c r="AA177" s="198"/>
    </row>
    <row r="178" spans="1:27" x14ac:dyDescent="0.2">
      <c r="A178" s="26">
        <v>341</v>
      </c>
      <c r="B178" s="139"/>
      <c r="C178" s="63" t="s">
        <v>35</v>
      </c>
      <c r="D178" s="139"/>
      <c r="E178" s="56"/>
      <c r="F178" s="56"/>
      <c r="G178" s="224"/>
      <c r="H178" s="139"/>
      <c r="I178" s="200"/>
      <c r="J178" s="205"/>
      <c r="K178" s="201"/>
      <c r="L178" s="201"/>
      <c r="M178" s="201"/>
      <c r="N178" s="34"/>
      <c r="O178" s="41"/>
      <c r="P178" s="140"/>
      <c r="Q178" s="35"/>
      <c r="R178" s="140"/>
      <c r="S178" s="179"/>
      <c r="T178" s="32"/>
      <c r="U178" s="262"/>
      <c r="AA178" s="198"/>
    </row>
    <row r="179" spans="1:27" x14ac:dyDescent="0.2">
      <c r="A179" s="26"/>
      <c r="B179" s="139"/>
      <c r="C179" s="58" t="s">
        <v>113</v>
      </c>
      <c r="D179" s="139"/>
      <c r="E179" s="20" t="str">
        <f>[1]KU!$I$42</f>
        <v>263 - 01</v>
      </c>
      <c r="F179" s="20" t="s">
        <v>64</v>
      </c>
      <c r="G179" s="222">
        <f>'SKM Prod NS Weighting'!Q28</f>
        <v>0</v>
      </c>
      <c r="H179" s="139"/>
      <c r="I179" s="200">
        <v>3740231.32</v>
      </c>
      <c r="J179" s="200"/>
      <c r="K179" s="200">
        <v>1170949</v>
      </c>
      <c r="L179" s="200"/>
      <c r="M179" s="237">
        <f t="shared" ref="M179:M193" si="61">+((1-G179)*I179)-K179</f>
        <v>2569282.3199999998</v>
      </c>
      <c r="N179" s="45"/>
      <c r="O179" s="227">
        <f>'[2]341 PL'!$E$41</f>
        <v>19.592445205203227</v>
      </c>
      <c r="P179" s="140"/>
      <c r="Q179" s="196">
        <f t="shared" ref="Q179:Q193" si="62">+M179/O179</f>
        <v>131136.37900172191</v>
      </c>
      <c r="R179" s="136"/>
      <c r="S179" s="197">
        <f t="shared" ref="S179:S193" si="63">+Q179/I179</f>
        <v>3.5061034407284176E-2</v>
      </c>
      <c r="T179" s="32"/>
      <c r="U179" s="262">
        <v>3.87</v>
      </c>
      <c r="W179" s="145">
        <v>144756</v>
      </c>
      <c r="Y179" s="157">
        <f t="shared" ref="Y179:Y193" si="64">Q179-W179</f>
        <v>-13619.620998278086</v>
      </c>
      <c r="AA179" s="198"/>
    </row>
    <row r="180" spans="1:27" x14ac:dyDescent="0.2">
      <c r="A180" s="26"/>
      <c r="B180" s="139"/>
      <c r="C180" s="58" t="s">
        <v>114</v>
      </c>
      <c r="D180" s="139"/>
      <c r="E180" s="20" t="str">
        <f>[1]KU!$I$42</f>
        <v>263 - 01</v>
      </c>
      <c r="F180" s="20" t="s">
        <v>64</v>
      </c>
      <c r="G180" s="222">
        <f>'SKM Prod NS Weighting'!Q29</f>
        <v>-6.3E-3</v>
      </c>
      <c r="H180" s="139"/>
      <c r="I180" s="200">
        <v>3588684.24</v>
      </c>
      <c r="J180" s="200"/>
      <c r="K180" s="200">
        <v>1130371</v>
      </c>
      <c r="L180" s="200"/>
      <c r="M180" s="237">
        <f t="shared" si="61"/>
        <v>2480921.950712</v>
      </c>
      <c r="N180" s="45"/>
      <c r="O180" s="227">
        <f>'[2]341 PL'!$E$41</f>
        <v>19.592445205203227</v>
      </c>
      <c r="P180" s="140"/>
      <c r="Q180" s="196">
        <f t="shared" si="62"/>
        <v>126626.45855215324</v>
      </c>
      <c r="R180" s="136"/>
      <c r="S180" s="197">
        <f t="shared" si="63"/>
        <v>3.5284926196837318E-2</v>
      </c>
      <c r="T180" s="32"/>
      <c r="U180" s="262">
        <v>3.86</v>
      </c>
      <c r="W180" s="145">
        <v>138671</v>
      </c>
      <c r="Y180" s="157">
        <f t="shared" si="64"/>
        <v>-12044.541447846757</v>
      </c>
      <c r="AA180" s="198"/>
    </row>
    <row r="181" spans="1:27" x14ac:dyDescent="0.2">
      <c r="A181" s="26"/>
      <c r="B181" s="139"/>
      <c r="C181" s="58" t="s">
        <v>115</v>
      </c>
      <c r="D181" s="139"/>
      <c r="E181" s="20" t="str">
        <f>[1]KU!$I$42</f>
        <v>263 - 01</v>
      </c>
      <c r="F181" s="20" t="s">
        <v>64</v>
      </c>
      <c r="G181" s="222">
        <f>'SKM Prod NS Weighting'!Q30</f>
        <v>-6.8000000000000005E-3</v>
      </c>
      <c r="H181" s="139"/>
      <c r="I181" s="200">
        <v>3559154.97</v>
      </c>
      <c r="J181" s="200"/>
      <c r="K181" s="200">
        <v>909260</v>
      </c>
      <c r="L181" s="200"/>
      <c r="M181" s="237">
        <f t="shared" si="61"/>
        <v>2674097.2237959998</v>
      </c>
      <c r="N181" s="45"/>
      <c r="O181" s="227">
        <f>'[2]341 PL'!$E$41</f>
        <v>19.592445205203227</v>
      </c>
      <c r="P181" s="140"/>
      <c r="Q181" s="196">
        <f t="shared" si="62"/>
        <v>136486.1402335749</v>
      </c>
      <c r="R181" s="136"/>
      <c r="S181" s="197">
        <f t="shared" si="63"/>
        <v>3.8347906001287402E-2</v>
      </c>
      <c r="T181" s="32"/>
      <c r="U181" s="262">
        <v>3.8</v>
      </c>
      <c r="W181" s="145">
        <v>135304</v>
      </c>
      <c r="Y181" s="157">
        <f t="shared" si="64"/>
        <v>1182.1402335749008</v>
      </c>
      <c r="AA181" s="198"/>
    </row>
    <row r="182" spans="1:27" x14ac:dyDescent="0.2">
      <c r="A182" s="26"/>
      <c r="B182" s="139"/>
      <c r="C182" s="58" t="s">
        <v>116</v>
      </c>
      <c r="D182" s="139"/>
      <c r="E182" s="20" t="str">
        <f>[1]KU!$I$42</f>
        <v>263 - 01</v>
      </c>
      <c r="F182" s="20" t="s">
        <v>64</v>
      </c>
      <c r="G182" s="222">
        <f>'SKM Prod NS Weighting'!Q31</f>
        <v>-1.5000000000000001E-4</v>
      </c>
      <c r="H182" s="139"/>
      <c r="I182" s="200">
        <v>3548851.71</v>
      </c>
      <c r="J182" s="200"/>
      <c r="K182" s="200">
        <v>906628</v>
      </c>
      <c r="L182" s="200"/>
      <c r="M182" s="237">
        <f t="shared" si="61"/>
        <v>2642756.0377565003</v>
      </c>
      <c r="N182" s="45"/>
      <c r="O182" s="227">
        <f>'[2]341 PL'!$E$41</f>
        <v>19.592445205203227</v>
      </c>
      <c r="P182" s="140"/>
      <c r="Q182" s="196">
        <f t="shared" si="62"/>
        <v>134886.48354390473</v>
      </c>
      <c r="R182" s="136"/>
      <c r="S182" s="197">
        <f t="shared" si="63"/>
        <v>3.8008486847680864E-2</v>
      </c>
      <c r="T182" s="32"/>
      <c r="U182" s="262">
        <v>3.8</v>
      </c>
      <c r="W182" s="145">
        <v>134912</v>
      </c>
      <c r="Y182" s="157">
        <f t="shared" si="64"/>
        <v>-25.51645609526895</v>
      </c>
      <c r="AA182" s="198"/>
    </row>
    <row r="183" spans="1:27" x14ac:dyDescent="0.2">
      <c r="A183" s="26"/>
      <c r="B183" s="139"/>
      <c r="C183" s="58" t="s">
        <v>117</v>
      </c>
      <c r="D183" s="139"/>
      <c r="E183" s="20" t="str">
        <f>[1]KU!$I$42</f>
        <v>263 - 01</v>
      </c>
      <c r="F183" s="20" t="s">
        <v>64</v>
      </c>
      <c r="G183" s="222">
        <f>'SKM Prod NS Weighting'!Q32</f>
        <v>-1E-3</v>
      </c>
      <c r="H183" s="139"/>
      <c r="I183" s="200">
        <v>3655976.41</v>
      </c>
      <c r="J183" s="200"/>
      <c r="K183" s="200">
        <v>923545</v>
      </c>
      <c r="L183" s="200"/>
      <c r="M183" s="237">
        <f t="shared" si="61"/>
        <v>2736087.3864099998</v>
      </c>
      <c r="N183" s="45"/>
      <c r="O183" s="227">
        <f>'[2]341 PL'!$E$41</f>
        <v>19.592445205203227</v>
      </c>
      <c r="P183" s="140"/>
      <c r="Q183" s="196">
        <f t="shared" si="62"/>
        <v>139650.12318540865</v>
      </c>
      <c r="R183" s="136"/>
      <c r="S183" s="197">
        <f t="shared" si="63"/>
        <v>3.8197763750179296E-2</v>
      </c>
      <c r="T183" s="32"/>
      <c r="U183" s="262">
        <v>3.82</v>
      </c>
      <c r="W183" s="145">
        <v>139485</v>
      </c>
      <c r="Y183" s="157">
        <f t="shared" si="64"/>
        <v>165.1231854086509</v>
      </c>
      <c r="AA183" s="198"/>
    </row>
    <row r="184" spans="1:27" x14ac:dyDescent="0.2">
      <c r="A184" s="26"/>
      <c r="B184" s="139"/>
      <c r="C184" s="58" t="s">
        <v>118</v>
      </c>
      <c r="D184" s="139"/>
      <c r="E184" s="20" t="str">
        <f>[1]KU!$I$42</f>
        <v>263 - 01</v>
      </c>
      <c r="F184" s="20" t="s">
        <v>64</v>
      </c>
      <c r="G184" s="222">
        <f>'SKM Prod NS Weighting'!Q33</f>
        <v>0</v>
      </c>
      <c r="H184" s="139"/>
      <c r="I184" s="200">
        <v>3653029.99</v>
      </c>
      <c r="J184" s="200"/>
      <c r="K184" s="200">
        <v>922801</v>
      </c>
      <c r="L184" s="200"/>
      <c r="M184" s="237">
        <f t="shared" si="61"/>
        <v>2730228.99</v>
      </c>
      <c r="N184" s="45"/>
      <c r="O184" s="227">
        <f>'[2]341 PL'!$E$41</f>
        <v>19.592445205203227</v>
      </c>
      <c r="P184" s="140"/>
      <c r="Q184" s="196">
        <f t="shared" si="62"/>
        <v>139351.11015520027</v>
      </c>
      <c r="R184" s="136"/>
      <c r="S184" s="197">
        <f t="shared" si="63"/>
        <v>3.8146719445684117E-2</v>
      </c>
      <c r="T184" s="32"/>
      <c r="U184" s="262">
        <v>3.82</v>
      </c>
      <c r="W184" s="145">
        <v>139372</v>
      </c>
      <c r="Y184" s="157">
        <f t="shared" si="64"/>
        <v>-20.889844799734419</v>
      </c>
      <c r="AA184" s="198"/>
    </row>
    <row r="185" spans="1:27" x14ac:dyDescent="0.2">
      <c r="A185" s="26"/>
      <c r="B185" s="139"/>
      <c r="C185" s="58" t="s">
        <v>119</v>
      </c>
      <c r="D185" s="139"/>
      <c r="E185" s="20" t="str">
        <f>[1]KU!$I$42</f>
        <v>263 - 01</v>
      </c>
      <c r="F185" s="20" t="s">
        <v>64</v>
      </c>
      <c r="G185" s="222">
        <f>'SKM Prod NS Weighting'!Q34</f>
        <v>0</v>
      </c>
      <c r="H185" s="139"/>
      <c r="I185" s="200">
        <v>775081.85</v>
      </c>
      <c r="J185" s="200"/>
      <c r="K185" s="200">
        <v>270065</v>
      </c>
      <c r="L185" s="200"/>
      <c r="M185" s="237">
        <f t="shared" si="61"/>
        <v>505016.85</v>
      </c>
      <c r="N185" s="45"/>
      <c r="O185" s="227">
        <f>'[2]341 PL'!$E$41</f>
        <v>19.592445205203227</v>
      </c>
      <c r="P185" s="140"/>
      <c r="Q185" s="196">
        <f t="shared" si="62"/>
        <v>25776.10118138195</v>
      </c>
      <c r="R185" s="136"/>
      <c r="S185" s="197">
        <f t="shared" si="63"/>
        <v>3.325597313545911E-2</v>
      </c>
      <c r="T185" s="32"/>
      <c r="U185" s="262">
        <v>3.88</v>
      </c>
      <c r="W185" s="145">
        <v>30044</v>
      </c>
      <c r="Y185" s="157">
        <f t="shared" si="64"/>
        <v>-4267.8988186180504</v>
      </c>
      <c r="AA185" s="198"/>
    </row>
    <row r="186" spans="1:27" x14ac:dyDescent="0.2">
      <c r="A186" s="26"/>
      <c r="B186" s="139"/>
      <c r="C186" s="58" t="s">
        <v>120</v>
      </c>
      <c r="D186" s="139"/>
      <c r="E186" s="20" t="str">
        <f>[1]KU!$I$42</f>
        <v>263 - 01</v>
      </c>
      <c r="F186" s="20" t="s">
        <v>64</v>
      </c>
      <c r="G186" s="222">
        <f>'SKM Prod NS Weighting'!Q35</f>
        <v>0</v>
      </c>
      <c r="H186" s="139"/>
      <c r="I186" s="200">
        <v>192814.02</v>
      </c>
      <c r="J186" s="200"/>
      <c r="K186" s="200">
        <v>67757</v>
      </c>
      <c r="L186" s="200"/>
      <c r="M186" s="237">
        <f t="shared" si="61"/>
        <v>125057.01999999999</v>
      </c>
      <c r="N186" s="45"/>
      <c r="O186" s="227">
        <f>'[2]341 PL'!$E$41</f>
        <v>19.592445205203227</v>
      </c>
      <c r="P186" s="140"/>
      <c r="Q186" s="196">
        <f t="shared" si="62"/>
        <v>6382.9204925778331</v>
      </c>
      <c r="R186" s="136"/>
      <c r="S186" s="197">
        <f t="shared" si="63"/>
        <v>3.3104026836730201E-2</v>
      </c>
      <c r="T186" s="32"/>
      <c r="U186" s="262">
        <v>4.25</v>
      </c>
      <c r="W186" s="145">
        <v>8200</v>
      </c>
      <c r="Y186" s="157">
        <f t="shared" si="64"/>
        <v>-1817.0795074221669</v>
      </c>
      <c r="AA186" s="198"/>
    </row>
    <row r="187" spans="1:27" x14ac:dyDescent="0.2">
      <c r="A187" s="26"/>
      <c r="B187" s="139"/>
      <c r="C187" s="58" t="s">
        <v>121</v>
      </c>
      <c r="D187" s="139"/>
      <c r="E187" s="20" t="str">
        <f>[1]KU!$I$42</f>
        <v>263 - 01</v>
      </c>
      <c r="F187" s="20" t="s">
        <v>64</v>
      </c>
      <c r="G187" s="222">
        <f>'SKM Prod NS Weighting'!Q36</f>
        <v>0</v>
      </c>
      <c r="H187" s="139"/>
      <c r="I187" s="200">
        <v>544965.97</v>
      </c>
      <c r="J187" s="200"/>
      <c r="K187" s="200">
        <v>207252</v>
      </c>
      <c r="L187" s="200"/>
      <c r="M187" s="237">
        <f t="shared" si="61"/>
        <v>337713.97</v>
      </c>
      <c r="N187" s="45"/>
      <c r="O187" s="227">
        <f>'[2]341 PL'!$E$41</f>
        <v>19.592445205203227</v>
      </c>
      <c r="P187" s="140"/>
      <c r="Q187" s="196">
        <f t="shared" si="62"/>
        <v>17236.948551491278</v>
      </c>
      <c r="R187" s="136"/>
      <c r="S187" s="197">
        <f t="shared" si="63"/>
        <v>3.1629403486407193E-2</v>
      </c>
      <c r="T187" s="32"/>
      <c r="U187" s="262">
        <v>4.1100000000000003</v>
      </c>
      <c r="W187" s="145">
        <v>22379</v>
      </c>
      <c r="Y187" s="157">
        <f t="shared" si="64"/>
        <v>-5142.0514485087224</v>
      </c>
      <c r="AA187" s="198"/>
    </row>
    <row r="188" spans="1:27" x14ac:dyDescent="0.2">
      <c r="A188" s="26"/>
      <c r="B188" s="139"/>
      <c r="C188" s="58" t="s">
        <v>122</v>
      </c>
      <c r="D188" s="139"/>
      <c r="E188" s="20" t="str">
        <f>[1]KU!$I$42</f>
        <v>263 - 01</v>
      </c>
      <c r="F188" s="20" t="s">
        <v>64</v>
      </c>
      <c r="G188" s="222">
        <f>'SKM Prod NS Weighting'!Q37</f>
        <v>0</v>
      </c>
      <c r="H188" s="139"/>
      <c r="I188" s="200">
        <v>2012654.95</v>
      </c>
      <c r="J188" s="200"/>
      <c r="K188" s="200">
        <v>1151811</v>
      </c>
      <c r="L188" s="200"/>
      <c r="M188" s="237">
        <f t="shared" si="61"/>
        <v>860843.95</v>
      </c>
      <c r="N188" s="45"/>
      <c r="O188" s="227">
        <f>'[2]341 PL'!$E$41</f>
        <v>19.592445205203227</v>
      </c>
      <c r="P188" s="140"/>
      <c r="Q188" s="196">
        <f t="shared" si="62"/>
        <v>43937.545364239835</v>
      </c>
      <c r="R188" s="136"/>
      <c r="S188" s="197">
        <f t="shared" si="63"/>
        <v>2.1830639854208411E-2</v>
      </c>
      <c r="T188" s="32"/>
      <c r="U188" s="262">
        <v>3.8</v>
      </c>
      <c r="W188" s="145">
        <v>76440</v>
      </c>
      <c r="Y188" s="157">
        <f t="shared" si="64"/>
        <v>-32502.454635760165</v>
      </c>
      <c r="AA188" s="198"/>
    </row>
    <row r="189" spans="1:27" x14ac:dyDescent="0.2">
      <c r="A189" s="26"/>
      <c r="B189" s="139"/>
      <c r="C189" s="58" t="s">
        <v>123</v>
      </c>
      <c r="D189" s="139"/>
      <c r="E189" s="20" t="str">
        <f>[1]KU!$I$42</f>
        <v>263 - 01</v>
      </c>
      <c r="F189" s="20" t="s">
        <v>64</v>
      </c>
      <c r="G189" s="222">
        <f>'SKM Prod NS Weighting'!Q38</f>
        <v>0</v>
      </c>
      <c r="H189" s="139"/>
      <c r="I189" s="200">
        <v>4641054.8600000003</v>
      </c>
      <c r="J189" s="200"/>
      <c r="K189" s="200">
        <v>2628903</v>
      </c>
      <c r="L189" s="200"/>
      <c r="M189" s="237">
        <f t="shared" si="61"/>
        <v>2012151.8600000003</v>
      </c>
      <c r="N189" s="45"/>
      <c r="O189" s="227">
        <f>'[2]341 PL'!$E$41</f>
        <v>19.592445205203227</v>
      </c>
      <c r="P189" s="140"/>
      <c r="Q189" s="196">
        <f t="shared" si="62"/>
        <v>102700.39491883467</v>
      </c>
      <c r="R189" s="136"/>
      <c r="S189" s="197">
        <f t="shared" si="63"/>
        <v>2.2128675057039655E-2</v>
      </c>
      <c r="T189" s="32"/>
      <c r="U189" s="262">
        <v>2.81</v>
      </c>
      <c r="W189" s="145">
        <v>130408</v>
      </c>
      <c r="Y189" s="157">
        <f t="shared" si="64"/>
        <v>-27707.605081165326</v>
      </c>
      <c r="AA189" s="198"/>
    </row>
    <row r="190" spans="1:27" x14ac:dyDescent="0.2">
      <c r="A190" s="26"/>
      <c r="B190" s="139"/>
      <c r="C190" s="58" t="s">
        <v>124</v>
      </c>
      <c r="D190" s="139"/>
      <c r="E190" s="20" t="str">
        <f>[1]KU!$I$42</f>
        <v>263 - 01</v>
      </c>
      <c r="F190" s="20" t="s">
        <v>64</v>
      </c>
      <c r="G190" s="222">
        <f>'SKM Prod NS Weighting'!Q39</f>
        <v>0</v>
      </c>
      <c r="H190" s="139"/>
      <c r="I190" s="200">
        <v>1865718.2</v>
      </c>
      <c r="J190" s="200"/>
      <c r="K190" s="200">
        <v>995177</v>
      </c>
      <c r="L190" s="200"/>
      <c r="M190" s="237">
        <f t="shared" si="61"/>
        <v>870541.2</v>
      </c>
      <c r="N190" s="45"/>
      <c r="O190" s="227">
        <f>'[2]341 PL'!$E$41</f>
        <v>19.592445205203227</v>
      </c>
      <c r="P190" s="140"/>
      <c r="Q190" s="196">
        <f t="shared" si="62"/>
        <v>44432.493794537069</v>
      </c>
      <c r="R190" s="136"/>
      <c r="S190" s="197">
        <f t="shared" si="63"/>
        <v>2.3815222360234825E-2</v>
      </c>
      <c r="T190" s="32"/>
      <c r="U190" s="262">
        <v>3</v>
      </c>
      <c r="W190" s="145">
        <v>55973</v>
      </c>
      <c r="Y190" s="157">
        <f t="shared" si="64"/>
        <v>-11540.506205462931</v>
      </c>
      <c r="AA190" s="198"/>
    </row>
    <row r="191" spans="1:27" x14ac:dyDescent="0.2">
      <c r="A191" s="26"/>
      <c r="B191" s="139"/>
      <c r="C191" s="58" t="s">
        <v>125</v>
      </c>
      <c r="D191" s="139"/>
      <c r="E191" s="20" t="str">
        <f>[1]KU!$I$42</f>
        <v>263 - 01</v>
      </c>
      <c r="F191" s="20" t="s">
        <v>64</v>
      </c>
      <c r="G191" s="222">
        <f>'SKM Prod NS Weighting'!Q40</f>
        <v>0</v>
      </c>
      <c r="H191" s="139"/>
      <c r="I191" s="200">
        <v>1895013.5</v>
      </c>
      <c r="J191" s="200"/>
      <c r="K191" s="200">
        <v>960868</v>
      </c>
      <c r="L191" s="200"/>
      <c r="M191" s="237">
        <f t="shared" si="61"/>
        <v>934145.5</v>
      </c>
      <c r="N191" s="45"/>
      <c r="O191" s="227">
        <f>'[2]341 PL'!$E$41</f>
        <v>19.592445205203227</v>
      </c>
      <c r="P191" s="140"/>
      <c r="Q191" s="196">
        <f t="shared" si="62"/>
        <v>47678.862450099696</v>
      </c>
      <c r="R191" s="136"/>
      <c r="S191" s="197">
        <f t="shared" si="63"/>
        <v>2.516017033657E-2</v>
      </c>
      <c r="T191" s="32"/>
      <c r="U191" s="262">
        <v>4</v>
      </c>
      <c r="W191" s="145">
        <v>75771</v>
      </c>
      <c r="Y191" s="157">
        <f t="shared" si="64"/>
        <v>-28092.137549900304</v>
      </c>
      <c r="AA191" s="198"/>
    </row>
    <row r="192" spans="1:27" x14ac:dyDescent="0.2">
      <c r="A192" s="26"/>
      <c r="B192" s="139"/>
      <c r="C192" s="58" t="s">
        <v>126</v>
      </c>
      <c r="D192" s="139"/>
      <c r="E192" s="20" t="str">
        <f>[1]KU!$I$42</f>
        <v>263 - 01</v>
      </c>
      <c r="F192" s="20" t="s">
        <v>64</v>
      </c>
      <c r="G192" s="222">
        <f>'SKM Prod NS Weighting'!Q41</f>
        <v>0</v>
      </c>
      <c r="H192" s="139"/>
      <c r="I192" s="200">
        <v>434853.46</v>
      </c>
      <c r="J192" s="200"/>
      <c r="K192" s="200">
        <v>87070</v>
      </c>
      <c r="L192" s="200"/>
      <c r="M192" s="237">
        <f t="shared" si="61"/>
        <v>347783.46</v>
      </c>
      <c r="N192" s="45"/>
      <c r="O192" s="227">
        <f>'[2]341 PL'!$E$41</f>
        <v>19.592445205203227</v>
      </c>
      <c r="P192" s="140"/>
      <c r="Q192" s="196">
        <f t="shared" si="62"/>
        <v>17750.896141724977</v>
      </c>
      <c r="R192" s="136"/>
      <c r="S192" s="197">
        <f t="shared" si="63"/>
        <v>4.082040911373909E-2</v>
      </c>
      <c r="T192" s="32"/>
      <c r="U192" s="262">
        <v>10.24</v>
      </c>
      <c r="W192" s="145">
        <v>44528</v>
      </c>
      <c r="Y192" s="157">
        <f t="shared" si="64"/>
        <v>-26777.103858275023</v>
      </c>
      <c r="AA192" s="198"/>
    </row>
    <row r="193" spans="1:27" x14ac:dyDescent="0.2">
      <c r="A193" s="26"/>
      <c r="B193" s="139"/>
      <c r="C193" s="58" t="s">
        <v>127</v>
      </c>
      <c r="D193" s="139"/>
      <c r="E193" s="20" t="str">
        <f>[1]KU!$I$42</f>
        <v>263 - 01</v>
      </c>
      <c r="F193" s="20" t="s">
        <v>64</v>
      </c>
      <c r="G193" s="222">
        <f>'SKM Prod NS Weighting'!Q42</f>
        <v>0</v>
      </c>
      <c r="H193" s="139"/>
      <c r="I193" s="202">
        <v>1910327.76</v>
      </c>
      <c r="J193" s="200"/>
      <c r="K193" s="200">
        <v>665405</v>
      </c>
      <c r="L193" s="200"/>
      <c r="M193" s="237">
        <f t="shared" si="61"/>
        <v>1244922.76</v>
      </c>
      <c r="N193" s="45"/>
      <c r="O193" s="227">
        <f>'[2]341 PL'!$E$41</f>
        <v>19.592445205203227</v>
      </c>
      <c r="P193" s="140"/>
      <c r="Q193" s="196">
        <f t="shared" si="62"/>
        <v>63540.959127928654</v>
      </c>
      <c r="R193" s="136"/>
      <c r="S193" s="197">
        <f t="shared" si="63"/>
        <v>3.3261810071758921E-2</v>
      </c>
      <c r="T193" s="32"/>
      <c r="U193" s="262">
        <v>3.88</v>
      </c>
      <c r="W193" s="145">
        <v>74097</v>
      </c>
      <c r="Y193" s="157">
        <f t="shared" si="64"/>
        <v>-10556.040872071346</v>
      </c>
      <c r="AA193" s="198"/>
    </row>
    <row r="194" spans="1:27" x14ac:dyDescent="0.2">
      <c r="A194" s="26"/>
      <c r="B194" s="139"/>
      <c r="C194" s="46"/>
      <c r="D194" s="139"/>
      <c r="E194" s="20"/>
      <c r="F194" s="20"/>
      <c r="G194" s="222"/>
      <c r="H194" s="139"/>
      <c r="I194" s="200"/>
      <c r="J194" s="205"/>
      <c r="K194" s="206"/>
      <c r="L194" s="201"/>
      <c r="M194" s="206"/>
      <c r="N194" s="34"/>
      <c r="O194" s="41"/>
      <c r="P194" s="140"/>
      <c r="Q194" s="35"/>
      <c r="R194" s="140"/>
      <c r="S194" s="179"/>
      <c r="T194" s="32"/>
      <c r="U194" s="262"/>
      <c r="AA194" s="198"/>
    </row>
    <row r="195" spans="1:27" x14ac:dyDescent="0.2">
      <c r="A195" s="26"/>
      <c r="B195" s="139"/>
      <c r="C195" s="65" t="s">
        <v>36</v>
      </c>
      <c r="D195" s="139"/>
      <c r="E195" s="20"/>
      <c r="F195" s="20"/>
      <c r="G195" s="222"/>
      <c r="H195" s="139"/>
      <c r="I195" s="200">
        <f>SUM(I179:I193)</f>
        <v>36018413.209999993</v>
      </c>
      <c r="J195" s="205"/>
      <c r="K195" s="200">
        <f>SUM(K179:K193)</f>
        <v>12997862</v>
      </c>
      <c r="L195" s="201"/>
      <c r="M195" s="200">
        <f>SUM(M179:M193)</f>
        <v>23071550.478674497</v>
      </c>
      <c r="N195" s="34"/>
      <c r="O195" s="41"/>
      <c r="P195" s="140"/>
      <c r="Q195" s="200">
        <f>SUM(Q179:Q193)</f>
        <v>1177573.8166947796</v>
      </c>
      <c r="R195" s="136"/>
      <c r="S195" s="197">
        <f t="shared" ref="S195" si="65">+Q195/I195</f>
        <v>3.2693661706558554E-2</v>
      </c>
      <c r="T195" s="32"/>
      <c r="U195" s="262">
        <v>3.75</v>
      </c>
      <c r="W195" s="200">
        <v>1350340</v>
      </c>
      <c r="Y195" s="200">
        <f>SUM(Y179:Y193)</f>
        <v>-172766.18330522033</v>
      </c>
      <c r="AA195" s="198"/>
    </row>
    <row r="196" spans="1:27" x14ac:dyDescent="0.2">
      <c r="A196" s="26"/>
      <c r="B196" s="139"/>
      <c r="C196" s="46"/>
      <c r="D196" s="139"/>
      <c r="E196" s="20"/>
      <c r="F196" s="20"/>
      <c r="G196" s="222"/>
      <c r="H196" s="139"/>
      <c r="I196" s="200"/>
      <c r="J196" s="205"/>
      <c r="K196" s="201"/>
      <c r="L196" s="201"/>
      <c r="M196" s="201"/>
      <c r="N196" s="34"/>
      <c r="O196" s="41"/>
      <c r="P196" s="140"/>
      <c r="Q196" s="35"/>
      <c r="R196" s="140"/>
      <c r="S196" s="179"/>
      <c r="T196" s="32"/>
      <c r="U196" s="262"/>
      <c r="AA196" s="198"/>
    </row>
    <row r="197" spans="1:27" x14ac:dyDescent="0.2">
      <c r="A197" s="26">
        <v>342</v>
      </c>
      <c r="B197" s="139"/>
      <c r="C197" s="139" t="s">
        <v>88</v>
      </c>
      <c r="D197" s="139"/>
      <c r="E197" s="56"/>
      <c r="F197" s="56"/>
      <c r="G197" s="224"/>
      <c r="H197" s="139"/>
      <c r="I197" s="200"/>
      <c r="J197" s="205"/>
      <c r="K197" s="201"/>
      <c r="L197" s="201"/>
      <c r="M197" s="201"/>
      <c r="N197" s="34"/>
      <c r="O197" s="41"/>
      <c r="P197" s="140"/>
      <c r="Q197" s="35"/>
      <c r="R197" s="140"/>
      <c r="S197" s="179"/>
      <c r="T197" s="32"/>
      <c r="U197" s="262"/>
      <c r="AA197" s="198"/>
    </row>
    <row r="198" spans="1:27" x14ac:dyDescent="0.2">
      <c r="A198" s="26"/>
      <c r="B198" s="139"/>
      <c r="C198" s="58" t="s">
        <v>113</v>
      </c>
      <c r="D198" s="139"/>
      <c r="E198" s="20" t="str">
        <f>[1]KU!$I$43</f>
        <v>167 - 04</v>
      </c>
      <c r="F198" s="20" t="s">
        <v>64</v>
      </c>
      <c r="G198" s="222">
        <f>'SKM Prod NS Weighting'!Q$29</f>
        <v>-6.3E-3</v>
      </c>
      <c r="H198" s="139"/>
      <c r="I198" s="200">
        <v>239584.43</v>
      </c>
      <c r="J198" s="200"/>
      <c r="K198" s="200">
        <v>76081</v>
      </c>
      <c r="L198" s="200"/>
      <c r="M198" s="237">
        <f t="shared" ref="M198:M214" si="66">+((1-G198)*I198)-K198</f>
        <v>165012.81190899998</v>
      </c>
      <c r="N198" s="45"/>
      <c r="O198" s="227">
        <f>'[2]342 PL'!$E$65</f>
        <v>16.759746667426889</v>
      </c>
      <c r="P198" s="140"/>
      <c r="Q198" s="196">
        <f t="shared" ref="Q198:Q214" si="67">+M198/O198</f>
        <v>9845.7819908285201</v>
      </c>
      <c r="R198" s="136"/>
      <c r="S198" s="197">
        <f t="shared" ref="S198:S214" si="68">+Q198/I198</f>
        <v>4.1095249765723589E-2</v>
      </c>
      <c r="T198" s="32"/>
      <c r="U198" s="262">
        <v>3.78</v>
      </c>
      <c r="W198" s="145">
        <v>9049</v>
      </c>
      <c r="Y198" s="157">
        <f t="shared" ref="Y198:Y214" si="69">Q198-W198</f>
        <v>796.78199082852007</v>
      </c>
      <c r="AA198" s="198"/>
    </row>
    <row r="199" spans="1:27" x14ac:dyDescent="0.2">
      <c r="A199" s="26"/>
      <c r="B199" s="139"/>
      <c r="C199" s="58" t="s">
        <v>114</v>
      </c>
      <c r="D199" s="139"/>
      <c r="E199" s="20" t="str">
        <f>[1]KU!$I$43</f>
        <v>167 - 04</v>
      </c>
      <c r="F199" s="20" t="s">
        <v>64</v>
      </c>
      <c r="G199" s="222">
        <f>'SKM Prod NS Weighting'!Q$29</f>
        <v>-6.3E-3</v>
      </c>
      <c r="H199" s="139"/>
      <c r="I199" s="200">
        <v>239245.54</v>
      </c>
      <c r="J199" s="200"/>
      <c r="K199" s="200">
        <v>75986</v>
      </c>
      <c r="L199" s="200"/>
      <c r="M199" s="237">
        <f t="shared" si="66"/>
        <v>164766.78690199999</v>
      </c>
      <c r="N199" s="45"/>
      <c r="O199" s="227">
        <f>'[2]342 PL'!$E$65</f>
        <v>16.759746667426889</v>
      </c>
      <c r="P199" s="140"/>
      <c r="Q199" s="196">
        <f t="shared" si="67"/>
        <v>9831.1024725826901</v>
      </c>
      <c r="R199" s="136"/>
      <c r="S199" s="197">
        <f t="shared" si="68"/>
        <v>4.1092103420538956E-2</v>
      </c>
      <c r="T199" s="32"/>
      <c r="U199" s="262">
        <v>3.78</v>
      </c>
      <c r="W199" s="145">
        <v>9036</v>
      </c>
      <c r="Y199" s="157">
        <f t="shared" si="69"/>
        <v>795.1024725826901</v>
      </c>
      <c r="AA199" s="198"/>
    </row>
    <row r="200" spans="1:27" x14ac:dyDescent="0.2">
      <c r="A200" s="26"/>
      <c r="B200" s="139"/>
      <c r="C200" s="63" t="s">
        <v>189</v>
      </c>
      <c r="D200" s="139"/>
      <c r="E200" s="20" t="str">
        <f>[1]KU!$I$43</f>
        <v>167 - 04</v>
      </c>
      <c r="F200" s="20" t="s">
        <v>64</v>
      </c>
      <c r="G200" s="222">
        <f>'SKM Prod NS Weighting'!Q$29</f>
        <v>-6.3E-3</v>
      </c>
      <c r="H200" s="139"/>
      <c r="I200" s="200">
        <v>4850114.7300000004</v>
      </c>
      <c r="J200" s="200"/>
      <c r="K200" s="200">
        <v>1572837</v>
      </c>
      <c r="L200" s="200"/>
      <c r="M200" s="237">
        <f t="shared" si="66"/>
        <v>3307833.4527990008</v>
      </c>
      <c r="N200" s="45"/>
      <c r="O200" s="227">
        <f>'[2]342 PL'!$E$65</f>
        <v>16.759746667426889</v>
      </c>
      <c r="P200" s="140"/>
      <c r="Q200" s="196">
        <f t="shared" si="67"/>
        <v>197367.74776124046</v>
      </c>
      <c r="R200" s="136"/>
      <c r="S200" s="197">
        <f t="shared" si="68"/>
        <v>4.0693418351619166E-2</v>
      </c>
      <c r="T200" s="32"/>
      <c r="U200" s="262">
        <v>3.44</v>
      </c>
      <c r="W200" s="145">
        <v>166771</v>
      </c>
      <c r="Y200" s="157">
        <f t="shared" si="69"/>
        <v>30596.747761240462</v>
      </c>
      <c r="AA200" s="198"/>
    </row>
    <row r="201" spans="1:27" x14ac:dyDescent="0.2">
      <c r="A201" s="26"/>
      <c r="B201" s="139"/>
      <c r="C201" s="58" t="s">
        <v>115</v>
      </c>
      <c r="D201" s="139"/>
      <c r="E201" s="20" t="str">
        <f>[1]KU!$I$43</f>
        <v>167 - 04</v>
      </c>
      <c r="F201" s="20" t="s">
        <v>64</v>
      </c>
      <c r="G201" s="222">
        <f>'SKM Prod NS Weighting'!Q$29</f>
        <v>-6.3E-3</v>
      </c>
      <c r="H201" s="139"/>
      <c r="I201" s="200">
        <v>578059.38</v>
      </c>
      <c r="J201" s="200"/>
      <c r="K201" s="200">
        <v>149364</v>
      </c>
      <c r="L201" s="200"/>
      <c r="M201" s="237">
        <f t="shared" si="66"/>
        <v>432337.154094</v>
      </c>
      <c r="N201" s="45"/>
      <c r="O201" s="227">
        <f>'[2]342 PL'!$E$65</f>
        <v>16.759746667426889</v>
      </c>
      <c r="P201" s="140"/>
      <c r="Q201" s="196">
        <f t="shared" si="67"/>
        <v>25796.162834266539</v>
      </c>
      <c r="R201" s="136"/>
      <c r="S201" s="197">
        <f t="shared" si="68"/>
        <v>4.4625454973616273E-2</v>
      </c>
      <c r="T201" s="32"/>
      <c r="U201" s="262">
        <v>3.72</v>
      </c>
      <c r="W201" s="145">
        <v>21494</v>
      </c>
      <c r="Y201" s="157">
        <f t="shared" si="69"/>
        <v>4302.162834266539</v>
      </c>
      <c r="AA201" s="198"/>
    </row>
    <row r="202" spans="1:27" x14ac:dyDescent="0.2">
      <c r="A202" s="26"/>
      <c r="B202" s="139"/>
      <c r="C202" s="58" t="s">
        <v>116</v>
      </c>
      <c r="D202" s="139"/>
      <c r="E202" s="20" t="str">
        <f>[1]KU!$I$43</f>
        <v>167 - 04</v>
      </c>
      <c r="F202" s="20" t="s">
        <v>64</v>
      </c>
      <c r="G202" s="222">
        <f>'SKM Prod NS Weighting'!Q$29</f>
        <v>-6.3E-3</v>
      </c>
      <c r="H202" s="139"/>
      <c r="I202" s="200">
        <v>576385.74</v>
      </c>
      <c r="J202" s="200"/>
      <c r="K202" s="200">
        <v>148931</v>
      </c>
      <c r="L202" s="200"/>
      <c r="M202" s="237">
        <f t="shared" si="66"/>
        <v>431085.97016199993</v>
      </c>
      <c r="N202" s="45"/>
      <c r="O202" s="227">
        <f>'[2]342 PL'!$E$65</f>
        <v>16.759746667426889</v>
      </c>
      <c r="P202" s="140"/>
      <c r="Q202" s="196">
        <f t="shared" si="67"/>
        <v>25721.50872661038</v>
      </c>
      <c r="R202" s="136"/>
      <c r="S202" s="197">
        <f t="shared" si="68"/>
        <v>4.4625511947277499E-2</v>
      </c>
      <c r="T202" s="32"/>
      <c r="U202" s="262">
        <v>3.72</v>
      </c>
      <c r="W202" s="145">
        <v>21431</v>
      </c>
      <c r="Y202" s="157">
        <f t="shared" si="69"/>
        <v>4290.5087266103801</v>
      </c>
      <c r="AA202" s="198"/>
    </row>
    <row r="203" spans="1:27" x14ac:dyDescent="0.2">
      <c r="A203" s="26"/>
      <c r="B203" s="139"/>
      <c r="C203" s="58" t="s">
        <v>117</v>
      </c>
      <c r="D203" s="139"/>
      <c r="E203" s="20" t="str">
        <f>[1]KU!$I$43</f>
        <v>167 - 04</v>
      </c>
      <c r="F203" s="20" t="s">
        <v>64</v>
      </c>
      <c r="G203" s="222">
        <f>'SKM Prod NS Weighting'!Q$29</f>
        <v>-6.3E-3</v>
      </c>
      <c r="H203" s="139"/>
      <c r="I203" s="200">
        <v>593786.01</v>
      </c>
      <c r="J203" s="200"/>
      <c r="K203" s="200">
        <v>151730</v>
      </c>
      <c r="L203" s="200"/>
      <c r="M203" s="237">
        <f t="shared" si="66"/>
        <v>445796.86186299997</v>
      </c>
      <c r="N203" s="45"/>
      <c r="O203" s="227">
        <f>'[2]342 PL'!$E$65</f>
        <v>16.759746667426889</v>
      </c>
      <c r="P203" s="140"/>
      <c r="Q203" s="196">
        <f t="shared" si="67"/>
        <v>26599.26016241168</v>
      </c>
      <c r="R203" s="136"/>
      <c r="S203" s="197">
        <f t="shared" si="68"/>
        <v>4.4796037148823492E-2</v>
      </c>
      <c r="T203" s="32"/>
      <c r="U203" s="262">
        <v>3.73</v>
      </c>
      <c r="W203" s="145">
        <v>22158</v>
      </c>
      <c r="Y203" s="157">
        <f t="shared" si="69"/>
        <v>4441.2601624116796</v>
      </c>
      <c r="AA203" s="198"/>
    </row>
    <row r="204" spans="1:27" x14ac:dyDescent="0.2">
      <c r="A204" s="26"/>
      <c r="B204" s="139"/>
      <c r="C204" s="58" t="s">
        <v>118</v>
      </c>
      <c r="D204" s="139"/>
      <c r="E204" s="20" t="str">
        <f>[1]KU!$I$43</f>
        <v>167 - 04</v>
      </c>
      <c r="F204" s="20" t="s">
        <v>64</v>
      </c>
      <c r="G204" s="222">
        <f>'SKM Prod NS Weighting'!Q$29</f>
        <v>-6.3E-3</v>
      </c>
      <c r="H204" s="139"/>
      <c r="I204" s="200">
        <v>622872.6</v>
      </c>
      <c r="J204" s="200"/>
      <c r="K204" s="200">
        <v>157134</v>
      </c>
      <c r="L204" s="200"/>
      <c r="M204" s="237">
        <f t="shared" si="66"/>
        <v>469662.69737999991</v>
      </c>
      <c r="N204" s="45"/>
      <c r="O204" s="227">
        <f>'[2]342 PL'!$E$65</f>
        <v>16.759746667426889</v>
      </c>
      <c r="P204" s="140"/>
      <c r="Q204" s="196">
        <f t="shared" si="67"/>
        <v>28023.257552741212</v>
      </c>
      <c r="R204" s="136"/>
      <c r="S204" s="197">
        <f t="shared" si="68"/>
        <v>4.4990352044288369E-2</v>
      </c>
      <c r="T204" s="32"/>
      <c r="U204" s="262">
        <v>3.74</v>
      </c>
      <c r="W204" s="145">
        <v>23324</v>
      </c>
      <c r="Y204" s="157">
        <f t="shared" si="69"/>
        <v>4699.2575527412118</v>
      </c>
      <c r="AA204" s="198"/>
    </row>
    <row r="205" spans="1:27" x14ac:dyDescent="0.2">
      <c r="A205" s="26"/>
      <c r="B205" s="139"/>
      <c r="C205" s="58" t="s">
        <v>119</v>
      </c>
      <c r="D205" s="139"/>
      <c r="E205" s="20" t="str">
        <f>[1]KU!$I$43</f>
        <v>167 - 04</v>
      </c>
      <c r="F205" s="20" t="s">
        <v>64</v>
      </c>
      <c r="G205" s="222">
        <f>'SKM Prod NS Weighting'!Q$29</f>
        <v>-6.3E-3</v>
      </c>
      <c r="H205" s="139"/>
      <c r="I205" s="200">
        <v>795787.89</v>
      </c>
      <c r="J205" s="200"/>
      <c r="K205" s="200">
        <v>126367</v>
      </c>
      <c r="L205" s="200"/>
      <c r="M205" s="237">
        <f t="shared" si="66"/>
        <v>674434.35370700003</v>
      </c>
      <c r="N205" s="45"/>
      <c r="O205" s="227">
        <f>'[2]342 PL'!$E$65</f>
        <v>16.759746667426889</v>
      </c>
      <c r="P205" s="140"/>
      <c r="Q205" s="196">
        <f t="shared" si="67"/>
        <v>40241.321488336398</v>
      </c>
      <c r="R205" s="136"/>
      <c r="S205" s="197">
        <f t="shared" si="68"/>
        <v>5.0567898800692228E-2</v>
      </c>
      <c r="T205" s="32"/>
      <c r="U205" s="262">
        <v>4.78</v>
      </c>
      <c r="W205" s="145">
        <v>38072</v>
      </c>
      <c r="Y205" s="157">
        <f t="shared" si="69"/>
        <v>2169.321488336398</v>
      </c>
      <c r="AA205" s="198"/>
    </row>
    <row r="206" spans="1:27" x14ac:dyDescent="0.2">
      <c r="A206" s="26"/>
      <c r="B206" s="139"/>
      <c r="C206" s="58" t="s">
        <v>120</v>
      </c>
      <c r="D206" s="139"/>
      <c r="E206" s="20" t="str">
        <f>[1]KU!$I$43</f>
        <v>167 - 04</v>
      </c>
      <c r="F206" s="20" t="s">
        <v>64</v>
      </c>
      <c r="G206" s="222">
        <f>'SKM Prod NS Weighting'!Q$29</f>
        <v>-6.3E-3</v>
      </c>
      <c r="H206" s="139"/>
      <c r="I206" s="200">
        <v>406460.01</v>
      </c>
      <c r="J206" s="200"/>
      <c r="K206" s="200">
        <v>17424</v>
      </c>
      <c r="L206" s="200"/>
      <c r="M206" s="237">
        <f t="shared" si="66"/>
        <v>391596.708063</v>
      </c>
      <c r="N206" s="45"/>
      <c r="O206" s="227">
        <f>'[2]342 PL'!$E$65</f>
        <v>16.759746667426889</v>
      </c>
      <c r="P206" s="140"/>
      <c r="Q206" s="196">
        <f t="shared" si="67"/>
        <v>23365.31188887723</v>
      </c>
      <c r="R206" s="136"/>
      <c r="S206" s="197">
        <f t="shared" si="68"/>
        <v>5.7484897195365488E-2</v>
      </c>
      <c r="T206" s="32"/>
      <c r="U206" s="262">
        <v>5.92</v>
      </c>
      <c r="W206" s="145">
        <v>24066</v>
      </c>
      <c r="Y206" s="157">
        <f t="shared" si="69"/>
        <v>-700.68811112277035</v>
      </c>
      <c r="AA206" s="198"/>
    </row>
    <row r="207" spans="1:27" x14ac:dyDescent="0.2">
      <c r="A207" s="26"/>
      <c r="B207" s="139"/>
      <c r="C207" s="58" t="s">
        <v>121</v>
      </c>
      <c r="D207" s="139"/>
      <c r="E207" s="20" t="str">
        <f>[1]KU!$I$43</f>
        <v>167 - 04</v>
      </c>
      <c r="F207" s="20" t="s">
        <v>64</v>
      </c>
      <c r="G207" s="222">
        <f>'SKM Prod NS Weighting'!Q$29</f>
        <v>-6.3E-3</v>
      </c>
      <c r="H207" s="139"/>
      <c r="I207" s="200">
        <v>405870.95</v>
      </c>
      <c r="J207" s="200"/>
      <c r="K207" s="200">
        <v>12973</v>
      </c>
      <c r="L207" s="200"/>
      <c r="M207" s="237">
        <f t="shared" si="66"/>
        <v>395454.93698499998</v>
      </c>
      <c r="N207" s="45"/>
      <c r="O207" s="227">
        <f>'[2]342 PL'!$E$65</f>
        <v>16.759746667426889</v>
      </c>
      <c r="P207" s="140"/>
      <c r="Q207" s="196">
        <f t="shared" si="67"/>
        <v>23595.519958161389</v>
      </c>
      <c r="R207" s="136"/>
      <c r="S207" s="197">
        <f t="shared" si="68"/>
        <v>5.8135523023171251E-2</v>
      </c>
      <c r="T207" s="32"/>
      <c r="U207" s="262">
        <v>5.99</v>
      </c>
      <c r="W207" s="145">
        <v>24294</v>
      </c>
      <c r="Y207" s="157">
        <f t="shared" si="69"/>
        <v>-698.48004183861121</v>
      </c>
      <c r="AA207" s="198"/>
    </row>
    <row r="208" spans="1:27" x14ac:dyDescent="0.2">
      <c r="A208" s="26"/>
      <c r="B208" s="139"/>
      <c r="C208" s="58" t="s">
        <v>122</v>
      </c>
      <c r="D208" s="139"/>
      <c r="E208" s="20" t="str">
        <f>[1]KU!$I$43</f>
        <v>167 - 04</v>
      </c>
      <c r="F208" s="20" t="s">
        <v>64</v>
      </c>
      <c r="G208" s="222">
        <f>'SKM Prod NS Weighting'!Q$29</f>
        <v>-6.3E-3</v>
      </c>
      <c r="H208" s="139"/>
      <c r="I208" s="200">
        <v>252005.73</v>
      </c>
      <c r="J208" s="200"/>
      <c r="K208" s="200">
        <v>22171</v>
      </c>
      <c r="L208" s="200"/>
      <c r="M208" s="237">
        <f t="shared" si="66"/>
        <v>231422.36609900001</v>
      </c>
      <c r="N208" s="45"/>
      <c r="O208" s="227">
        <f>'[2]342 PL'!$E$65</f>
        <v>16.759746667426889</v>
      </c>
      <c r="P208" s="140"/>
      <c r="Q208" s="196">
        <f t="shared" si="67"/>
        <v>13808.225785940838</v>
      </c>
      <c r="R208" s="136"/>
      <c r="S208" s="197">
        <f t="shared" si="68"/>
        <v>5.4793300874312806E-2</v>
      </c>
      <c r="T208" s="32"/>
      <c r="U208" s="262">
        <v>7.25</v>
      </c>
      <c r="W208" s="145">
        <v>18266</v>
      </c>
      <c r="Y208" s="157">
        <f t="shared" si="69"/>
        <v>-4457.7742140591617</v>
      </c>
      <c r="AA208" s="198"/>
    </row>
    <row r="209" spans="1:27" x14ac:dyDescent="0.2">
      <c r="A209" s="26"/>
      <c r="B209" s="139"/>
      <c r="C209" s="58" t="s">
        <v>123</v>
      </c>
      <c r="D209" s="139"/>
      <c r="E209" s="20" t="str">
        <f>[1]KU!$I$43</f>
        <v>167 - 04</v>
      </c>
      <c r="F209" s="20" t="s">
        <v>64</v>
      </c>
      <c r="G209" s="222">
        <f>'SKM Prod NS Weighting'!Q$29</f>
        <v>-6.3E-3</v>
      </c>
      <c r="H209" s="139"/>
      <c r="I209" s="200">
        <v>2018753.68</v>
      </c>
      <c r="J209" s="200"/>
      <c r="K209" s="200">
        <v>903046</v>
      </c>
      <c r="L209" s="200"/>
      <c r="M209" s="237">
        <f t="shared" si="66"/>
        <v>1128425.828184</v>
      </c>
      <c r="N209" s="45"/>
      <c r="O209" s="227">
        <f>'[2]342 PL'!$E$65</f>
        <v>16.759746667426889</v>
      </c>
      <c r="P209" s="140"/>
      <c r="Q209" s="196">
        <f t="shared" si="67"/>
        <v>67329.527741438491</v>
      </c>
      <c r="R209" s="136"/>
      <c r="S209" s="197">
        <f t="shared" si="68"/>
        <v>3.3352027247543395E-2</v>
      </c>
      <c r="T209" s="32"/>
      <c r="U209" s="262">
        <v>3.33</v>
      </c>
      <c r="W209" s="145">
        <v>67309</v>
      </c>
      <c r="Y209" s="157">
        <f t="shared" si="69"/>
        <v>20.527741438490921</v>
      </c>
      <c r="AA209" s="198"/>
    </row>
    <row r="210" spans="1:27" x14ac:dyDescent="0.2">
      <c r="A210" s="26"/>
      <c r="B210" s="139"/>
      <c r="C210" s="58" t="s">
        <v>124</v>
      </c>
      <c r="D210" s="139"/>
      <c r="E210" s="20" t="str">
        <f>[1]KU!$I$43</f>
        <v>167 - 04</v>
      </c>
      <c r="F210" s="20" t="s">
        <v>64</v>
      </c>
      <c r="G210" s="222">
        <f>'SKM Prod NS Weighting'!Q$29</f>
        <v>-6.3E-3</v>
      </c>
      <c r="H210" s="139"/>
      <c r="I210" s="200">
        <v>264130.81</v>
      </c>
      <c r="J210" s="200"/>
      <c r="K210" s="200">
        <v>29700</v>
      </c>
      <c r="L210" s="200"/>
      <c r="M210" s="237">
        <f t="shared" si="66"/>
        <v>236094.834103</v>
      </c>
      <c r="N210" s="45"/>
      <c r="O210" s="227">
        <f>'[2]342 PL'!$E$65</f>
        <v>16.759746667426889</v>
      </c>
      <c r="P210" s="140"/>
      <c r="Q210" s="196">
        <f t="shared" si="67"/>
        <v>14087.016873701197</v>
      </c>
      <c r="R210" s="136"/>
      <c r="S210" s="197">
        <f t="shared" si="68"/>
        <v>5.3333486062081124E-2</v>
      </c>
      <c r="T210" s="32"/>
      <c r="U210" s="262">
        <v>4.96</v>
      </c>
      <c r="W210" s="145">
        <v>13099</v>
      </c>
      <c r="Y210" s="157">
        <f t="shared" si="69"/>
        <v>988.01687370119726</v>
      </c>
      <c r="AA210" s="198"/>
    </row>
    <row r="211" spans="1:27" x14ac:dyDescent="0.2">
      <c r="A211" s="26"/>
      <c r="B211" s="139"/>
      <c r="C211" s="58" t="s">
        <v>125</v>
      </c>
      <c r="D211" s="139"/>
      <c r="E211" s="20" t="str">
        <f>[1]KU!$I$43</f>
        <v>167 - 04</v>
      </c>
      <c r="F211" s="20" t="s">
        <v>64</v>
      </c>
      <c r="G211" s="222">
        <f>'SKM Prod NS Weighting'!Q$29</f>
        <v>-6.3E-3</v>
      </c>
      <c r="H211" s="139"/>
      <c r="I211" s="200">
        <v>284822.69</v>
      </c>
      <c r="J211" s="200"/>
      <c r="K211" s="200">
        <v>38816</v>
      </c>
      <c r="L211" s="200"/>
      <c r="M211" s="237">
        <f t="shared" si="66"/>
        <v>247801.07294699998</v>
      </c>
      <c r="N211" s="45"/>
      <c r="O211" s="227">
        <f>'[2]342 PL'!$E$65</f>
        <v>16.759746667426889</v>
      </c>
      <c r="P211" s="140"/>
      <c r="Q211" s="196">
        <f t="shared" si="67"/>
        <v>14785.490369529833</v>
      </c>
      <c r="R211" s="136"/>
      <c r="S211" s="197">
        <f t="shared" si="68"/>
        <v>5.1911209635474728E-2</v>
      </c>
      <c r="T211" s="32"/>
      <c r="U211" s="262">
        <v>6.43</v>
      </c>
      <c r="W211" s="145">
        <v>18318</v>
      </c>
      <c r="Y211" s="157">
        <f t="shared" si="69"/>
        <v>-3532.5096304701674</v>
      </c>
      <c r="AA211" s="198"/>
    </row>
    <row r="212" spans="1:27" x14ac:dyDescent="0.2">
      <c r="A212" s="26"/>
      <c r="B212" s="139"/>
      <c r="C212" s="88" t="s">
        <v>190</v>
      </c>
      <c r="D212" s="139"/>
      <c r="E212" s="20" t="str">
        <f>[1]KU!$I$43</f>
        <v>167 - 04</v>
      </c>
      <c r="F212" s="20" t="s">
        <v>64</v>
      </c>
      <c r="G212" s="222">
        <f>'SKM Prod NS Weighting'!Q$29</f>
        <v>-6.3E-3</v>
      </c>
      <c r="H212" s="139"/>
      <c r="I212" s="200">
        <v>8106130.6600000001</v>
      </c>
      <c r="J212" s="200"/>
      <c r="K212" s="200">
        <v>4385668</v>
      </c>
      <c r="L212" s="200"/>
      <c r="M212" s="237">
        <f t="shared" si="66"/>
        <v>3771531.2831579996</v>
      </c>
      <c r="N212" s="45"/>
      <c r="O212" s="227">
        <f>'[2]342 PL'!$E$65</f>
        <v>16.759746667426889</v>
      </c>
      <c r="P212" s="140"/>
      <c r="Q212" s="196">
        <f t="shared" si="67"/>
        <v>225035.10094744409</v>
      </c>
      <c r="R212" s="136"/>
      <c r="S212" s="197">
        <f t="shared" si="68"/>
        <v>2.7761099640040109E-2</v>
      </c>
      <c r="T212" s="32"/>
      <c r="U212" s="262">
        <v>2.87</v>
      </c>
      <c r="W212" s="145">
        <v>232372</v>
      </c>
      <c r="Y212" s="157">
        <f t="shared" si="69"/>
        <v>-7336.8990525559057</v>
      </c>
      <c r="AA212" s="198"/>
    </row>
    <row r="213" spans="1:27" x14ac:dyDescent="0.2">
      <c r="A213" s="26"/>
      <c r="B213" s="139"/>
      <c r="C213" s="58" t="s">
        <v>126</v>
      </c>
      <c r="D213" s="139"/>
      <c r="E213" s="20" t="str">
        <f>[1]KU!$I$43</f>
        <v>167 - 04</v>
      </c>
      <c r="F213" s="20" t="s">
        <v>64</v>
      </c>
      <c r="G213" s="222">
        <f>'SKM Prod NS Weighting'!Q$29</f>
        <v>-6.3E-3</v>
      </c>
      <c r="H213" s="139"/>
      <c r="I213" s="200">
        <v>518704.54</v>
      </c>
      <c r="J213" s="200"/>
      <c r="K213" s="200">
        <v>88960</v>
      </c>
      <c r="L213" s="200"/>
      <c r="M213" s="237">
        <f t="shared" si="66"/>
        <v>433012.37860199995</v>
      </c>
      <c r="N213" s="45"/>
      <c r="O213" s="227">
        <f>'[2]342 PL'!$E$65</f>
        <v>16.759746667426889</v>
      </c>
      <c r="P213" s="140"/>
      <c r="Q213" s="196">
        <f t="shared" si="67"/>
        <v>25836.45130171171</v>
      </c>
      <c r="R213" s="136"/>
      <c r="S213" s="197">
        <f t="shared" si="68"/>
        <v>4.9809572327459695E-2</v>
      </c>
      <c r="T213" s="32"/>
      <c r="U213" s="262">
        <v>10.62</v>
      </c>
      <c r="W213" s="145">
        <v>55109</v>
      </c>
      <c r="Y213" s="157">
        <f t="shared" si="69"/>
        <v>-29272.54869828829</v>
      </c>
      <c r="AA213" s="198"/>
    </row>
    <row r="214" spans="1:27" x14ac:dyDescent="0.2">
      <c r="A214" s="26"/>
      <c r="B214" s="139"/>
      <c r="C214" s="58" t="s">
        <v>127</v>
      </c>
      <c r="D214" s="139"/>
      <c r="E214" s="20" t="str">
        <f>[1]KU!$I$43</f>
        <v>167 - 04</v>
      </c>
      <c r="F214" s="20" t="s">
        <v>64</v>
      </c>
      <c r="G214" s="222">
        <f>'SKM Prod NS Weighting'!Q$29</f>
        <v>-6.3E-3</v>
      </c>
      <c r="H214" s="139"/>
      <c r="I214" s="202">
        <v>1995101.02</v>
      </c>
      <c r="J214" s="200"/>
      <c r="K214" s="200">
        <v>695267</v>
      </c>
      <c r="L214" s="200"/>
      <c r="M214" s="237">
        <f t="shared" si="66"/>
        <v>1312403.1564259999</v>
      </c>
      <c r="N214" s="45"/>
      <c r="O214" s="227">
        <f>'[2]342 PL'!$E$65</f>
        <v>16.759746667426889</v>
      </c>
      <c r="P214" s="140"/>
      <c r="Q214" s="196">
        <f t="shared" si="67"/>
        <v>78306.861223427564</v>
      </c>
      <c r="R214" s="136"/>
      <c r="S214" s="197">
        <f t="shared" si="68"/>
        <v>3.9249572045944606E-2</v>
      </c>
      <c r="T214" s="32"/>
      <c r="U214" s="262">
        <v>3.8</v>
      </c>
      <c r="W214" s="145">
        <v>75845</v>
      </c>
      <c r="Y214" s="157">
        <f t="shared" si="69"/>
        <v>2461.8612234275643</v>
      </c>
      <c r="AA214" s="198"/>
    </row>
    <row r="215" spans="1:27" x14ac:dyDescent="0.2">
      <c r="A215" s="26"/>
      <c r="B215" s="139"/>
      <c r="C215" s="139"/>
      <c r="D215" s="139"/>
      <c r="E215" s="20"/>
      <c r="F215" s="20"/>
      <c r="G215" s="222"/>
      <c r="H215" s="139"/>
      <c r="I215" s="200"/>
      <c r="J215" s="205"/>
      <c r="K215" s="206"/>
      <c r="L215" s="201"/>
      <c r="M215" s="206"/>
      <c r="N215" s="34"/>
      <c r="O215" s="41"/>
      <c r="P215" s="140"/>
      <c r="Q215" s="35"/>
      <c r="R215" s="140"/>
      <c r="S215" s="179"/>
      <c r="T215" s="32"/>
      <c r="U215" s="262"/>
      <c r="AA215" s="198"/>
    </row>
    <row r="216" spans="1:27" x14ac:dyDescent="0.2">
      <c r="A216" s="26"/>
      <c r="B216" s="139"/>
      <c r="C216" s="65" t="s">
        <v>154</v>
      </c>
      <c r="D216" s="139"/>
      <c r="E216" s="20"/>
      <c r="F216" s="20"/>
      <c r="G216" s="222"/>
      <c r="H216" s="139"/>
      <c r="I216" s="200">
        <f>SUM(I198:I214)</f>
        <v>22747816.41</v>
      </c>
      <c r="J216" s="205"/>
      <c r="K216" s="200">
        <f>SUM(K198:K214)</f>
        <v>8652455</v>
      </c>
      <c r="L216" s="201"/>
      <c r="M216" s="200">
        <f>SUM(M198:M214)</f>
        <v>14238672.653382998</v>
      </c>
      <c r="N216" s="34"/>
      <c r="O216" s="41"/>
      <c r="P216" s="140"/>
      <c r="Q216" s="200">
        <f>SUM(Q198:Q214)</f>
        <v>849575.64907925029</v>
      </c>
      <c r="R216" s="136"/>
      <c r="S216" s="197">
        <f t="shared" ref="S216" si="70">+Q216/I216</f>
        <v>3.7347569268484801E-2</v>
      </c>
      <c r="T216" s="32"/>
      <c r="U216" s="262">
        <v>3.69</v>
      </c>
      <c r="W216" s="200">
        <v>840013</v>
      </c>
      <c r="Y216" s="200">
        <f>SUM(Y198:Y214)</f>
        <v>9562.6490792502336</v>
      </c>
      <c r="AA216" s="198"/>
    </row>
    <row r="217" spans="1:27" x14ac:dyDescent="0.2">
      <c r="A217" s="26"/>
      <c r="B217" s="139"/>
      <c r="C217" s="139"/>
      <c r="D217" s="139"/>
      <c r="E217" s="20"/>
      <c r="F217" s="20"/>
      <c r="G217" s="222"/>
      <c r="H217" s="139"/>
      <c r="I217" s="200"/>
      <c r="J217" s="205"/>
      <c r="K217" s="201"/>
      <c r="L217" s="201"/>
      <c r="M217" s="201"/>
      <c r="N217" s="34"/>
      <c r="O217" s="41"/>
      <c r="P217" s="140"/>
      <c r="Q217" s="35"/>
      <c r="R217" s="140"/>
      <c r="S217" s="179"/>
      <c r="T217" s="32"/>
      <c r="U217" s="262"/>
      <c r="AA217" s="198"/>
    </row>
    <row r="218" spans="1:27" x14ac:dyDescent="0.2">
      <c r="A218" s="26">
        <v>343</v>
      </c>
      <c r="B218" s="139"/>
      <c r="C218" s="139" t="s">
        <v>62</v>
      </c>
      <c r="D218" s="139"/>
      <c r="E218" s="56"/>
      <c r="F218" s="56"/>
      <c r="G218" s="224"/>
      <c r="H218" s="139"/>
      <c r="I218" s="200"/>
      <c r="J218" s="205"/>
      <c r="K218" s="201"/>
      <c r="L218" s="201"/>
      <c r="M218" s="201"/>
      <c r="N218" s="34"/>
      <c r="O218" s="41"/>
      <c r="P218" s="140"/>
      <c r="Q218" s="35"/>
      <c r="R218" s="140"/>
      <c r="S218" s="179"/>
      <c r="T218" s="32"/>
      <c r="U218" s="262"/>
      <c r="AA218" s="198"/>
    </row>
    <row r="219" spans="1:27" x14ac:dyDescent="0.2">
      <c r="A219" s="26"/>
      <c r="B219" s="139"/>
      <c r="C219" s="58" t="s">
        <v>113</v>
      </c>
      <c r="D219" s="139"/>
      <c r="E219" s="20" t="str">
        <f>[1]KU!$I$44</f>
        <v>58.6 - R0.5</v>
      </c>
      <c r="F219" s="20" t="s">
        <v>64</v>
      </c>
      <c r="G219" s="222">
        <f>'SKM Prod NS Weighting'!Q$30</f>
        <v>-6.8000000000000005E-3</v>
      </c>
      <c r="H219" s="139"/>
      <c r="I219" s="200">
        <v>31137756.050000001</v>
      </c>
      <c r="J219" s="200"/>
      <c r="K219" s="200">
        <v>10133882</v>
      </c>
      <c r="L219" s="200"/>
      <c r="M219" s="237">
        <f t="shared" ref="M219:M232" si="71">+((1-G219)*I219)-K219</f>
        <v>21215610.791139998</v>
      </c>
      <c r="N219" s="45"/>
      <c r="O219" s="227">
        <f>'[2]343 PL'!$E$41</f>
        <v>17.503849676898707</v>
      </c>
      <c r="P219" s="140"/>
      <c r="Q219" s="196">
        <f t="shared" ref="Q219:Q232" si="72">+M219/O219</f>
        <v>1212053.9871374702</v>
      </c>
      <c r="R219" s="136"/>
      <c r="S219" s="197">
        <f t="shared" ref="S219:S232" si="73">+Q219/I219</f>
        <v>3.8925540594228855E-2</v>
      </c>
      <c r="T219" s="32"/>
      <c r="U219" s="262">
        <v>4.04</v>
      </c>
      <c r="W219" s="145">
        <v>1259343</v>
      </c>
      <c r="Y219" s="157">
        <f t="shared" ref="Y219:Y232" si="74">Q219-W219</f>
        <v>-47289.012862529838</v>
      </c>
      <c r="AA219" s="198"/>
    </row>
    <row r="220" spans="1:27" x14ac:dyDescent="0.2">
      <c r="A220" s="26"/>
      <c r="B220" s="139"/>
      <c r="C220" s="58" t="s">
        <v>114</v>
      </c>
      <c r="D220" s="139"/>
      <c r="E220" s="20" t="str">
        <f>[1]KU!$I$44</f>
        <v>58.6 - R0.5</v>
      </c>
      <c r="F220" s="20" t="s">
        <v>64</v>
      </c>
      <c r="G220" s="222">
        <f>'SKM Prod NS Weighting'!Q$30</f>
        <v>-6.8000000000000005E-3</v>
      </c>
      <c r="H220" s="139"/>
      <c r="I220" s="200">
        <v>32030243.239999998</v>
      </c>
      <c r="J220" s="200"/>
      <c r="K220" s="200">
        <v>8059467</v>
      </c>
      <c r="L220" s="200"/>
      <c r="M220" s="237">
        <f t="shared" si="71"/>
        <v>24188581.894031994</v>
      </c>
      <c r="N220" s="45"/>
      <c r="O220" s="227">
        <f>'[2]343 PL'!$E$41</f>
        <v>17.503849676898707</v>
      </c>
      <c r="P220" s="140"/>
      <c r="Q220" s="196">
        <f t="shared" si="72"/>
        <v>1381900.6870217633</v>
      </c>
      <c r="R220" s="136"/>
      <c r="S220" s="197">
        <f t="shared" si="73"/>
        <v>4.3143621378935348E-2</v>
      </c>
      <c r="T220" s="32"/>
      <c r="U220" s="262">
        <v>4.43</v>
      </c>
      <c r="W220" s="145">
        <v>1419553</v>
      </c>
      <c r="Y220" s="157">
        <f t="shared" si="74"/>
        <v>-37652.312978236703</v>
      </c>
      <c r="AA220" s="198"/>
    </row>
    <row r="221" spans="1:27" x14ac:dyDescent="0.2">
      <c r="A221" s="26"/>
      <c r="B221" s="139"/>
      <c r="C221" s="58" t="s">
        <v>115</v>
      </c>
      <c r="D221" s="139"/>
      <c r="E221" s="20" t="str">
        <f>[1]KU!$I$44</f>
        <v>58.6 - R0.5</v>
      </c>
      <c r="F221" s="20" t="s">
        <v>64</v>
      </c>
      <c r="G221" s="222">
        <f>'SKM Prod NS Weighting'!Q$30</f>
        <v>-6.8000000000000005E-3</v>
      </c>
      <c r="H221" s="139"/>
      <c r="I221" s="200">
        <v>23223115.609999999</v>
      </c>
      <c r="J221" s="200"/>
      <c r="K221" s="200">
        <v>6218174</v>
      </c>
      <c r="L221" s="200"/>
      <c r="M221" s="237">
        <f t="shared" si="71"/>
        <v>17162858.796147998</v>
      </c>
      <c r="N221" s="45"/>
      <c r="O221" s="227">
        <f>'[2]343 PL'!$E$41</f>
        <v>17.503849676898707</v>
      </c>
      <c r="P221" s="140"/>
      <c r="Q221" s="196">
        <f t="shared" si="72"/>
        <v>980519.09225427464</v>
      </c>
      <c r="R221" s="136"/>
      <c r="S221" s="197">
        <f t="shared" si="73"/>
        <v>4.2221685871987727E-2</v>
      </c>
      <c r="T221" s="32"/>
      <c r="U221" s="262">
        <v>3.99</v>
      </c>
      <c r="W221" s="145">
        <v>926898</v>
      </c>
      <c r="Y221" s="157">
        <f t="shared" si="74"/>
        <v>53621.092254274641</v>
      </c>
      <c r="AA221" s="198"/>
    </row>
    <row r="222" spans="1:27" x14ac:dyDescent="0.2">
      <c r="A222" s="26"/>
      <c r="B222" s="139"/>
      <c r="C222" s="58" t="s">
        <v>116</v>
      </c>
      <c r="D222" s="139"/>
      <c r="E222" s="20" t="str">
        <f>[1]KU!$I$44</f>
        <v>58.6 - R0.5</v>
      </c>
      <c r="F222" s="20" t="s">
        <v>64</v>
      </c>
      <c r="G222" s="222">
        <f>'SKM Prod NS Weighting'!Q$30</f>
        <v>-6.8000000000000005E-3</v>
      </c>
      <c r="H222" s="139"/>
      <c r="I222" s="200">
        <v>23034740.629999999</v>
      </c>
      <c r="J222" s="200"/>
      <c r="K222" s="200">
        <v>6163385</v>
      </c>
      <c r="L222" s="200"/>
      <c r="M222" s="237">
        <f t="shared" si="71"/>
        <v>17027991.866283998</v>
      </c>
      <c r="N222" s="45"/>
      <c r="O222" s="227">
        <f>'[2]343 PL'!$E$41</f>
        <v>17.503849676898707</v>
      </c>
      <c r="P222" s="140"/>
      <c r="Q222" s="196">
        <f t="shared" si="72"/>
        <v>972814.10550258902</v>
      </c>
      <c r="R222" s="136"/>
      <c r="S222" s="197">
        <f t="shared" si="73"/>
        <v>4.2232474900785938E-2</v>
      </c>
      <c r="T222" s="32"/>
      <c r="U222" s="262">
        <v>3.99</v>
      </c>
      <c r="W222" s="145">
        <v>919628</v>
      </c>
      <c r="Y222" s="157">
        <f t="shared" si="74"/>
        <v>53186.105502589024</v>
      </c>
      <c r="AA222" s="198"/>
    </row>
    <row r="223" spans="1:27" x14ac:dyDescent="0.2">
      <c r="A223" s="26"/>
      <c r="B223" s="139"/>
      <c r="C223" s="58" t="s">
        <v>117</v>
      </c>
      <c r="D223" s="139"/>
      <c r="E223" s="20" t="str">
        <f>[1]KU!$I$44</f>
        <v>58.6 - R0.5</v>
      </c>
      <c r="F223" s="20" t="s">
        <v>64</v>
      </c>
      <c r="G223" s="222">
        <f>'SKM Prod NS Weighting'!Q$30</f>
        <v>-6.8000000000000005E-3</v>
      </c>
      <c r="H223" s="139"/>
      <c r="I223" s="200">
        <v>22902195.539999999</v>
      </c>
      <c r="J223" s="200"/>
      <c r="K223" s="200">
        <v>5896000</v>
      </c>
      <c r="L223" s="200"/>
      <c r="M223" s="237">
        <f t="shared" si="71"/>
        <v>17161930.469671998</v>
      </c>
      <c r="N223" s="45"/>
      <c r="O223" s="227">
        <f>'[2]343 PL'!$E$41</f>
        <v>17.503849676898707</v>
      </c>
      <c r="P223" s="140"/>
      <c r="Q223" s="196">
        <f t="shared" si="72"/>
        <v>980466.05669391877</v>
      </c>
      <c r="R223" s="136"/>
      <c r="S223" s="197">
        <f t="shared" si="73"/>
        <v>4.2811007136039796E-2</v>
      </c>
      <c r="T223" s="32"/>
      <c r="U223" s="262">
        <v>4.04</v>
      </c>
      <c r="W223" s="145">
        <v>925844</v>
      </c>
      <c r="Y223" s="157">
        <f t="shared" si="74"/>
        <v>54622.05669391877</v>
      </c>
      <c r="AA223" s="198"/>
    </row>
    <row r="224" spans="1:27" x14ac:dyDescent="0.2">
      <c r="A224" s="26"/>
      <c r="B224" s="139"/>
      <c r="C224" s="58" t="s">
        <v>118</v>
      </c>
      <c r="D224" s="139"/>
      <c r="E224" s="20" t="str">
        <f>[1]KU!$I$44</f>
        <v>58.6 - R0.5</v>
      </c>
      <c r="F224" s="20" t="s">
        <v>64</v>
      </c>
      <c r="G224" s="222">
        <f>'SKM Prod NS Weighting'!Q$30</f>
        <v>-6.8000000000000005E-3</v>
      </c>
      <c r="H224" s="139"/>
      <c r="I224" s="200">
        <v>22850722.460000001</v>
      </c>
      <c r="J224" s="200"/>
      <c r="K224" s="200">
        <v>5890691</v>
      </c>
      <c r="L224" s="200"/>
      <c r="M224" s="237">
        <f t="shared" si="71"/>
        <v>17115416.372727998</v>
      </c>
      <c r="N224" s="45"/>
      <c r="O224" s="227">
        <f>'[2]343 PL'!$E$41</f>
        <v>17.503849676898707</v>
      </c>
      <c r="P224" s="140"/>
      <c r="Q224" s="196">
        <f t="shared" si="72"/>
        <v>977808.69286809769</v>
      </c>
      <c r="R224" s="136"/>
      <c r="S224" s="197">
        <f t="shared" si="73"/>
        <v>4.2791150020737578E-2</v>
      </c>
      <c r="T224" s="32"/>
      <c r="U224" s="262">
        <v>4.04</v>
      </c>
      <c r="W224" s="145">
        <v>923525</v>
      </c>
      <c r="Y224" s="157">
        <f t="shared" si="74"/>
        <v>54283.692868097685</v>
      </c>
      <c r="AA224" s="198"/>
    </row>
    <row r="225" spans="1:27" x14ac:dyDescent="0.2">
      <c r="A225" s="26"/>
      <c r="B225" s="139"/>
      <c r="C225" s="58" t="s">
        <v>119</v>
      </c>
      <c r="D225" s="139"/>
      <c r="E225" s="20" t="str">
        <f>[1]KU!$I$44</f>
        <v>58.6 - R0.5</v>
      </c>
      <c r="F225" s="20" t="s">
        <v>64</v>
      </c>
      <c r="G225" s="222">
        <f>'SKM Prod NS Weighting'!Q$30</f>
        <v>-6.8000000000000005E-3</v>
      </c>
      <c r="H225" s="139"/>
      <c r="I225" s="200">
        <v>14666936.33</v>
      </c>
      <c r="J225" s="200"/>
      <c r="K225" s="200">
        <v>4448405</v>
      </c>
      <c r="L225" s="200"/>
      <c r="M225" s="237">
        <f t="shared" si="71"/>
        <v>10318266.497043999</v>
      </c>
      <c r="N225" s="45"/>
      <c r="O225" s="227">
        <f>'[2]343 PL'!$E$41</f>
        <v>17.503849676898707</v>
      </c>
      <c r="P225" s="140"/>
      <c r="Q225" s="196">
        <f t="shared" si="72"/>
        <v>589485.5524646031</v>
      </c>
      <c r="R225" s="136"/>
      <c r="S225" s="197">
        <f t="shared" si="73"/>
        <v>4.0191457793326571E-2</v>
      </c>
      <c r="T225" s="32"/>
      <c r="U225" s="262">
        <v>4.33</v>
      </c>
      <c r="W225" s="145">
        <v>635708</v>
      </c>
      <c r="Y225" s="157">
        <f t="shared" si="74"/>
        <v>-46222.447535396903</v>
      </c>
      <c r="AA225" s="198"/>
    </row>
    <row r="226" spans="1:27" x14ac:dyDescent="0.2">
      <c r="A226" s="114" t="s">
        <v>130</v>
      </c>
      <c r="B226" s="139"/>
      <c r="C226" s="58" t="s">
        <v>120</v>
      </c>
      <c r="D226" s="139"/>
      <c r="E226" s="20" t="str">
        <f>[1]KU!$I$44</f>
        <v>58.6 - R0.5</v>
      </c>
      <c r="F226" s="20" t="s">
        <v>64</v>
      </c>
      <c r="G226" s="222">
        <f>'SKM Prod NS Weighting'!Q$30</f>
        <v>-6.8000000000000005E-3</v>
      </c>
      <c r="H226" s="139"/>
      <c r="I226" s="200">
        <v>34600149.280000001</v>
      </c>
      <c r="J226" s="200"/>
      <c r="K226" s="200">
        <v>7991509</v>
      </c>
      <c r="L226" s="200"/>
      <c r="M226" s="237">
        <f t="shared" si="71"/>
        <v>26843921.295103997</v>
      </c>
      <c r="N226" s="45"/>
      <c r="O226" s="227">
        <f>'[2]343 PL'!$E$41</f>
        <v>17.503849676898707</v>
      </c>
      <c r="P226" s="140"/>
      <c r="Q226" s="196">
        <f t="shared" si="72"/>
        <v>1533600.9958159183</v>
      </c>
      <c r="R226" s="136"/>
      <c r="S226" s="197">
        <f t="shared" si="73"/>
        <v>4.4323536971049689E-2</v>
      </c>
      <c r="T226" s="32"/>
      <c r="U226" s="262">
        <v>5.24</v>
      </c>
      <c r="W226" s="145">
        <v>1813591</v>
      </c>
      <c r="Y226" s="157">
        <f t="shared" si="74"/>
        <v>-279990.00418408168</v>
      </c>
      <c r="AA226" s="198"/>
    </row>
    <row r="227" spans="1:27" x14ac:dyDescent="0.2">
      <c r="A227" s="26"/>
      <c r="B227" s="139"/>
      <c r="C227" s="58" t="s">
        <v>121</v>
      </c>
      <c r="D227" s="139"/>
      <c r="E227" s="20" t="str">
        <f>[1]KU!$I$44</f>
        <v>58.6 - R0.5</v>
      </c>
      <c r="F227" s="20" t="s">
        <v>64</v>
      </c>
      <c r="G227" s="222">
        <f>'SKM Prod NS Weighting'!Q$30</f>
        <v>-6.8000000000000005E-3</v>
      </c>
      <c r="H227" s="139"/>
      <c r="I227" s="200">
        <v>31657718.920000002</v>
      </c>
      <c r="J227" s="200"/>
      <c r="K227" s="200">
        <v>7847473</v>
      </c>
      <c r="L227" s="200"/>
      <c r="M227" s="237">
        <f t="shared" si="71"/>
        <v>24025518.408655997</v>
      </c>
      <c r="N227" s="45"/>
      <c r="O227" s="227">
        <f>'[2]343 PL'!$E$41</f>
        <v>17.503849676898707</v>
      </c>
      <c r="P227" s="140"/>
      <c r="Q227" s="196">
        <f t="shared" si="72"/>
        <v>1372584.8228898174</v>
      </c>
      <c r="R227" s="136"/>
      <c r="S227" s="197">
        <f t="shared" si="73"/>
        <v>4.3357034862757486E-2</v>
      </c>
      <c r="T227" s="32"/>
      <c r="U227" s="262">
        <v>5.15</v>
      </c>
      <c r="W227" s="145">
        <v>1628808</v>
      </c>
      <c r="Y227" s="157">
        <f t="shared" si="74"/>
        <v>-256223.17711018259</v>
      </c>
      <c r="AA227" s="198"/>
    </row>
    <row r="228" spans="1:27" x14ac:dyDescent="0.2">
      <c r="A228" s="26"/>
      <c r="B228" s="139"/>
      <c r="C228" s="58" t="s">
        <v>122</v>
      </c>
      <c r="D228" s="139"/>
      <c r="E228" s="20" t="str">
        <f>[1]KU!$I$44</f>
        <v>58.6 - R0.5</v>
      </c>
      <c r="F228" s="20" t="s">
        <v>64</v>
      </c>
      <c r="G228" s="222">
        <f>'SKM Prod NS Weighting'!Q$30</f>
        <v>-6.8000000000000005E-3</v>
      </c>
      <c r="H228" s="139"/>
      <c r="I228" s="200">
        <v>26710989.989999998</v>
      </c>
      <c r="J228" s="200"/>
      <c r="K228" s="200">
        <v>10068236</v>
      </c>
      <c r="L228" s="200"/>
      <c r="M228" s="237">
        <f t="shared" si="71"/>
        <v>16824388.721931998</v>
      </c>
      <c r="N228" s="45"/>
      <c r="O228" s="227">
        <f>'[2]343 PL'!$E$41</f>
        <v>17.503849676898707</v>
      </c>
      <c r="P228" s="140"/>
      <c r="Q228" s="196">
        <f t="shared" si="72"/>
        <v>961182.19891573617</v>
      </c>
      <c r="R228" s="136"/>
      <c r="S228" s="197">
        <f t="shared" si="73"/>
        <v>3.5984521699704182E-2</v>
      </c>
      <c r="T228" s="32"/>
      <c r="U228" s="262">
        <v>5.45</v>
      </c>
      <c r="W228" s="145">
        <v>1455318</v>
      </c>
      <c r="Y228" s="157">
        <f t="shared" si="74"/>
        <v>-494135.80108426383</v>
      </c>
      <c r="AA228" s="198"/>
    </row>
    <row r="229" spans="1:27" x14ac:dyDescent="0.2">
      <c r="A229" s="68"/>
      <c r="B229" s="139"/>
      <c r="C229" s="58" t="s">
        <v>123</v>
      </c>
      <c r="D229" s="139"/>
      <c r="E229" s="20" t="str">
        <f>[1]KU!$I$44</f>
        <v>58.6 - R0.5</v>
      </c>
      <c r="F229" s="20" t="s">
        <v>64</v>
      </c>
      <c r="G229" s="222">
        <f>'SKM Prod NS Weighting'!Q$30</f>
        <v>-6.8000000000000005E-3</v>
      </c>
      <c r="H229" s="139"/>
      <c r="I229" s="200">
        <v>23335363.18</v>
      </c>
      <c r="J229" s="200"/>
      <c r="K229" s="200">
        <v>11433236</v>
      </c>
      <c r="L229" s="200"/>
      <c r="M229" s="237">
        <f t="shared" si="71"/>
        <v>12060807.649623998</v>
      </c>
      <c r="N229" s="45"/>
      <c r="O229" s="227">
        <f>'[2]343 PL'!$E$41</f>
        <v>17.503849676898707</v>
      </c>
      <c r="P229" s="140"/>
      <c r="Q229" s="196">
        <f t="shared" si="72"/>
        <v>689037.43303632538</v>
      </c>
      <c r="R229" s="136"/>
      <c r="S229" s="197">
        <f t="shared" si="73"/>
        <v>2.9527606993786905E-2</v>
      </c>
      <c r="T229" s="32"/>
      <c r="U229" s="262">
        <v>3.43</v>
      </c>
      <c r="W229" s="145">
        <v>800496</v>
      </c>
      <c r="Y229" s="157">
        <f t="shared" si="74"/>
        <v>-111458.56696367462</v>
      </c>
      <c r="AA229" s="198"/>
    </row>
    <row r="230" spans="1:27" x14ac:dyDescent="0.2">
      <c r="A230" s="26"/>
      <c r="B230" s="139"/>
      <c r="C230" s="58" t="s">
        <v>124</v>
      </c>
      <c r="D230" s="139"/>
      <c r="E230" s="20" t="str">
        <f>[1]KU!$I$44</f>
        <v>58.6 - R0.5</v>
      </c>
      <c r="F230" s="20" t="s">
        <v>64</v>
      </c>
      <c r="G230" s="222">
        <f>'SKM Prod NS Weighting'!Q$30</f>
        <v>-6.8000000000000005E-3</v>
      </c>
      <c r="H230" s="139"/>
      <c r="I230" s="200">
        <v>20074765.960000001</v>
      </c>
      <c r="J230" s="200"/>
      <c r="K230" s="200">
        <v>9663038</v>
      </c>
      <c r="L230" s="200"/>
      <c r="M230" s="237">
        <f t="shared" si="71"/>
        <v>10548236.368528001</v>
      </c>
      <c r="N230" s="45"/>
      <c r="O230" s="227">
        <f>'[2]343 PL'!$E$41</f>
        <v>17.503849676898707</v>
      </c>
      <c r="P230" s="140"/>
      <c r="Q230" s="196">
        <f t="shared" si="72"/>
        <v>602623.79780656996</v>
      </c>
      <c r="R230" s="136"/>
      <c r="S230" s="197">
        <f t="shared" si="73"/>
        <v>3.0018970034685771E-2</v>
      </c>
      <c r="T230" s="32"/>
      <c r="U230" s="262">
        <v>3.49</v>
      </c>
      <c r="W230" s="145">
        <v>700567</v>
      </c>
      <c r="Y230" s="157">
        <f t="shared" si="74"/>
        <v>-97943.202193430043</v>
      </c>
      <c r="AA230" s="198"/>
    </row>
    <row r="231" spans="1:27" x14ac:dyDescent="0.2">
      <c r="A231" s="26"/>
      <c r="B231" s="139"/>
      <c r="C231" s="58" t="s">
        <v>125</v>
      </c>
      <c r="D231" s="139"/>
      <c r="E231" s="20" t="str">
        <f>[1]KU!$I$44</f>
        <v>58.6 - R0.5</v>
      </c>
      <c r="F231" s="20" t="s">
        <v>64</v>
      </c>
      <c r="G231" s="222">
        <f>'SKM Prod NS Weighting'!Q$30</f>
        <v>-6.8000000000000005E-3</v>
      </c>
      <c r="H231" s="139"/>
      <c r="I231" s="200">
        <v>34794971.170000002</v>
      </c>
      <c r="J231" s="200"/>
      <c r="K231" s="200">
        <v>15401000</v>
      </c>
      <c r="L231" s="200"/>
      <c r="M231" s="237">
        <f t="shared" si="71"/>
        <v>19630576.973955996</v>
      </c>
      <c r="N231" s="45"/>
      <c r="O231" s="227">
        <f>'[2]343 PL'!$E$41</f>
        <v>17.503849676898707</v>
      </c>
      <c r="P231" s="140"/>
      <c r="Q231" s="196">
        <f t="shared" si="72"/>
        <v>1121500.5462406427</v>
      </c>
      <c r="R231" s="136"/>
      <c r="S231" s="197">
        <f t="shared" si="73"/>
        <v>3.2231684882314059E-2</v>
      </c>
      <c r="T231" s="32"/>
      <c r="U231" s="262">
        <v>4.6500000000000004</v>
      </c>
      <c r="W231" s="145">
        <v>1618377</v>
      </c>
      <c r="Y231" s="157">
        <f t="shared" si="74"/>
        <v>-496876.45375935733</v>
      </c>
      <c r="AA231" s="198"/>
    </row>
    <row r="232" spans="1:27" x14ac:dyDescent="0.2">
      <c r="A232" s="26"/>
      <c r="B232" s="139"/>
      <c r="C232" s="58" t="s">
        <v>127</v>
      </c>
      <c r="D232" s="139"/>
      <c r="E232" s="20" t="str">
        <f>[1]KU!$I$44</f>
        <v>58.6 - R0.5</v>
      </c>
      <c r="F232" s="20" t="s">
        <v>64</v>
      </c>
      <c r="G232" s="222">
        <f>'SKM Prod NS Weighting'!Q$30</f>
        <v>-6.8000000000000005E-3</v>
      </c>
      <c r="H232" s="139"/>
      <c r="I232" s="202">
        <v>17803364.010000002</v>
      </c>
      <c r="J232" s="200"/>
      <c r="K232" s="202">
        <v>4875055</v>
      </c>
      <c r="L232" s="200"/>
      <c r="M232" s="237">
        <f t="shared" si="71"/>
        <v>13049371.885267999</v>
      </c>
      <c r="N232" s="45"/>
      <c r="O232" s="227">
        <f>'[2]343 PL'!$E$41</f>
        <v>17.503849676898707</v>
      </c>
      <c r="P232" s="140"/>
      <c r="Q232" s="196">
        <f t="shared" si="72"/>
        <v>745514.39404157735</v>
      </c>
      <c r="R232" s="136"/>
      <c r="S232" s="197">
        <f t="shared" si="73"/>
        <v>4.1874917213557399E-2</v>
      </c>
      <c r="T232" s="32"/>
      <c r="U232" s="262">
        <v>4.53</v>
      </c>
      <c r="W232" s="145">
        <v>806030</v>
      </c>
      <c r="Y232" s="157">
        <f t="shared" si="74"/>
        <v>-60515.605958422646</v>
      </c>
      <c r="AA232" s="198"/>
    </row>
    <row r="233" spans="1:27" x14ac:dyDescent="0.2">
      <c r="A233" s="26"/>
      <c r="B233" s="139"/>
      <c r="C233" s="139"/>
      <c r="D233" s="139"/>
      <c r="E233" s="20"/>
      <c r="F233" s="20"/>
      <c r="G233" s="222"/>
      <c r="H233" s="139"/>
      <c r="I233" s="200"/>
      <c r="J233" s="200"/>
      <c r="K233" s="200"/>
      <c r="L233" s="200"/>
      <c r="M233" s="200"/>
      <c r="N233" s="45"/>
      <c r="O233" s="176"/>
      <c r="P233" s="140"/>
      <c r="Q233" s="35"/>
      <c r="R233" s="140"/>
      <c r="S233" s="179"/>
      <c r="T233" s="32"/>
      <c r="U233" s="262"/>
      <c r="AA233" s="198"/>
    </row>
    <row r="234" spans="1:27" x14ac:dyDescent="0.2">
      <c r="A234" s="26"/>
      <c r="B234" s="139"/>
      <c r="C234" s="65" t="s">
        <v>63</v>
      </c>
      <c r="D234" s="139"/>
      <c r="E234" s="20"/>
      <c r="F234" s="20"/>
      <c r="G234" s="222"/>
      <c r="H234" s="139"/>
      <c r="I234" s="200">
        <f>SUM(I219:I232)</f>
        <v>358823032.37</v>
      </c>
      <c r="J234" s="205"/>
      <c r="K234" s="200">
        <f>SUM(K219:K232)</f>
        <v>114089551</v>
      </c>
      <c r="L234" s="201"/>
      <c r="M234" s="200">
        <f>SUM(M219:M232)</f>
        <v>247173477.99011597</v>
      </c>
      <c r="N234" s="34"/>
      <c r="O234" s="41"/>
      <c r="P234" s="140"/>
      <c r="Q234" s="200">
        <f>SUM(Q219:Q232)</f>
        <v>14121092.362689305</v>
      </c>
      <c r="R234" s="136"/>
      <c r="S234" s="197">
        <f t="shared" ref="S234" si="75">+Q234/I234</f>
        <v>3.9353918474576498E-2</v>
      </c>
      <c r="T234" s="32"/>
      <c r="U234" s="262">
        <v>4.41</v>
      </c>
      <c r="W234" s="200">
        <v>15833686</v>
      </c>
      <c r="Y234" s="200">
        <f>SUM(Y219:Y232)</f>
        <v>-1712593.6373106963</v>
      </c>
      <c r="AA234" s="198"/>
    </row>
    <row r="235" spans="1:27" x14ac:dyDescent="0.2">
      <c r="A235" s="26"/>
      <c r="B235" s="139"/>
      <c r="C235" s="139"/>
      <c r="D235" s="139"/>
      <c r="E235" s="20"/>
      <c r="F235" s="20"/>
      <c r="G235" s="222"/>
      <c r="H235" s="139"/>
      <c r="I235" s="200"/>
      <c r="J235" s="205"/>
      <c r="K235" s="201"/>
      <c r="L235" s="201"/>
      <c r="M235" s="201"/>
      <c r="N235" s="34"/>
      <c r="O235" s="41"/>
      <c r="P235" s="140"/>
      <c r="Q235" s="35"/>
      <c r="R235" s="140"/>
      <c r="S235" s="179"/>
      <c r="T235" s="32"/>
      <c r="U235" s="266"/>
      <c r="AA235" s="198"/>
    </row>
    <row r="236" spans="1:27" x14ac:dyDescent="0.2">
      <c r="A236" s="26">
        <v>344</v>
      </c>
      <c r="B236" s="139"/>
      <c r="C236" s="139" t="s">
        <v>37</v>
      </c>
      <c r="D236" s="139"/>
      <c r="E236" s="56"/>
      <c r="F236" s="56"/>
      <c r="G236" s="224"/>
      <c r="H236" s="139"/>
      <c r="I236" s="200"/>
      <c r="J236" s="205"/>
      <c r="K236" s="201"/>
      <c r="L236" s="201"/>
      <c r="M236" s="201"/>
      <c r="N236" s="34"/>
      <c r="O236" s="227"/>
      <c r="P236" s="140"/>
      <c r="Q236" s="35"/>
      <c r="R236" s="140"/>
      <c r="S236" s="179"/>
      <c r="T236" s="32"/>
      <c r="U236" s="262"/>
      <c r="AA236" s="198"/>
    </row>
    <row r="237" spans="1:27" x14ac:dyDescent="0.2">
      <c r="A237" s="26"/>
      <c r="B237" s="139"/>
      <c r="C237" s="58" t="s">
        <v>113</v>
      </c>
      <c r="D237" s="139"/>
      <c r="E237" s="20" t="str">
        <f>[1]KU!$I$45</f>
        <v>78 - S2</v>
      </c>
      <c r="F237" s="20" t="s">
        <v>64</v>
      </c>
      <c r="G237" s="222">
        <f>'SKM Prod NS Weighting'!Q$31</f>
        <v>-1.5000000000000001E-4</v>
      </c>
      <c r="H237" s="139"/>
      <c r="I237" s="200">
        <v>3763274.51</v>
      </c>
      <c r="J237" s="200"/>
      <c r="K237" s="200">
        <v>1176387</v>
      </c>
      <c r="L237" s="200"/>
      <c r="M237" s="237">
        <f>+((1-G237)*I237)-K237</f>
        <v>2587452.0011765002</v>
      </c>
      <c r="N237" s="45"/>
      <c r="O237" s="227">
        <f>'[2]344 PL'!$E$65</f>
        <v>18.74732065873895</v>
      </c>
      <c r="P237" s="140"/>
      <c r="Q237" s="196">
        <f>+M237/O237</f>
        <v>138017.16246691364</v>
      </c>
      <c r="R237" s="136"/>
      <c r="S237" s="197">
        <f t="shared" ref="S237:S251" si="76">+Q237/I237</f>
        <v>3.6674752825010801E-2</v>
      </c>
      <c r="T237" s="32"/>
      <c r="U237" s="262">
        <v>3.62</v>
      </c>
      <c r="W237" s="145">
        <v>136229</v>
      </c>
      <c r="Y237" s="157">
        <f t="shared" ref="Y237:Y251" si="77">Q237-W237</f>
        <v>1788.1624669136363</v>
      </c>
      <c r="AA237" s="198"/>
    </row>
    <row r="238" spans="1:27" x14ac:dyDescent="0.2">
      <c r="A238" s="26"/>
      <c r="B238" s="139"/>
      <c r="C238" s="58" t="s">
        <v>114</v>
      </c>
      <c r="D238" s="139"/>
      <c r="E238" s="20" t="str">
        <f>[1]KU!$I$45</f>
        <v>78 - S2</v>
      </c>
      <c r="F238" s="20" t="s">
        <v>64</v>
      </c>
      <c r="G238" s="222">
        <f>'SKM Prod NS Weighting'!Q$31</f>
        <v>-1.5000000000000001E-4</v>
      </c>
      <c r="H238" s="139"/>
      <c r="I238" s="200">
        <v>3757946.57</v>
      </c>
      <c r="J238" s="200"/>
      <c r="K238" s="200">
        <v>1174917</v>
      </c>
      <c r="L238" s="200"/>
      <c r="M238" s="237">
        <f t="shared" ref="M238:M251" si="78">+((1-G238)*I238)-K238</f>
        <v>2583593.2619855003</v>
      </c>
      <c r="N238" s="45"/>
      <c r="O238" s="227">
        <f>'[2]344 PL'!$E$65</f>
        <v>18.74732065873895</v>
      </c>
      <c r="P238" s="140"/>
      <c r="Q238" s="196">
        <f t="shared" ref="Q238:Q251" si="79">+M238/O238</f>
        <v>137811.33363082336</v>
      </c>
      <c r="R238" s="136"/>
      <c r="S238" s="197">
        <f t="shared" si="76"/>
        <v>3.6671977917669907E-2</v>
      </c>
      <c r="T238" s="32"/>
      <c r="U238" s="262">
        <v>3.62</v>
      </c>
      <c r="W238" s="145">
        <v>136027</v>
      </c>
      <c r="Y238" s="157">
        <f t="shared" si="77"/>
        <v>1784.3336308233556</v>
      </c>
      <c r="AA238" s="198"/>
    </row>
    <row r="239" spans="1:27" x14ac:dyDescent="0.2">
      <c r="A239" s="26"/>
      <c r="B239" s="139"/>
      <c r="C239" s="58" t="s">
        <v>115</v>
      </c>
      <c r="D239" s="139"/>
      <c r="E239" s="20" t="str">
        <f>[1]KU!$I$45</f>
        <v>78 - S2</v>
      </c>
      <c r="F239" s="20" t="s">
        <v>64</v>
      </c>
      <c r="G239" s="222">
        <f>'SKM Prod NS Weighting'!Q$31</f>
        <v>-1.5000000000000001E-4</v>
      </c>
      <c r="H239" s="139"/>
      <c r="I239" s="200">
        <v>2950282.37</v>
      </c>
      <c r="J239" s="200"/>
      <c r="K239" s="200">
        <v>748548</v>
      </c>
      <c r="L239" s="200"/>
      <c r="M239" s="237">
        <f t="shared" si="78"/>
        <v>2202176.9123555003</v>
      </c>
      <c r="N239" s="45"/>
      <c r="O239" s="227">
        <f>'[2]344 PL'!$E$65</f>
        <v>18.74732065873895</v>
      </c>
      <c r="P239" s="140"/>
      <c r="Q239" s="196">
        <f t="shared" si="79"/>
        <v>117466.22103724294</v>
      </c>
      <c r="R239" s="136"/>
      <c r="S239" s="197">
        <f t="shared" si="76"/>
        <v>3.9815246917278273E-2</v>
      </c>
      <c r="T239" s="32"/>
      <c r="U239" s="262">
        <v>3.56</v>
      </c>
      <c r="W239" s="145">
        <v>105018</v>
      </c>
      <c r="Y239" s="157">
        <f t="shared" si="77"/>
        <v>12448.22103724294</v>
      </c>
      <c r="AA239" s="198"/>
    </row>
    <row r="240" spans="1:27" x14ac:dyDescent="0.2">
      <c r="A240" s="26"/>
      <c r="B240" s="139"/>
      <c r="C240" s="58" t="s">
        <v>116</v>
      </c>
      <c r="D240" s="139"/>
      <c r="E240" s="20" t="str">
        <f>[1]KU!$I$45</f>
        <v>78 - S2</v>
      </c>
      <c r="F240" s="20" t="s">
        <v>64</v>
      </c>
      <c r="G240" s="222">
        <f>'SKM Prod NS Weighting'!Q$31</f>
        <v>-1.5000000000000001E-4</v>
      </c>
      <c r="H240" s="139"/>
      <c r="I240" s="200">
        <v>2937930.22</v>
      </c>
      <c r="J240" s="200"/>
      <c r="K240" s="200">
        <v>745414</v>
      </c>
      <c r="L240" s="200"/>
      <c r="M240" s="237">
        <f t="shared" si="78"/>
        <v>2192956.9095330006</v>
      </c>
      <c r="N240" s="45"/>
      <c r="O240" s="227">
        <f>'[2]344 PL'!$E$65</f>
        <v>18.74732065873895</v>
      </c>
      <c r="P240" s="140"/>
      <c r="Q240" s="196">
        <f t="shared" si="79"/>
        <v>116974.41727550369</v>
      </c>
      <c r="R240" s="136"/>
      <c r="S240" s="197">
        <f t="shared" si="76"/>
        <v>3.9815246965090846E-2</v>
      </c>
      <c r="T240" s="32"/>
      <c r="U240" s="262">
        <v>3.56</v>
      </c>
      <c r="W240" s="145">
        <v>104578</v>
      </c>
      <c r="Y240" s="157">
        <f t="shared" si="77"/>
        <v>12396.417275503685</v>
      </c>
      <c r="AA240" s="198"/>
    </row>
    <row r="241" spans="1:27" x14ac:dyDescent="0.2">
      <c r="A241" s="26"/>
      <c r="B241" s="139"/>
      <c r="C241" s="58" t="s">
        <v>117</v>
      </c>
      <c r="D241" s="139"/>
      <c r="E241" s="20" t="str">
        <f>[1]KU!$I$45</f>
        <v>78 - S2</v>
      </c>
      <c r="F241" s="20" t="s">
        <v>64</v>
      </c>
      <c r="G241" s="222">
        <f>'SKM Prod NS Weighting'!Q$31</f>
        <v>-1.5000000000000001E-4</v>
      </c>
      <c r="H241" s="139"/>
      <c r="I241" s="200">
        <v>2957520.12</v>
      </c>
      <c r="J241" s="200"/>
      <c r="K241" s="200">
        <v>741931</v>
      </c>
      <c r="L241" s="200"/>
      <c r="M241" s="237">
        <f t="shared" si="78"/>
        <v>2216032.7480180003</v>
      </c>
      <c r="N241" s="45"/>
      <c r="O241" s="227">
        <f>'[2]344 PL'!$E$65</f>
        <v>18.74732065873895</v>
      </c>
      <c r="P241" s="140"/>
      <c r="Q241" s="196">
        <f t="shared" si="79"/>
        <v>118205.30455294742</v>
      </c>
      <c r="R241" s="136"/>
      <c r="S241" s="197">
        <f t="shared" si="76"/>
        <v>3.9967709350003482E-2</v>
      </c>
      <c r="T241" s="32"/>
      <c r="U241" s="262">
        <v>3.57</v>
      </c>
      <c r="W241" s="145">
        <v>105653</v>
      </c>
      <c r="Y241" s="157">
        <f t="shared" si="77"/>
        <v>12552.304552947418</v>
      </c>
      <c r="AA241" s="198"/>
    </row>
    <row r="242" spans="1:27" x14ac:dyDescent="0.2">
      <c r="A242" s="26"/>
      <c r="B242" s="139"/>
      <c r="C242" s="58" t="s">
        <v>118</v>
      </c>
      <c r="D242" s="139"/>
      <c r="E242" s="20" t="str">
        <f>[1]KU!$I$45</f>
        <v>78 - S2</v>
      </c>
      <c r="F242" s="20" t="s">
        <v>64</v>
      </c>
      <c r="G242" s="222">
        <f>'SKM Prod NS Weighting'!Q$31</f>
        <v>-1.5000000000000001E-4</v>
      </c>
      <c r="H242" s="139"/>
      <c r="I242" s="200">
        <v>2954148.53</v>
      </c>
      <c r="J242" s="200"/>
      <c r="K242" s="200">
        <v>741085</v>
      </c>
      <c r="L242" s="200"/>
      <c r="M242" s="237">
        <f t="shared" si="78"/>
        <v>2213506.6522794999</v>
      </c>
      <c r="N242" s="45"/>
      <c r="O242" s="227">
        <f>'[2]344 PL'!$E$65</f>
        <v>18.74732065873895</v>
      </c>
      <c r="P242" s="140"/>
      <c r="Q242" s="196">
        <f t="shared" si="79"/>
        <v>118070.56019216737</v>
      </c>
      <c r="R242" s="136"/>
      <c r="S242" s="197">
        <f t="shared" si="76"/>
        <v>3.9967712859775323E-2</v>
      </c>
      <c r="T242" s="32"/>
      <c r="U242" s="262">
        <v>3.57</v>
      </c>
      <c r="W242" s="145">
        <v>105533</v>
      </c>
      <c r="Y242" s="157">
        <f t="shared" si="77"/>
        <v>12537.560192167366</v>
      </c>
      <c r="AA242" s="198"/>
    </row>
    <row r="243" spans="1:27" x14ac:dyDescent="0.2">
      <c r="A243" s="26"/>
      <c r="B243" s="139"/>
      <c r="C243" s="58" t="s">
        <v>119</v>
      </c>
      <c r="D243" s="139"/>
      <c r="E243" s="20" t="str">
        <f>[1]KU!$I$45</f>
        <v>78 - S2</v>
      </c>
      <c r="F243" s="20" t="s">
        <v>64</v>
      </c>
      <c r="G243" s="222">
        <f>'SKM Prod NS Weighting'!Q$31</f>
        <v>-1.5000000000000001E-4</v>
      </c>
      <c r="H243" s="139"/>
      <c r="I243" s="200">
        <v>2858147.66</v>
      </c>
      <c r="J243" s="200"/>
      <c r="K243" s="200">
        <v>934297</v>
      </c>
      <c r="L243" s="200"/>
      <c r="M243" s="237">
        <f t="shared" si="78"/>
        <v>1924279.3821490002</v>
      </c>
      <c r="N243" s="45"/>
      <c r="O243" s="227">
        <f>'[2]344 PL'!$E$65</f>
        <v>18.74732065873895</v>
      </c>
      <c r="P243" s="140"/>
      <c r="Q243" s="196">
        <f t="shared" si="79"/>
        <v>102642.90120049816</v>
      </c>
      <c r="R243" s="136"/>
      <c r="S243" s="197">
        <f t="shared" si="76"/>
        <v>3.5912385716453207E-2</v>
      </c>
      <c r="T243" s="32"/>
      <c r="U243" s="262">
        <v>3.73</v>
      </c>
      <c r="W243" s="145">
        <v>106678</v>
      </c>
      <c r="Y243" s="157">
        <f t="shared" si="77"/>
        <v>-4035.0987995018368</v>
      </c>
      <c r="AA243" s="198"/>
    </row>
    <row r="244" spans="1:27" x14ac:dyDescent="0.2">
      <c r="A244" s="26"/>
      <c r="B244" s="139"/>
      <c r="C244" s="58" t="s">
        <v>120</v>
      </c>
      <c r="D244" s="139"/>
      <c r="E244" s="20" t="str">
        <f>[1]KU!$I$45</f>
        <v>78 - S2</v>
      </c>
      <c r="F244" s="20" t="s">
        <v>64</v>
      </c>
      <c r="G244" s="222">
        <f>'SKM Prod NS Weighting'!Q$31</f>
        <v>-1.5000000000000001E-4</v>
      </c>
      <c r="H244" s="139"/>
      <c r="I244" s="200">
        <v>3712619.52</v>
      </c>
      <c r="J244" s="200"/>
      <c r="K244" s="200">
        <v>1492911</v>
      </c>
      <c r="L244" s="200"/>
      <c r="M244" s="237">
        <f t="shared" si="78"/>
        <v>2220265.4129280006</v>
      </c>
      <c r="N244" s="45"/>
      <c r="O244" s="227">
        <f>'[2]344 PL'!$E$65</f>
        <v>18.74732065873895</v>
      </c>
      <c r="P244" s="140"/>
      <c r="Q244" s="196">
        <f t="shared" si="79"/>
        <v>118431.07894423502</v>
      </c>
      <c r="R244" s="136"/>
      <c r="S244" s="197">
        <f t="shared" si="76"/>
        <v>3.1899600351246074E-2</v>
      </c>
      <c r="T244" s="32"/>
      <c r="U244" s="262">
        <v>3.73</v>
      </c>
      <c r="W244" s="145">
        <v>138397</v>
      </c>
      <c r="Y244" s="157">
        <f t="shared" si="77"/>
        <v>-19965.921055764979</v>
      </c>
      <c r="AA244" s="198"/>
    </row>
    <row r="245" spans="1:27" x14ac:dyDescent="0.2">
      <c r="A245" s="26"/>
      <c r="B245" s="139"/>
      <c r="C245" s="58" t="s">
        <v>121</v>
      </c>
      <c r="D245" s="139"/>
      <c r="E245" s="20" t="str">
        <f>[1]KU!$I$45</f>
        <v>78 - S2</v>
      </c>
      <c r="F245" s="20" t="s">
        <v>64</v>
      </c>
      <c r="G245" s="222">
        <f>'SKM Prod NS Weighting'!Q$31</f>
        <v>-1.5000000000000001E-4</v>
      </c>
      <c r="H245" s="139"/>
      <c r="I245" s="200">
        <v>3722788.46</v>
      </c>
      <c r="J245" s="200"/>
      <c r="K245" s="200">
        <v>1463283</v>
      </c>
      <c r="L245" s="200"/>
      <c r="M245" s="237">
        <f t="shared" si="78"/>
        <v>2260063.8782690004</v>
      </c>
      <c r="N245" s="45"/>
      <c r="O245" s="227">
        <f>'[2]344 PL'!$E$65</f>
        <v>18.74732065873895</v>
      </c>
      <c r="P245" s="140"/>
      <c r="Q245" s="196">
        <f t="shared" si="79"/>
        <v>120553.96711932195</v>
      </c>
      <c r="R245" s="136"/>
      <c r="S245" s="197">
        <f t="shared" si="76"/>
        <v>3.238270678407603E-2</v>
      </c>
      <c r="T245" s="32"/>
      <c r="U245" s="262">
        <v>3.78</v>
      </c>
      <c r="W245" s="145">
        <v>140714</v>
      </c>
      <c r="Y245" s="157">
        <f t="shared" si="77"/>
        <v>-20160.032880678045</v>
      </c>
      <c r="AA245" s="198"/>
    </row>
    <row r="246" spans="1:27" x14ac:dyDescent="0.2">
      <c r="A246" s="26"/>
      <c r="B246" s="139"/>
      <c r="C246" s="58" t="s">
        <v>122</v>
      </c>
      <c r="D246" s="139"/>
      <c r="E246" s="20" t="str">
        <f>[1]KU!$I$45</f>
        <v>78 - S2</v>
      </c>
      <c r="F246" s="20" t="s">
        <v>64</v>
      </c>
      <c r="G246" s="222">
        <f>'SKM Prod NS Weighting'!Q$31</f>
        <v>-1.5000000000000001E-4</v>
      </c>
      <c r="H246" s="139"/>
      <c r="I246" s="200">
        <v>4953960.72</v>
      </c>
      <c r="J246" s="200"/>
      <c r="K246" s="200">
        <v>2809555</v>
      </c>
      <c r="L246" s="200"/>
      <c r="M246" s="237">
        <f t="shared" si="78"/>
        <v>2145148.8141080001</v>
      </c>
      <c r="N246" s="45"/>
      <c r="O246" s="227">
        <f>'[2]344 PL'!$E$65</f>
        <v>18.74732065873895</v>
      </c>
      <c r="P246" s="140"/>
      <c r="Q246" s="196">
        <f t="shared" si="79"/>
        <v>114424.28777725376</v>
      </c>
      <c r="R246" s="136"/>
      <c r="S246" s="197">
        <f t="shared" si="76"/>
        <v>2.3097536344061639E-2</v>
      </c>
      <c r="T246" s="32"/>
      <c r="U246" s="262">
        <v>3.61</v>
      </c>
      <c r="W246" s="145">
        <v>178782</v>
      </c>
      <c r="Y246" s="157">
        <f t="shared" si="77"/>
        <v>-64357.712222746239</v>
      </c>
      <c r="AA246" s="198"/>
    </row>
    <row r="247" spans="1:27" x14ac:dyDescent="0.2">
      <c r="A247" s="26"/>
      <c r="B247" s="139"/>
      <c r="C247" s="58" t="s">
        <v>123</v>
      </c>
      <c r="D247" s="139"/>
      <c r="E247" s="20" t="str">
        <f>[1]KU!$I$45</f>
        <v>78 - S2</v>
      </c>
      <c r="F247" s="20" t="s">
        <v>64</v>
      </c>
      <c r="G247" s="222">
        <f>'SKM Prod NS Weighting'!Q$31</f>
        <v>-1.5000000000000001E-4</v>
      </c>
      <c r="H247" s="139"/>
      <c r="I247" s="200">
        <v>5452040.9699999997</v>
      </c>
      <c r="J247" s="200"/>
      <c r="K247" s="200">
        <v>3081447</v>
      </c>
      <c r="L247" s="200"/>
      <c r="M247" s="237">
        <f t="shared" si="78"/>
        <v>2371411.7761455001</v>
      </c>
      <c r="N247" s="45"/>
      <c r="O247" s="227">
        <f>'[2]344 PL'!$E$65</f>
        <v>18.74732065873895</v>
      </c>
      <c r="P247" s="140"/>
      <c r="Q247" s="196">
        <f t="shared" si="79"/>
        <v>126493.37040277704</v>
      </c>
      <c r="R247" s="136"/>
      <c r="S247" s="197">
        <f t="shared" si="76"/>
        <v>2.3201104155088009E-2</v>
      </c>
      <c r="T247" s="32"/>
      <c r="U247" s="262">
        <v>2.5499999999999998</v>
      </c>
      <c r="W247" s="145">
        <v>139175</v>
      </c>
      <c r="Y247" s="157">
        <f t="shared" si="77"/>
        <v>-12681.629597222956</v>
      </c>
      <c r="AA247" s="198"/>
    </row>
    <row r="248" spans="1:27" x14ac:dyDescent="0.2">
      <c r="A248" s="26"/>
      <c r="B248" s="139"/>
      <c r="C248" s="58" t="s">
        <v>124</v>
      </c>
      <c r="D248" s="139"/>
      <c r="E248" s="20" t="str">
        <f>[1]KU!$I$45</f>
        <v>78 - S2</v>
      </c>
      <c r="F248" s="20" t="s">
        <v>64</v>
      </c>
      <c r="G248" s="222">
        <f>'SKM Prod NS Weighting'!Q$31</f>
        <v>-1.5000000000000001E-4</v>
      </c>
      <c r="H248" s="139"/>
      <c r="I248" s="200">
        <v>4944422.71</v>
      </c>
      <c r="J248" s="200"/>
      <c r="K248" s="200">
        <v>2624840</v>
      </c>
      <c r="L248" s="200"/>
      <c r="M248" s="237">
        <f t="shared" si="78"/>
        <v>2320324.3734065006</v>
      </c>
      <c r="N248" s="45"/>
      <c r="O248" s="227">
        <f>'[2]344 PL'!$E$65</f>
        <v>18.74732065873895</v>
      </c>
      <c r="P248" s="140"/>
      <c r="Q248" s="196">
        <f t="shared" si="79"/>
        <v>123768.31951849586</v>
      </c>
      <c r="R248" s="136"/>
      <c r="S248" s="197">
        <f t="shared" si="76"/>
        <v>2.5031904992301086E-2</v>
      </c>
      <c r="T248" s="32"/>
      <c r="U248" s="262">
        <v>2.72</v>
      </c>
      <c r="W248" s="145">
        <v>134599</v>
      </c>
      <c r="Y248" s="157">
        <f t="shared" si="77"/>
        <v>-10830.68048150414</v>
      </c>
      <c r="AA248" s="198"/>
    </row>
    <row r="249" spans="1:27" x14ac:dyDescent="0.2">
      <c r="A249" s="26"/>
      <c r="B249" s="32"/>
      <c r="C249" s="58" t="s">
        <v>125</v>
      </c>
      <c r="D249" s="32"/>
      <c r="E249" s="20" t="str">
        <f>[1]KU!$I$45</f>
        <v>78 - S2</v>
      </c>
      <c r="F249" s="20" t="s">
        <v>64</v>
      </c>
      <c r="G249" s="222">
        <f>'SKM Prod NS Weighting'!Q$31</f>
        <v>-1.5000000000000001E-4</v>
      </c>
      <c r="H249" s="32"/>
      <c r="I249" s="200">
        <v>5187040.3</v>
      </c>
      <c r="J249" s="200"/>
      <c r="K249" s="200">
        <v>2724699</v>
      </c>
      <c r="L249" s="200"/>
      <c r="M249" s="237">
        <f t="shared" si="78"/>
        <v>2463119.3560450003</v>
      </c>
      <c r="N249" s="45"/>
      <c r="O249" s="227">
        <f>'[2]344 PL'!$E$65</f>
        <v>18.74732065873895</v>
      </c>
      <c r="P249" s="42"/>
      <c r="Q249" s="196">
        <f t="shared" si="79"/>
        <v>131385.14035587438</v>
      </c>
      <c r="R249" s="136"/>
      <c r="S249" s="197">
        <f t="shared" si="76"/>
        <v>2.5329500593213896E-2</v>
      </c>
      <c r="T249" s="32"/>
      <c r="U249" s="262">
        <v>3.65</v>
      </c>
      <c r="W249" s="145">
        <v>189263</v>
      </c>
      <c r="Y249" s="157">
        <f t="shared" si="77"/>
        <v>-57877.859644125623</v>
      </c>
      <c r="AA249" s="198"/>
    </row>
    <row r="250" spans="1:27" x14ac:dyDescent="0.2">
      <c r="A250" s="26"/>
      <c r="B250" s="139"/>
      <c r="C250" s="58" t="s">
        <v>126</v>
      </c>
      <c r="D250" s="139"/>
      <c r="E250" s="20" t="str">
        <f>[1]KU!$I$45</f>
        <v>78 - S2</v>
      </c>
      <c r="F250" s="20" t="s">
        <v>64</v>
      </c>
      <c r="G250" s="222">
        <f>'SKM Prod NS Weighting'!Q$31</f>
        <v>-1.5000000000000001E-4</v>
      </c>
      <c r="H250" s="139"/>
      <c r="I250" s="200">
        <v>4023002.37</v>
      </c>
      <c r="J250" s="200"/>
      <c r="K250" s="200">
        <v>3504167</v>
      </c>
      <c r="L250" s="200"/>
      <c r="M250" s="237">
        <f t="shared" si="78"/>
        <v>519438.82035550056</v>
      </c>
      <c r="N250" s="45"/>
      <c r="O250" s="227">
        <f>'[2]344 PL'!$E$65</f>
        <v>18.74732065873895</v>
      </c>
      <c r="P250" s="140"/>
      <c r="Q250" s="196">
        <f t="shared" si="79"/>
        <v>27707.363084621233</v>
      </c>
      <c r="R250" s="136"/>
      <c r="S250" s="197">
        <f t="shared" si="76"/>
        <v>6.8872350887084445E-3</v>
      </c>
      <c r="T250" s="32"/>
      <c r="U250" s="262">
        <v>2.31</v>
      </c>
      <c r="W250" s="145">
        <v>92815</v>
      </c>
      <c r="Y250" s="157">
        <f t="shared" si="77"/>
        <v>-65107.636915378767</v>
      </c>
      <c r="AA250" s="198"/>
    </row>
    <row r="251" spans="1:27" x14ac:dyDescent="0.2">
      <c r="A251" s="26"/>
      <c r="B251" s="139"/>
      <c r="C251" s="58" t="s">
        <v>127</v>
      </c>
      <c r="D251" s="139"/>
      <c r="E251" s="20" t="str">
        <f>[1]KU!$I$45</f>
        <v>78 - S2</v>
      </c>
      <c r="F251" s="20" t="s">
        <v>64</v>
      </c>
      <c r="G251" s="222">
        <f>'SKM Prod NS Weighting'!Q$31</f>
        <v>-1.5000000000000001E-4</v>
      </c>
      <c r="H251" s="139"/>
      <c r="I251" s="202">
        <v>5185636.1100000003</v>
      </c>
      <c r="J251" s="200"/>
      <c r="K251" s="200">
        <v>1792632</v>
      </c>
      <c r="L251" s="200"/>
      <c r="M251" s="237">
        <f t="shared" si="78"/>
        <v>3393781.9554165006</v>
      </c>
      <c r="N251" s="45"/>
      <c r="O251" s="227">
        <f>'[2]344 PL'!$E$65</f>
        <v>18.74732065873895</v>
      </c>
      <c r="P251" s="140"/>
      <c r="Q251" s="196">
        <f t="shared" si="79"/>
        <v>181027.57280329068</v>
      </c>
      <c r="R251" s="136"/>
      <c r="S251" s="197">
        <f t="shared" si="76"/>
        <v>3.4909424603511305E-2</v>
      </c>
      <c r="T251" s="32"/>
      <c r="U251" s="262">
        <v>3.64</v>
      </c>
      <c r="W251" s="145">
        <v>188553</v>
      </c>
      <c r="Y251" s="157">
        <f t="shared" si="77"/>
        <v>-7525.4271967093227</v>
      </c>
      <c r="AA251" s="198"/>
    </row>
    <row r="252" spans="1:27" x14ac:dyDescent="0.2">
      <c r="A252" s="26"/>
      <c r="B252" s="139"/>
      <c r="C252" s="139"/>
      <c r="D252" s="139"/>
      <c r="E252" s="20"/>
      <c r="F252" s="20"/>
      <c r="G252" s="222"/>
      <c r="H252" s="139"/>
      <c r="I252" s="200"/>
      <c r="J252" s="205"/>
      <c r="K252" s="206"/>
      <c r="L252" s="201"/>
      <c r="M252" s="206"/>
      <c r="N252" s="34"/>
      <c r="O252" s="41"/>
      <c r="P252" s="140"/>
      <c r="Q252" s="35"/>
      <c r="R252" s="140"/>
      <c r="S252" s="179"/>
      <c r="T252" s="32"/>
      <c r="U252" s="262"/>
      <c r="AA252" s="198"/>
    </row>
    <row r="253" spans="1:27" x14ac:dyDescent="0.2">
      <c r="A253" s="26"/>
      <c r="B253" s="139"/>
      <c r="C253" s="65" t="s">
        <v>38</v>
      </c>
      <c r="D253" s="139"/>
      <c r="E253" s="20"/>
      <c r="F253" s="20"/>
      <c r="G253" s="222"/>
      <c r="H253" s="139"/>
      <c r="I253" s="200">
        <f>SUM(I237:I251)</f>
        <v>59360761.139999993</v>
      </c>
      <c r="J253" s="205"/>
      <c r="K253" s="200">
        <f>SUM(K237:K251)</f>
        <v>25756113</v>
      </c>
      <c r="L253" s="201"/>
      <c r="M253" s="200">
        <f>SUM(M237:M251)</f>
        <v>33613552.254170999</v>
      </c>
      <c r="N253" s="34"/>
      <c r="O253" s="41"/>
      <c r="P253" s="140"/>
      <c r="Q253" s="200">
        <f>SUM(Q237:Q251)</f>
        <v>1792979.0003619664</v>
      </c>
      <c r="R253" s="136"/>
      <c r="S253" s="197">
        <f t="shared" ref="S253" si="80">+Q253/I253</f>
        <v>3.0204784539963982E-2</v>
      </c>
      <c r="T253" s="32"/>
      <c r="U253" s="262">
        <v>3.37</v>
      </c>
      <c r="W253" s="200">
        <v>2002014</v>
      </c>
      <c r="Y253" s="200">
        <f>SUM(Y237:Y251)</f>
        <v>-209034.99963803351</v>
      </c>
      <c r="AA253" s="198"/>
    </row>
    <row r="254" spans="1:27" x14ac:dyDescent="0.2">
      <c r="A254" s="26"/>
      <c r="B254" s="139"/>
      <c r="C254" s="139"/>
      <c r="D254" s="139"/>
      <c r="E254" s="20"/>
      <c r="F254" s="20"/>
      <c r="G254" s="222"/>
      <c r="H254" s="139"/>
      <c r="I254" s="200"/>
      <c r="J254" s="205"/>
      <c r="K254" s="201"/>
      <c r="L254" s="201"/>
      <c r="M254" s="201"/>
      <c r="N254" s="34"/>
      <c r="O254" s="41"/>
      <c r="P254" s="140"/>
      <c r="Q254" s="35"/>
      <c r="R254" s="140"/>
      <c r="S254" s="179"/>
      <c r="T254" s="32"/>
      <c r="U254" s="266"/>
      <c r="AA254" s="198"/>
    </row>
    <row r="255" spans="1:27" x14ac:dyDescent="0.2">
      <c r="A255" s="26">
        <v>345</v>
      </c>
      <c r="B255" s="139"/>
      <c r="C255" s="139" t="s">
        <v>39</v>
      </c>
      <c r="D255" s="139"/>
      <c r="E255" s="56"/>
      <c r="F255" s="56"/>
      <c r="G255" s="224"/>
      <c r="H255" s="139"/>
      <c r="I255" s="200"/>
      <c r="J255" s="205"/>
      <c r="K255" s="201"/>
      <c r="L255" s="201"/>
      <c r="M255" s="201"/>
      <c r="N255" s="34"/>
      <c r="O255" s="41"/>
      <c r="P255" s="140"/>
      <c r="Q255" s="35"/>
      <c r="R255" s="140"/>
      <c r="S255" s="179"/>
      <c r="T255" s="32"/>
      <c r="U255" s="262"/>
      <c r="AA255" s="198"/>
    </row>
    <row r="256" spans="1:27" x14ac:dyDescent="0.2">
      <c r="A256" s="26"/>
      <c r="B256" s="139"/>
      <c r="C256" s="58" t="s">
        <v>113</v>
      </c>
      <c r="D256" s="139"/>
      <c r="E256" s="20" t="str">
        <f>[1]KU!$I$46</f>
        <v>283 - R1</v>
      </c>
      <c r="F256" s="20" t="s">
        <v>64</v>
      </c>
      <c r="G256" s="222">
        <f>'SKM Prod NS Weighting'!Q$32</f>
        <v>-1E-3</v>
      </c>
      <c r="H256" s="139"/>
      <c r="I256" s="200">
        <v>1693975.04</v>
      </c>
      <c r="J256" s="200"/>
      <c r="K256" s="200">
        <v>513697</v>
      </c>
      <c r="L256" s="200"/>
      <c r="M256" s="237">
        <f t="shared" ref="M256:M270" si="81">+((1-G256)*I256)-K256</f>
        <v>1181972.0150399997</v>
      </c>
      <c r="N256" s="45"/>
      <c r="O256" s="227">
        <f>'[2]345 PL'!$E$65</f>
        <v>19.790485114046348</v>
      </c>
      <c r="P256" s="140"/>
      <c r="Q256" s="196">
        <f t="shared" ref="Q256:Q270" si="82">+M256/O256</f>
        <v>59724.256794548812</v>
      </c>
      <c r="R256" s="136"/>
      <c r="S256" s="197">
        <f t="shared" ref="S256:S270" si="83">+Q256/I256</f>
        <v>3.5256869425035219E-2</v>
      </c>
      <c r="T256" s="32"/>
      <c r="U256" s="262">
        <v>3.8</v>
      </c>
      <c r="W256" s="145">
        <v>64303</v>
      </c>
      <c r="Y256" s="157">
        <f t="shared" ref="Y256:Y270" si="84">Q256-W256</f>
        <v>-4578.7432054511883</v>
      </c>
      <c r="AA256" s="198"/>
    </row>
    <row r="257" spans="1:27" x14ac:dyDescent="0.2">
      <c r="A257" s="26"/>
      <c r="B257" s="139"/>
      <c r="C257" s="58" t="s">
        <v>114</v>
      </c>
      <c r="D257" s="139"/>
      <c r="E257" s="20" t="str">
        <f>[1]KU!$I$46</f>
        <v>283 - R1</v>
      </c>
      <c r="F257" s="20" t="s">
        <v>64</v>
      </c>
      <c r="G257" s="222">
        <f>'SKM Prod NS Weighting'!Q$32</f>
        <v>-1E-3</v>
      </c>
      <c r="H257" s="139"/>
      <c r="I257" s="200">
        <v>4324591.46</v>
      </c>
      <c r="J257" s="200"/>
      <c r="K257" s="200">
        <v>1036892</v>
      </c>
      <c r="L257" s="200"/>
      <c r="M257" s="237">
        <f t="shared" si="81"/>
        <v>3292024.0514599998</v>
      </c>
      <c r="N257" s="45"/>
      <c r="O257" s="227">
        <f>'[2]345 PL'!$E$65</f>
        <v>19.790485114046348</v>
      </c>
      <c r="P257" s="140"/>
      <c r="Q257" s="196">
        <f t="shared" si="82"/>
        <v>166343.77745108822</v>
      </c>
      <c r="R257" s="136"/>
      <c r="S257" s="197">
        <f t="shared" si="83"/>
        <v>3.8464622378708631E-2</v>
      </c>
      <c r="T257" s="32"/>
      <c r="U257" s="262">
        <v>4.12</v>
      </c>
      <c r="W257" s="145">
        <v>178222</v>
      </c>
      <c r="Y257" s="157">
        <f t="shared" si="84"/>
        <v>-11878.222548911785</v>
      </c>
      <c r="AA257" s="198"/>
    </row>
    <row r="258" spans="1:27" x14ac:dyDescent="0.2">
      <c r="A258" s="26"/>
      <c r="B258" s="139"/>
      <c r="C258" s="58" t="s">
        <v>115</v>
      </c>
      <c r="D258" s="139"/>
      <c r="E258" s="20" t="str">
        <f>[1]KU!$I$46</f>
        <v>283 - R1</v>
      </c>
      <c r="F258" s="20" t="s">
        <v>64</v>
      </c>
      <c r="G258" s="222">
        <f>'SKM Prod NS Weighting'!Q$32</f>
        <v>-1E-3</v>
      </c>
      <c r="H258" s="139"/>
      <c r="I258" s="200">
        <v>3148439.35</v>
      </c>
      <c r="J258" s="200"/>
      <c r="K258" s="200">
        <v>792088</v>
      </c>
      <c r="L258" s="200"/>
      <c r="M258" s="237">
        <f t="shared" si="81"/>
        <v>2359499.7893499997</v>
      </c>
      <c r="N258" s="45"/>
      <c r="O258" s="227">
        <f>'[2]345 PL'!$E$65</f>
        <v>19.790485114046348</v>
      </c>
      <c r="P258" s="140"/>
      <c r="Q258" s="196">
        <f t="shared" si="82"/>
        <v>119223.94907213966</v>
      </c>
      <c r="R258" s="136"/>
      <c r="S258" s="197">
        <f t="shared" si="83"/>
        <v>3.78676340302187E-2</v>
      </c>
      <c r="T258" s="32"/>
      <c r="U258" s="262">
        <v>3.69</v>
      </c>
      <c r="W258" s="145">
        <v>116323</v>
      </c>
      <c r="Y258" s="157">
        <f t="shared" si="84"/>
        <v>2900.9490721396578</v>
      </c>
      <c r="AA258" s="198"/>
    </row>
    <row r="259" spans="1:27" x14ac:dyDescent="0.2">
      <c r="A259" s="26"/>
      <c r="B259" s="139"/>
      <c r="C259" s="58" t="s">
        <v>116</v>
      </c>
      <c r="D259" s="139"/>
      <c r="E259" s="20" t="str">
        <f>[1]KU!$I$46</f>
        <v>283 - R1</v>
      </c>
      <c r="F259" s="20" t="s">
        <v>64</v>
      </c>
      <c r="G259" s="222">
        <f>'SKM Prod NS Weighting'!Q$32</f>
        <v>-1E-3</v>
      </c>
      <c r="H259" s="139"/>
      <c r="I259" s="200">
        <v>3139331.68</v>
      </c>
      <c r="J259" s="200"/>
      <c r="K259" s="200">
        <v>789796</v>
      </c>
      <c r="L259" s="200"/>
      <c r="M259" s="237">
        <f t="shared" si="81"/>
        <v>2352675.01168</v>
      </c>
      <c r="N259" s="45"/>
      <c r="O259" s="227">
        <f>'[2]345 PL'!$E$65</f>
        <v>19.790485114046348</v>
      </c>
      <c r="P259" s="140"/>
      <c r="Q259" s="196">
        <f t="shared" si="82"/>
        <v>118879.09761293232</v>
      </c>
      <c r="R259" s="136"/>
      <c r="S259" s="197">
        <f t="shared" si="83"/>
        <v>3.7867645005554916E-2</v>
      </c>
      <c r="T259" s="32"/>
      <c r="U259" s="262">
        <v>3.69</v>
      </c>
      <c r="W259" s="145">
        <v>115986</v>
      </c>
      <c r="Y259" s="157">
        <f t="shared" si="84"/>
        <v>2893.0976129323244</v>
      </c>
      <c r="AA259" s="198"/>
    </row>
    <row r="260" spans="1:27" x14ac:dyDescent="0.2">
      <c r="A260" s="26"/>
      <c r="B260" s="139"/>
      <c r="C260" s="58" t="s">
        <v>117</v>
      </c>
      <c r="D260" s="139"/>
      <c r="E260" s="20" t="str">
        <f>[1]KU!$I$46</f>
        <v>283 - R1</v>
      </c>
      <c r="F260" s="20" t="s">
        <v>64</v>
      </c>
      <c r="G260" s="222">
        <f>'SKM Prod NS Weighting'!Q$32</f>
        <v>-1E-3</v>
      </c>
      <c r="H260" s="139"/>
      <c r="I260" s="200">
        <v>3234031.47</v>
      </c>
      <c r="J260" s="200"/>
      <c r="K260" s="200">
        <v>804392</v>
      </c>
      <c r="L260" s="200"/>
      <c r="M260" s="237">
        <f t="shared" si="81"/>
        <v>2432873.50147</v>
      </c>
      <c r="N260" s="45"/>
      <c r="O260" s="227">
        <f>'[2]345 PL'!$E$65</f>
        <v>19.790485114046348</v>
      </c>
      <c r="P260" s="140"/>
      <c r="Q260" s="196">
        <f t="shared" si="82"/>
        <v>122931.47375873377</v>
      </c>
      <c r="R260" s="136"/>
      <c r="S260" s="197">
        <f t="shared" si="83"/>
        <v>3.8011835969776066E-2</v>
      </c>
      <c r="T260" s="32"/>
      <c r="U260" s="262">
        <v>3.71</v>
      </c>
      <c r="W260" s="145">
        <v>119912</v>
      </c>
      <c r="Y260" s="157">
        <f t="shared" si="84"/>
        <v>3019.4737587337731</v>
      </c>
      <c r="AA260" s="198"/>
    </row>
    <row r="261" spans="1:27" x14ac:dyDescent="0.2">
      <c r="A261" s="26"/>
      <c r="B261" s="139"/>
      <c r="C261" s="58" t="s">
        <v>118</v>
      </c>
      <c r="D261" s="139"/>
      <c r="E261" s="20" t="str">
        <f>[1]KU!$I$46</f>
        <v>283 - R1</v>
      </c>
      <c r="F261" s="20" t="s">
        <v>64</v>
      </c>
      <c r="G261" s="222">
        <f>'SKM Prod NS Weighting'!Q$32</f>
        <v>-1E-3</v>
      </c>
      <c r="H261" s="139"/>
      <c r="I261" s="200">
        <v>7196618.3399999999</v>
      </c>
      <c r="J261" s="200"/>
      <c r="K261" s="200">
        <v>1451369</v>
      </c>
      <c r="L261" s="200"/>
      <c r="M261" s="237">
        <f t="shared" si="81"/>
        <v>5752445.9583399994</v>
      </c>
      <c r="N261" s="45"/>
      <c r="O261" s="227">
        <f>'[2]345 PL'!$E$65</f>
        <v>19.790485114046348</v>
      </c>
      <c r="P261" s="140"/>
      <c r="Q261" s="196">
        <f t="shared" si="82"/>
        <v>290667.25374292041</v>
      </c>
      <c r="R261" s="136"/>
      <c r="S261" s="197">
        <f t="shared" si="83"/>
        <v>4.0389421810427761E-2</v>
      </c>
      <c r="T261" s="32"/>
      <c r="U261" s="262">
        <v>3.92</v>
      </c>
      <c r="W261" s="145">
        <v>282456</v>
      </c>
      <c r="Y261" s="157">
        <f t="shared" si="84"/>
        <v>8211.2537429204094</v>
      </c>
      <c r="AA261" s="198"/>
    </row>
    <row r="262" spans="1:27" x14ac:dyDescent="0.2">
      <c r="A262" s="26"/>
      <c r="B262" s="139"/>
      <c r="C262" s="58" t="s">
        <v>119</v>
      </c>
      <c r="D262" s="139"/>
      <c r="E262" s="20" t="str">
        <f>[1]KU!$I$46</f>
        <v>283 - R1</v>
      </c>
      <c r="F262" s="20" t="s">
        <v>64</v>
      </c>
      <c r="G262" s="222">
        <f>'SKM Prod NS Weighting'!Q$32</f>
        <v>-1E-3</v>
      </c>
      <c r="H262" s="139"/>
      <c r="I262" s="200">
        <v>2277020.4900000002</v>
      </c>
      <c r="J262" s="200"/>
      <c r="K262" s="200">
        <v>662990</v>
      </c>
      <c r="L262" s="200"/>
      <c r="M262" s="237">
        <f t="shared" si="81"/>
        <v>1616307.5104899998</v>
      </c>
      <c r="N262" s="45"/>
      <c r="O262" s="227">
        <f>'[2]345 PL'!$E$65</f>
        <v>19.790485114046348</v>
      </c>
      <c r="P262" s="140"/>
      <c r="Q262" s="196">
        <f t="shared" si="82"/>
        <v>81670.939402229269</v>
      </c>
      <c r="R262" s="136"/>
      <c r="S262" s="197">
        <f t="shared" si="83"/>
        <v>3.5867459147119606E-2</v>
      </c>
      <c r="T262" s="32"/>
      <c r="U262" s="262">
        <v>4.0599999999999996</v>
      </c>
      <c r="W262" s="145">
        <v>92383</v>
      </c>
      <c r="Y262" s="157">
        <f t="shared" si="84"/>
        <v>-10712.060597770731</v>
      </c>
      <c r="AA262" s="198"/>
    </row>
    <row r="263" spans="1:27" x14ac:dyDescent="0.2">
      <c r="A263" s="26"/>
      <c r="B263" s="139"/>
      <c r="C263" s="58" t="s">
        <v>120</v>
      </c>
      <c r="D263" s="139"/>
      <c r="E263" s="20" t="str">
        <f>[1]KU!$I$46</f>
        <v>283 - R1</v>
      </c>
      <c r="F263" s="20" t="s">
        <v>64</v>
      </c>
      <c r="G263" s="222">
        <f>'SKM Prod NS Weighting'!Q$32</f>
        <v>-1E-3</v>
      </c>
      <c r="H263" s="139"/>
      <c r="I263" s="200">
        <v>1975216.41</v>
      </c>
      <c r="J263" s="200"/>
      <c r="K263" s="200">
        <v>691980</v>
      </c>
      <c r="L263" s="200"/>
      <c r="M263" s="237">
        <f t="shared" si="81"/>
        <v>1285211.6264099998</v>
      </c>
      <c r="N263" s="45"/>
      <c r="O263" s="227">
        <f>'[2]345 PL'!$E$65</f>
        <v>19.790485114046348</v>
      </c>
      <c r="P263" s="140"/>
      <c r="Q263" s="196">
        <f t="shared" si="82"/>
        <v>64940.8854307375</v>
      </c>
      <c r="R263" s="136"/>
      <c r="S263" s="197">
        <f t="shared" si="83"/>
        <v>3.2877858396659181E-2</v>
      </c>
      <c r="T263" s="32"/>
      <c r="U263" s="262">
        <v>4.17</v>
      </c>
      <c r="W263" s="145">
        <v>82329</v>
      </c>
      <c r="Y263" s="157">
        <f t="shared" si="84"/>
        <v>-17388.1145692625</v>
      </c>
      <c r="AA263" s="198"/>
    </row>
    <row r="264" spans="1:27" x14ac:dyDescent="0.2">
      <c r="A264" s="26"/>
      <c r="B264" s="139"/>
      <c r="C264" s="58" t="s">
        <v>121</v>
      </c>
      <c r="D264" s="139"/>
      <c r="E264" s="20" t="str">
        <f>[1]KU!$I$46</f>
        <v>283 - R1</v>
      </c>
      <c r="F264" s="20" t="s">
        <v>64</v>
      </c>
      <c r="G264" s="222">
        <f>'SKM Prod NS Weighting'!Q$32</f>
        <v>-1E-3</v>
      </c>
      <c r="H264" s="139"/>
      <c r="I264" s="200">
        <v>1935781.98</v>
      </c>
      <c r="J264" s="200"/>
      <c r="K264" s="200">
        <v>675547</v>
      </c>
      <c r="L264" s="200"/>
      <c r="M264" s="237">
        <f t="shared" si="81"/>
        <v>1262170.7619799997</v>
      </c>
      <c r="N264" s="45"/>
      <c r="O264" s="227">
        <f>'[2]345 PL'!$E$65</f>
        <v>19.790485114046348</v>
      </c>
      <c r="P264" s="140"/>
      <c r="Q264" s="196">
        <f t="shared" si="82"/>
        <v>63776.645933968073</v>
      </c>
      <c r="R264" s="136"/>
      <c r="S264" s="197">
        <f t="shared" si="83"/>
        <v>3.2946192594461528E-2</v>
      </c>
      <c r="T264" s="32"/>
      <c r="U264" s="262">
        <v>4.18</v>
      </c>
      <c r="W264" s="145">
        <v>80891</v>
      </c>
      <c r="Y264" s="157">
        <f t="shared" si="84"/>
        <v>-17114.354066031927</v>
      </c>
      <c r="AA264" s="198"/>
    </row>
    <row r="265" spans="1:27" x14ac:dyDescent="0.2">
      <c r="A265" s="26"/>
      <c r="B265" s="139"/>
      <c r="C265" s="58" t="s">
        <v>122</v>
      </c>
      <c r="D265" s="139"/>
      <c r="E265" s="20" t="str">
        <f>[1]KU!$I$46</f>
        <v>283 - R1</v>
      </c>
      <c r="F265" s="20" t="s">
        <v>64</v>
      </c>
      <c r="G265" s="222">
        <f>'SKM Prod NS Weighting'!Q$32</f>
        <v>-1E-3</v>
      </c>
      <c r="H265" s="139"/>
      <c r="I265" s="200">
        <v>2720729.67</v>
      </c>
      <c r="J265" s="200"/>
      <c r="K265" s="200">
        <v>1361195</v>
      </c>
      <c r="L265" s="200"/>
      <c r="M265" s="237">
        <f t="shared" si="81"/>
        <v>1362255.3996699997</v>
      </c>
      <c r="N265" s="45"/>
      <c r="O265" s="227">
        <f>'[2]345 PL'!$E$65</f>
        <v>19.790485114046348</v>
      </c>
      <c r="P265" s="140"/>
      <c r="Q265" s="196">
        <f t="shared" si="82"/>
        <v>68833.855856475973</v>
      </c>
      <c r="R265" s="136"/>
      <c r="S265" s="197">
        <f t="shared" si="83"/>
        <v>2.5299777708704143E-2</v>
      </c>
      <c r="T265" s="32"/>
      <c r="U265" s="262">
        <v>4.26</v>
      </c>
      <c r="W265" s="145">
        <v>115931</v>
      </c>
      <c r="Y265" s="157">
        <f t="shared" si="84"/>
        <v>-47097.144143524027</v>
      </c>
      <c r="AA265" s="198"/>
    </row>
    <row r="266" spans="1:27" x14ac:dyDescent="0.2">
      <c r="A266" s="26"/>
      <c r="B266" s="139"/>
      <c r="C266" s="58" t="s">
        <v>123</v>
      </c>
      <c r="D266" s="139"/>
      <c r="E266" s="20" t="str">
        <f>[1]KU!$I$46</f>
        <v>283 - R1</v>
      </c>
      <c r="F266" s="20" t="s">
        <v>64</v>
      </c>
      <c r="G266" s="222">
        <f>'SKM Prod NS Weighting'!Q$32</f>
        <v>-1E-3</v>
      </c>
      <c r="H266" s="139"/>
      <c r="I266" s="200">
        <v>4205847.29</v>
      </c>
      <c r="J266" s="200"/>
      <c r="K266" s="200">
        <v>1987226</v>
      </c>
      <c r="L266" s="200"/>
      <c r="M266" s="237">
        <f t="shared" si="81"/>
        <v>2222827.13729</v>
      </c>
      <c r="N266" s="45"/>
      <c r="O266" s="227">
        <f>'[2]345 PL'!$E$65</f>
        <v>19.790485114046348</v>
      </c>
      <c r="P266" s="140"/>
      <c r="Q266" s="196">
        <f t="shared" si="82"/>
        <v>112317.97121094029</v>
      </c>
      <c r="R266" s="136"/>
      <c r="S266" s="197">
        <f t="shared" si="83"/>
        <v>2.6705194807712641E-2</v>
      </c>
      <c r="T266" s="32"/>
      <c r="U266" s="262">
        <v>3.19</v>
      </c>
      <c r="W266" s="145">
        <v>133961</v>
      </c>
      <c r="Y266" s="157">
        <f t="shared" si="84"/>
        <v>-21643.02878905971</v>
      </c>
      <c r="AA266" s="198"/>
    </row>
    <row r="267" spans="1:27" x14ac:dyDescent="0.2">
      <c r="A267" s="26"/>
      <c r="B267" s="139"/>
      <c r="C267" s="58" t="s">
        <v>124</v>
      </c>
      <c r="D267" s="139"/>
      <c r="E267" s="20" t="str">
        <f>[1]KU!$I$46</f>
        <v>283 - R1</v>
      </c>
      <c r="F267" s="20" t="s">
        <v>64</v>
      </c>
      <c r="G267" s="222">
        <f>'SKM Prod NS Weighting'!Q$32</f>
        <v>-1E-3</v>
      </c>
      <c r="H267" s="139"/>
      <c r="I267" s="200">
        <v>2744492.7</v>
      </c>
      <c r="J267" s="200"/>
      <c r="K267" s="200">
        <v>1316949</v>
      </c>
      <c r="L267" s="200"/>
      <c r="M267" s="237">
        <f t="shared" si="81"/>
        <v>1430288.1927</v>
      </c>
      <c r="N267" s="45"/>
      <c r="O267" s="227">
        <f>'[2]345 PL'!$E$65</f>
        <v>19.790485114046348</v>
      </c>
      <c r="P267" s="176"/>
      <c r="Q267" s="196">
        <f t="shared" si="82"/>
        <v>72271.507467234813</v>
      </c>
      <c r="R267" s="136"/>
      <c r="S267" s="197">
        <f t="shared" si="83"/>
        <v>2.6333284642088794E-2</v>
      </c>
      <c r="T267" s="32"/>
      <c r="U267" s="262">
        <v>3.17</v>
      </c>
      <c r="W267" s="145">
        <v>86963</v>
      </c>
      <c r="Y267" s="157">
        <f t="shared" si="84"/>
        <v>-14691.492532765187</v>
      </c>
      <c r="AA267" s="198"/>
    </row>
    <row r="268" spans="1:27" x14ac:dyDescent="0.2">
      <c r="A268" s="26"/>
      <c r="B268" s="139"/>
      <c r="C268" s="58" t="s">
        <v>125</v>
      </c>
      <c r="D268" s="139"/>
      <c r="E268" s="20" t="str">
        <f>[1]KU!$I$46</f>
        <v>283 - R1</v>
      </c>
      <c r="F268" s="20" t="s">
        <v>64</v>
      </c>
      <c r="G268" s="222">
        <f>'SKM Prod NS Weighting'!Q$32</f>
        <v>-1E-3</v>
      </c>
      <c r="H268" s="139"/>
      <c r="I268" s="200">
        <v>1863053.15</v>
      </c>
      <c r="J268" s="200"/>
      <c r="K268" s="200">
        <v>778412</v>
      </c>
      <c r="L268" s="200"/>
      <c r="M268" s="237">
        <f t="shared" si="81"/>
        <v>1086504.2031499997</v>
      </c>
      <c r="N268" s="45"/>
      <c r="O268" s="227">
        <f>'[2]345 PL'!$E$65</f>
        <v>19.790485114046348</v>
      </c>
      <c r="P268" s="140"/>
      <c r="Q268" s="196">
        <f t="shared" si="82"/>
        <v>54900.331997362235</v>
      </c>
      <c r="R268" s="136"/>
      <c r="S268" s="197">
        <f t="shared" si="83"/>
        <v>2.9467936541350007E-2</v>
      </c>
      <c r="T268" s="32"/>
      <c r="U268" s="262">
        <v>4.55</v>
      </c>
      <c r="W268" s="145">
        <v>84727</v>
      </c>
      <c r="Y268" s="157">
        <f t="shared" si="84"/>
        <v>-29826.668002637765</v>
      </c>
      <c r="AA268" s="198"/>
    </row>
    <row r="269" spans="1:27" x14ac:dyDescent="0.2">
      <c r="A269" s="26"/>
      <c r="B269" s="139"/>
      <c r="C269" s="58" t="s">
        <v>126</v>
      </c>
      <c r="D269" s="139"/>
      <c r="E269" s="20" t="str">
        <f>[1]KU!$I$46</f>
        <v>283 - R1</v>
      </c>
      <c r="F269" s="20" t="s">
        <v>64</v>
      </c>
      <c r="G269" s="222">
        <f>'SKM Prod NS Weighting'!Q$32</f>
        <v>-1E-3</v>
      </c>
      <c r="H269" s="139"/>
      <c r="I269" s="200">
        <v>1451957.03</v>
      </c>
      <c r="J269" s="200"/>
      <c r="K269" s="200">
        <v>563545</v>
      </c>
      <c r="L269" s="200"/>
      <c r="M269" s="237">
        <f t="shared" si="81"/>
        <v>889863.98702999996</v>
      </c>
      <c r="N269" s="45"/>
      <c r="O269" s="227">
        <f>'[2]345 PL'!$E$65</f>
        <v>19.790485114046348</v>
      </c>
      <c r="P269" s="140"/>
      <c r="Q269" s="196">
        <f t="shared" si="82"/>
        <v>44964.23316063216</v>
      </c>
      <c r="R269" s="136"/>
      <c r="S269" s="197">
        <f t="shared" si="83"/>
        <v>3.096801918485987E-2</v>
      </c>
      <c r="T269" s="32"/>
      <c r="U269" s="262">
        <v>8.0500000000000007</v>
      </c>
      <c r="W269" s="145">
        <v>116933</v>
      </c>
      <c r="Y269" s="157">
        <f t="shared" si="84"/>
        <v>-71968.766839367832</v>
      </c>
      <c r="AA269" s="198"/>
    </row>
    <row r="270" spans="1:27" x14ac:dyDescent="0.2">
      <c r="A270" s="26"/>
      <c r="B270" s="139"/>
      <c r="C270" s="58" t="s">
        <v>127</v>
      </c>
      <c r="D270" s="139"/>
      <c r="E270" s="20" t="str">
        <f>[1]KU!$I$46</f>
        <v>283 - R1</v>
      </c>
      <c r="F270" s="20" t="s">
        <v>64</v>
      </c>
      <c r="G270" s="222">
        <f>'SKM Prod NS Weighting'!Q$32</f>
        <v>-1E-3</v>
      </c>
      <c r="H270" s="139"/>
      <c r="I270" s="202">
        <v>2456320.0099999998</v>
      </c>
      <c r="J270" s="200"/>
      <c r="K270" s="200">
        <v>844832</v>
      </c>
      <c r="L270" s="200"/>
      <c r="M270" s="237">
        <f t="shared" si="81"/>
        <v>1613944.3300099997</v>
      </c>
      <c r="N270" s="45"/>
      <c r="O270" s="227">
        <f>'[2]345 PL'!$E$65</f>
        <v>19.790485114046348</v>
      </c>
      <c r="P270" s="140"/>
      <c r="Q270" s="196">
        <f t="shared" si="82"/>
        <v>81551.529470315945</v>
      </c>
      <c r="R270" s="136"/>
      <c r="S270" s="197">
        <f t="shared" si="83"/>
        <v>3.3200694184108342E-2</v>
      </c>
      <c r="T270" s="32"/>
      <c r="U270" s="262">
        <v>3.78</v>
      </c>
      <c r="W270" s="145">
        <v>92743</v>
      </c>
      <c r="Y270" s="157">
        <f t="shared" si="84"/>
        <v>-11191.470529684055</v>
      </c>
      <c r="AA270" s="198"/>
    </row>
    <row r="271" spans="1:27" x14ac:dyDescent="0.2">
      <c r="A271" s="26"/>
      <c r="B271" s="139"/>
      <c r="C271" s="139"/>
      <c r="D271" s="139"/>
      <c r="E271" s="20"/>
      <c r="F271" s="20"/>
      <c r="G271" s="222"/>
      <c r="H271" s="139"/>
      <c r="I271" s="200"/>
      <c r="J271" s="205"/>
      <c r="K271" s="206"/>
      <c r="L271" s="201"/>
      <c r="M271" s="206"/>
      <c r="N271" s="34"/>
      <c r="O271" s="41"/>
      <c r="P271" s="140"/>
      <c r="Q271" s="35"/>
      <c r="R271" s="140"/>
      <c r="S271" s="179"/>
      <c r="T271" s="32"/>
      <c r="U271" s="262"/>
      <c r="AA271" s="198"/>
    </row>
    <row r="272" spans="1:27" x14ac:dyDescent="0.2">
      <c r="A272" s="26"/>
      <c r="B272" s="139"/>
      <c r="C272" s="65" t="s">
        <v>40</v>
      </c>
      <c r="D272" s="139"/>
      <c r="E272" s="20"/>
      <c r="F272" s="20"/>
      <c r="G272" s="222"/>
      <c r="H272" s="139"/>
      <c r="I272" s="200">
        <f>SUM(I256:I270)</f>
        <v>44367406.07</v>
      </c>
      <c r="J272" s="205"/>
      <c r="K272" s="200">
        <f>SUM(K256:K270)</f>
        <v>14270910</v>
      </c>
      <c r="L272" s="201"/>
      <c r="M272" s="200">
        <f>SUM(M256:M270)</f>
        <v>30140863.476070002</v>
      </c>
      <c r="N272" s="34"/>
      <c r="O272" s="41"/>
      <c r="P272" s="140"/>
      <c r="Q272" s="200">
        <f>SUM(Q256:Q270)</f>
        <v>1522997.7083622592</v>
      </c>
      <c r="R272" s="136"/>
      <c r="S272" s="197">
        <f t="shared" ref="S272" si="85">+Q272/I272</f>
        <v>3.4326949516935309E-2</v>
      </c>
      <c r="T272" s="32"/>
      <c r="U272" s="262">
        <v>3.98</v>
      </c>
      <c r="W272" s="200">
        <v>1764063</v>
      </c>
      <c r="Y272" s="200">
        <f>SUM(Y256:Y270)</f>
        <v>-241065.29163774056</v>
      </c>
      <c r="AA272" s="198"/>
    </row>
    <row r="273" spans="1:27" x14ac:dyDescent="0.2">
      <c r="A273" s="26"/>
      <c r="B273" s="139"/>
      <c r="C273" s="139"/>
      <c r="D273" s="139"/>
      <c r="E273" s="20"/>
      <c r="F273" s="20"/>
      <c r="G273" s="222"/>
      <c r="H273" s="139"/>
      <c r="I273" s="200"/>
      <c r="J273" s="205"/>
      <c r="K273" s="201"/>
      <c r="L273" s="201"/>
      <c r="M273" s="201"/>
      <c r="N273" s="34"/>
      <c r="O273" s="41"/>
      <c r="P273" s="140"/>
      <c r="Q273" s="35"/>
      <c r="R273" s="140"/>
      <c r="S273" s="179"/>
      <c r="T273" s="32"/>
      <c r="U273" s="262"/>
      <c r="AA273" s="198"/>
    </row>
    <row r="274" spans="1:27" x14ac:dyDescent="0.2">
      <c r="A274" s="26">
        <v>346</v>
      </c>
      <c r="B274" s="139"/>
      <c r="C274" s="59" t="s">
        <v>176</v>
      </c>
      <c r="D274" s="139"/>
      <c r="E274" s="56"/>
      <c r="F274" s="56"/>
      <c r="G274" s="224"/>
      <c r="H274" s="139"/>
      <c r="I274" s="200"/>
      <c r="J274" s="205"/>
      <c r="K274" s="201"/>
      <c r="L274" s="201"/>
      <c r="M274" s="201"/>
      <c r="N274" s="34"/>
      <c r="O274" s="41"/>
      <c r="P274" s="140"/>
      <c r="Q274" s="35"/>
      <c r="R274" s="140"/>
      <c r="S274" s="179"/>
      <c r="T274" s="32"/>
      <c r="U274" s="262"/>
      <c r="AA274" s="198"/>
    </row>
    <row r="275" spans="1:27" x14ac:dyDescent="0.2">
      <c r="A275" s="26"/>
      <c r="B275" s="139"/>
      <c r="C275" s="58" t="s">
        <v>113</v>
      </c>
      <c r="D275" s="139"/>
      <c r="E275" s="20" t="str">
        <f>[1]KU!$I$47</f>
        <v>248 - R1</v>
      </c>
      <c r="F275" s="20" t="s">
        <v>64</v>
      </c>
      <c r="G275" s="222">
        <f>'SKM Prod NS Weighting'!Q$33</f>
        <v>0</v>
      </c>
      <c r="H275" s="139"/>
      <c r="I275" s="200">
        <v>28963.63</v>
      </c>
      <c r="J275" s="200"/>
      <c r="K275" s="200">
        <v>8377</v>
      </c>
      <c r="L275" s="200"/>
      <c r="M275" s="237">
        <f t="shared" ref="M275:M288" si="86">+((1-G275)*I275)-K275</f>
        <v>20586.63</v>
      </c>
      <c r="N275" s="45"/>
      <c r="O275" s="227">
        <f>'[2]346 PL'!$E$65</f>
        <v>18.810098901193253</v>
      </c>
      <c r="P275" s="140"/>
      <c r="Q275" s="196">
        <f t="shared" ref="Q275:Q288" si="87">+M275/O275</f>
        <v>1094.4456011708717</v>
      </c>
      <c r="R275" s="136"/>
      <c r="S275" s="197">
        <f t="shared" ref="S275:S287" si="88">+Q275/I275</f>
        <v>3.7786893465041216E-2</v>
      </c>
      <c r="T275" s="32"/>
      <c r="U275" s="262">
        <v>4.04</v>
      </c>
      <c r="W275" s="145">
        <v>1171</v>
      </c>
      <c r="Y275" s="157">
        <f t="shared" ref="Y275:Y288" si="89">Q275-W275</f>
        <v>-76.554398829128331</v>
      </c>
      <c r="AA275" s="198"/>
    </row>
    <row r="276" spans="1:27" x14ac:dyDescent="0.2">
      <c r="A276" s="26"/>
      <c r="B276" s="139"/>
      <c r="C276" s="58" t="s">
        <v>115</v>
      </c>
      <c r="D276" s="139"/>
      <c r="E276" s="20" t="str">
        <f>[1]KU!$I$47</f>
        <v>248 - R1</v>
      </c>
      <c r="F276" s="20" t="s">
        <v>64</v>
      </c>
      <c r="G276" s="222">
        <f>'SKM Prod NS Weighting'!Q$33</f>
        <v>0</v>
      </c>
      <c r="H276" s="139"/>
      <c r="I276" s="200">
        <v>8888.93</v>
      </c>
      <c r="J276" s="200"/>
      <c r="K276" s="200">
        <v>2318</v>
      </c>
      <c r="L276" s="200"/>
      <c r="M276" s="237">
        <f t="shared" si="86"/>
        <v>6570.93</v>
      </c>
      <c r="N276" s="45"/>
      <c r="O276" s="227">
        <f>'[2]346 PL'!$E$65</f>
        <v>18.810098901193253</v>
      </c>
      <c r="P276" s="140"/>
      <c r="Q276" s="196">
        <f t="shared" si="87"/>
        <v>349.32990169356106</v>
      </c>
      <c r="R276" s="136"/>
      <c r="S276" s="197">
        <f t="shared" si="88"/>
        <v>3.929943218065178E-2</v>
      </c>
      <c r="T276" s="32"/>
      <c r="U276" s="262">
        <v>3.97</v>
      </c>
      <c r="W276" s="145">
        <v>353</v>
      </c>
      <c r="Y276" s="157">
        <f t="shared" si="89"/>
        <v>-3.6700983064389447</v>
      </c>
      <c r="AA276" s="198"/>
    </row>
    <row r="277" spans="1:27" x14ac:dyDescent="0.2">
      <c r="A277" s="26"/>
      <c r="B277" s="139"/>
      <c r="C277" s="58" t="s">
        <v>116</v>
      </c>
      <c r="D277" s="139"/>
      <c r="E277" s="20" t="str">
        <f>[1]KU!$I$47</f>
        <v>248 - R1</v>
      </c>
      <c r="F277" s="20" t="s">
        <v>64</v>
      </c>
      <c r="G277" s="222">
        <f>'SKM Prod NS Weighting'!Q$33</f>
        <v>0</v>
      </c>
      <c r="H277" s="139"/>
      <c r="I277" s="200">
        <v>8861.01</v>
      </c>
      <c r="J277" s="200"/>
      <c r="K277" s="200">
        <v>2310</v>
      </c>
      <c r="L277" s="200"/>
      <c r="M277" s="237">
        <f t="shared" si="86"/>
        <v>6551.01</v>
      </c>
      <c r="N277" s="45"/>
      <c r="O277" s="227">
        <f>'[2]346 PL'!$E$65</f>
        <v>18.810098901193253</v>
      </c>
      <c r="P277" s="140"/>
      <c r="Q277" s="196">
        <f t="shared" si="87"/>
        <v>348.27089609743757</v>
      </c>
      <c r="R277" s="136"/>
      <c r="S277" s="197">
        <f t="shared" si="88"/>
        <v>3.9303747100774916E-2</v>
      </c>
      <c r="T277" s="32"/>
      <c r="U277" s="262">
        <v>3.97</v>
      </c>
      <c r="W277" s="145">
        <v>352</v>
      </c>
      <c r="Y277" s="157">
        <f t="shared" si="89"/>
        <v>-3.7291039025624286</v>
      </c>
      <c r="AA277" s="198"/>
    </row>
    <row r="278" spans="1:27" x14ac:dyDescent="0.2">
      <c r="A278" s="26"/>
      <c r="B278" s="139"/>
      <c r="C278" s="58" t="s">
        <v>117</v>
      </c>
      <c r="D278" s="139"/>
      <c r="E278" s="20" t="str">
        <f>[1]KU!$I$47</f>
        <v>248 - R1</v>
      </c>
      <c r="F278" s="20" t="s">
        <v>64</v>
      </c>
      <c r="G278" s="222">
        <f>'SKM Prod NS Weighting'!Q$33</f>
        <v>0</v>
      </c>
      <c r="H278" s="139"/>
      <c r="I278" s="200">
        <v>9113.52</v>
      </c>
      <c r="J278" s="200"/>
      <c r="K278" s="200">
        <v>2350</v>
      </c>
      <c r="L278" s="200"/>
      <c r="M278" s="237">
        <f t="shared" si="86"/>
        <v>6763.52</v>
      </c>
      <c r="N278" s="45"/>
      <c r="O278" s="227">
        <f>'[2]346 PL'!$E$65</f>
        <v>18.810098901193253</v>
      </c>
      <c r="P278" s="140"/>
      <c r="Q278" s="196">
        <f t="shared" si="87"/>
        <v>359.56855067736745</v>
      </c>
      <c r="R278" s="136"/>
      <c r="S278" s="197">
        <f t="shared" si="88"/>
        <v>3.945440956703529E-2</v>
      </c>
      <c r="T278" s="32"/>
      <c r="U278" s="262">
        <v>3.98</v>
      </c>
      <c r="W278" s="145">
        <v>363</v>
      </c>
      <c r="Y278" s="157">
        <f t="shared" si="89"/>
        <v>-3.4314493226325453</v>
      </c>
      <c r="AA278" s="198"/>
    </row>
    <row r="279" spans="1:27" x14ac:dyDescent="0.2">
      <c r="A279" s="26"/>
      <c r="B279" s="139"/>
      <c r="C279" s="58" t="s">
        <v>118</v>
      </c>
      <c r="D279" s="139"/>
      <c r="E279" s="20" t="str">
        <f>[1]KU!$I$47</f>
        <v>248 - R1</v>
      </c>
      <c r="F279" s="20" t="s">
        <v>64</v>
      </c>
      <c r="G279" s="222">
        <f>'SKM Prod NS Weighting'!Q$33</f>
        <v>0</v>
      </c>
      <c r="H279" s="139"/>
      <c r="I279" s="200">
        <v>41868.51</v>
      </c>
      <c r="J279" s="200"/>
      <c r="K279" s="200">
        <v>4157</v>
      </c>
      <c r="L279" s="200"/>
      <c r="M279" s="237">
        <f t="shared" si="86"/>
        <v>37711.51</v>
      </c>
      <c r="N279" s="45"/>
      <c r="O279" s="227">
        <f>'[2]346 PL'!$E$65</f>
        <v>18.810098901193253</v>
      </c>
      <c r="P279" s="140"/>
      <c r="Q279" s="196">
        <f t="shared" si="87"/>
        <v>2004.8544241097904</v>
      </c>
      <c r="R279" s="136"/>
      <c r="S279" s="197">
        <f t="shared" si="88"/>
        <v>4.7884541965066113E-2</v>
      </c>
      <c r="T279" s="32"/>
      <c r="U279" s="262">
        <v>4.59</v>
      </c>
      <c r="W279" s="145">
        <v>1922</v>
      </c>
      <c r="Y279" s="157">
        <f t="shared" si="89"/>
        <v>82.854424109790443</v>
      </c>
      <c r="AA279" s="198"/>
    </row>
    <row r="280" spans="1:27" x14ac:dyDescent="0.2">
      <c r="A280" s="26"/>
      <c r="B280" s="139"/>
      <c r="C280" s="58" t="s">
        <v>119</v>
      </c>
      <c r="D280" s="139"/>
      <c r="E280" s="20" t="str">
        <f>[1]KU!$I$47</f>
        <v>248 - R1</v>
      </c>
      <c r="F280" s="20" t="s">
        <v>64</v>
      </c>
      <c r="G280" s="222">
        <f>'SKM Prod NS Weighting'!Q$33</f>
        <v>0</v>
      </c>
      <c r="H280" s="139"/>
      <c r="I280" s="200">
        <v>2139352.61</v>
      </c>
      <c r="J280" s="200"/>
      <c r="K280" s="200">
        <v>749750</v>
      </c>
      <c r="L280" s="200"/>
      <c r="M280" s="237">
        <f t="shared" si="86"/>
        <v>1389602.6099999999</v>
      </c>
      <c r="N280" s="45"/>
      <c r="O280" s="227">
        <f>'[2]346 PL'!$E$65</f>
        <v>18.810098901193253</v>
      </c>
      <c r="P280" s="140"/>
      <c r="Q280" s="196">
        <f t="shared" si="87"/>
        <v>73875.348412540669</v>
      </c>
      <c r="R280" s="136"/>
      <c r="S280" s="197">
        <f t="shared" si="88"/>
        <v>3.4531637312719889E-2</v>
      </c>
      <c r="T280" s="32"/>
      <c r="U280" s="262">
        <v>4.0599999999999996</v>
      </c>
      <c r="W280" s="145">
        <v>86757</v>
      </c>
      <c r="Y280" s="157">
        <f t="shared" si="89"/>
        <v>-12881.651587459331</v>
      </c>
      <c r="AA280" s="198"/>
    </row>
    <row r="281" spans="1:27" x14ac:dyDescent="0.2">
      <c r="A281" s="114" t="s">
        <v>163</v>
      </c>
      <c r="B281" s="139"/>
      <c r="C281" s="58" t="s">
        <v>120</v>
      </c>
      <c r="D281" s="139"/>
      <c r="E281" s="20" t="str">
        <f>[1]KU!$I$47</f>
        <v>248 - R1</v>
      </c>
      <c r="F281" s="20" t="s">
        <v>64</v>
      </c>
      <c r="G281" s="222">
        <f>'SKM Prod NS Weighting'!Q$33</f>
        <v>0</v>
      </c>
      <c r="H281" s="139"/>
      <c r="I281" s="200">
        <v>53748.85</v>
      </c>
      <c r="J281" s="200"/>
      <c r="K281" s="200">
        <v>17904</v>
      </c>
      <c r="L281" s="200"/>
      <c r="M281" s="237">
        <f t="shared" si="86"/>
        <v>35844.85</v>
      </c>
      <c r="N281" s="45"/>
      <c r="O281" s="227">
        <f>'[2]346 PL'!$E$65</f>
        <v>18.810098901193253</v>
      </c>
      <c r="P281" s="140"/>
      <c r="Q281" s="196">
        <f t="shared" si="87"/>
        <v>1905.6173063357001</v>
      </c>
      <c r="R281" s="136"/>
      <c r="S281" s="197">
        <f t="shared" si="88"/>
        <v>3.5454103787070798E-2</v>
      </c>
      <c r="T281" s="32"/>
      <c r="U281" s="262">
        <v>4.47</v>
      </c>
      <c r="W281" s="145">
        <v>2404</v>
      </c>
      <c r="Y281" s="157">
        <f t="shared" si="89"/>
        <v>-498.38269366429995</v>
      </c>
      <c r="AA281" s="198"/>
    </row>
    <row r="282" spans="1:27" x14ac:dyDescent="0.2">
      <c r="A282" s="26"/>
      <c r="B282" s="139"/>
      <c r="C282" s="58" t="s">
        <v>121</v>
      </c>
      <c r="D282" s="139"/>
      <c r="E282" s="20" t="str">
        <f>[1]KU!$I$47</f>
        <v>248 - R1</v>
      </c>
      <c r="F282" s="20" t="s">
        <v>64</v>
      </c>
      <c r="G282" s="222">
        <f>'SKM Prod NS Weighting'!Q$33</f>
        <v>0</v>
      </c>
      <c r="H282" s="139"/>
      <c r="I282" s="200">
        <v>35647.39</v>
      </c>
      <c r="J282" s="200"/>
      <c r="K282" s="200">
        <v>13487</v>
      </c>
      <c r="L282" s="200"/>
      <c r="M282" s="237">
        <f t="shared" si="86"/>
        <v>22160.39</v>
      </c>
      <c r="N282" s="45"/>
      <c r="O282" s="227">
        <f>'[2]346 PL'!$E$65</f>
        <v>18.810098901193253</v>
      </c>
      <c r="P282" s="140"/>
      <c r="Q282" s="196">
        <f t="shared" si="87"/>
        <v>1178.1112962991499</v>
      </c>
      <c r="R282" s="136"/>
      <c r="S282" s="197">
        <f t="shared" si="88"/>
        <v>3.3049019754297575E-2</v>
      </c>
      <c r="T282" s="32"/>
      <c r="U282" s="262">
        <v>4.25</v>
      </c>
      <c r="W282" s="145">
        <v>1515</v>
      </c>
      <c r="Y282" s="157">
        <f t="shared" si="89"/>
        <v>-336.8887037008501</v>
      </c>
      <c r="AA282" s="198"/>
    </row>
    <row r="283" spans="1:27" x14ac:dyDescent="0.2">
      <c r="A283" s="26"/>
      <c r="B283" s="139"/>
      <c r="C283" s="58" t="s">
        <v>122</v>
      </c>
      <c r="D283" s="139"/>
      <c r="E283" s="20" t="str">
        <f>[1]KU!$I$47</f>
        <v>248 - R1</v>
      </c>
      <c r="F283" s="20" t="s">
        <v>64</v>
      </c>
      <c r="G283" s="222">
        <f>'SKM Prod NS Weighting'!Q$33</f>
        <v>0</v>
      </c>
      <c r="H283" s="139"/>
      <c r="I283" s="200">
        <v>285932.33</v>
      </c>
      <c r="J283" s="200"/>
      <c r="K283" s="200">
        <v>133886</v>
      </c>
      <c r="L283" s="200"/>
      <c r="M283" s="237">
        <f t="shared" si="86"/>
        <v>152046.33000000002</v>
      </c>
      <c r="N283" s="45"/>
      <c r="O283" s="227">
        <f>'[2]346 PL'!$E$65</f>
        <v>18.810098901193253</v>
      </c>
      <c r="P283" s="140"/>
      <c r="Q283" s="196">
        <f t="shared" si="87"/>
        <v>8083.2286315280708</v>
      </c>
      <c r="R283" s="136"/>
      <c r="S283" s="197">
        <f t="shared" si="88"/>
        <v>2.8269726027581668E-2</v>
      </c>
      <c r="T283" s="32"/>
      <c r="U283" s="262">
        <v>4.7</v>
      </c>
      <c r="W283" s="145">
        <v>13435</v>
      </c>
      <c r="Y283" s="157">
        <f t="shared" si="89"/>
        <v>-5351.7713684719292</v>
      </c>
      <c r="AA283" s="198"/>
    </row>
    <row r="284" spans="1:27" x14ac:dyDescent="0.2">
      <c r="A284" s="26"/>
      <c r="B284" s="139"/>
      <c r="C284" s="58" t="s">
        <v>123</v>
      </c>
      <c r="D284" s="139"/>
      <c r="E284" s="20" t="str">
        <f>[1]KU!$I$47</f>
        <v>248 - R1</v>
      </c>
      <c r="F284" s="20" t="s">
        <v>64</v>
      </c>
      <c r="G284" s="222">
        <f>'SKM Prod NS Weighting'!Q$33</f>
        <v>0</v>
      </c>
      <c r="H284" s="139"/>
      <c r="I284" s="200">
        <v>760255.37</v>
      </c>
      <c r="J284" s="200"/>
      <c r="K284" s="200">
        <v>435836</v>
      </c>
      <c r="L284" s="200"/>
      <c r="M284" s="237">
        <f t="shared" si="86"/>
        <v>324419.37</v>
      </c>
      <c r="N284" s="45"/>
      <c r="O284" s="227">
        <f>'[2]346 PL'!$E$65</f>
        <v>18.810098901193253</v>
      </c>
      <c r="P284" s="140"/>
      <c r="Q284" s="196">
        <f t="shared" si="87"/>
        <v>17247.084755063137</v>
      </c>
      <c r="R284" s="136"/>
      <c r="S284" s="197">
        <f t="shared" si="88"/>
        <v>2.2685909808257108E-2</v>
      </c>
      <c r="T284" s="32"/>
      <c r="U284" s="262">
        <v>2.99</v>
      </c>
      <c r="W284" s="145">
        <v>22729</v>
      </c>
      <c r="Y284" s="157">
        <f t="shared" si="89"/>
        <v>-5481.915244936863</v>
      </c>
      <c r="AA284" s="198"/>
    </row>
    <row r="285" spans="1:27" x14ac:dyDescent="0.2">
      <c r="A285" s="26"/>
      <c r="B285" s="139"/>
      <c r="C285" s="58" t="s">
        <v>124</v>
      </c>
      <c r="D285" s="139"/>
      <c r="E285" s="20" t="str">
        <f>[1]KU!$I$47</f>
        <v>248 - R1</v>
      </c>
      <c r="F285" s="20" t="s">
        <v>64</v>
      </c>
      <c r="G285" s="222">
        <f>'SKM Prod NS Weighting'!Q$33</f>
        <v>0</v>
      </c>
      <c r="H285" s="139"/>
      <c r="I285" s="200">
        <v>274390.87</v>
      </c>
      <c r="J285" s="200"/>
      <c r="K285" s="200">
        <v>136467</v>
      </c>
      <c r="L285" s="200"/>
      <c r="M285" s="237">
        <f t="shared" si="86"/>
        <v>137923.87</v>
      </c>
      <c r="N285" s="45"/>
      <c r="O285" s="227">
        <f>'[2]346 PL'!$E$65</f>
        <v>18.810098901193253</v>
      </c>
      <c r="P285" s="140"/>
      <c r="Q285" s="196">
        <f t="shared" si="87"/>
        <v>7332.437257480371</v>
      </c>
      <c r="R285" s="136"/>
      <c r="S285" s="197">
        <f t="shared" si="88"/>
        <v>2.6722599252228658E-2</v>
      </c>
      <c r="T285" s="32"/>
      <c r="U285" s="262">
        <v>3.4</v>
      </c>
      <c r="W285" s="145">
        <v>9323</v>
      </c>
      <c r="Y285" s="157">
        <f t="shared" si="89"/>
        <v>-1990.562742519629</v>
      </c>
      <c r="AA285" s="198"/>
    </row>
    <row r="286" spans="1:27" x14ac:dyDescent="0.2">
      <c r="A286" s="26"/>
      <c r="B286" s="139"/>
      <c r="C286" s="58" t="s">
        <v>125</v>
      </c>
      <c r="D286" s="139"/>
      <c r="E286" s="20" t="str">
        <f>[1]KU!$I$47</f>
        <v>248 - R1</v>
      </c>
      <c r="F286" s="20" t="s">
        <v>64</v>
      </c>
      <c r="G286" s="222">
        <f>'SKM Prod NS Weighting'!Q$33</f>
        <v>0</v>
      </c>
      <c r="H286" s="139"/>
      <c r="I286" s="200">
        <v>590562.81999999995</v>
      </c>
      <c r="J286" s="200"/>
      <c r="K286" s="200">
        <v>219404</v>
      </c>
      <c r="L286" s="200"/>
      <c r="M286" s="237">
        <f t="shared" si="86"/>
        <v>371158.81999999995</v>
      </c>
      <c r="N286" s="45"/>
      <c r="O286" s="227">
        <f>'[2]346 PL'!$E$65</f>
        <v>18.810098901193253</v>
      </c>
      <c r="P286" s="140"/>
      <c r="Q286" s="196">
        <f t="shared" si="87"/>
        <v>19731.890935270669</v>
      </c>
      <c r="R286" s="136"/>
      <c r="S286" s="197">
        <f t="shared" si="88"/>
        <v>3.3412010148675918E-2</v>
      </c>
      <c r="T286" s="32"/>
      <c r="U286" s="262">
        <v>5.04</v>
      </c>
      <c r="W286" s="145">
        <v>29785</v>
      </c>
      <c r="Y286" s="157">
        <f t="shared" si="89"/>
        <v>-10053.109064729331</v>
      </c>
      <c r="AA286" s="198"/>
    </row>
    <row r="287" spans="1:27" x14ac:dyDescent="0.2">
      <c r="A287" s="26"/>
      <c r="B287" s="139"/>
      <c r="C287" s="58" t="s">
        <v>126</v>
      </c>
      <c r="D287" s="139"/>
      <c r="E287" s="20" t="str">
        <f>[1]KU!$I$47</f>
        <v>248 - R1</v>
      </c>
      <c r="F287" s="20" t="s">
        <v>64</v>
      </c>
      <c r="G287" s="222">
        <f>'SKM Prod NS Weighting'!Q$33</f>
        <v>0</v>
      </c>
      <c r="H287" s="139"/>
      <c r="I287" s="200">
        <v>35805.199999999997</v>
      </c>
      <c r="J287" s="200"/>
      <c r="K287" s="200">
        <v>34289</v>
      </c>
      <c r="L287" s="200"/>
      <c r="M287" s="237">
        <f t="shared" si="86"/>
        <v>1516.1999999999971</v>
      </c>
      <c r="N287" s="45"/>
      <c r="O287" s="227">
        <f>'[2]346 PL'!$E$65</f>
        <v>18.810098901193253</v>
      </c>
      <c r="P287" s="140"/>
      <c r="Q287" s="196">
        <f t="shared" si="87"/>
        <v>80.605636789278876</v>
      </c>
      <c r="R287" s="136"/>
      <c r="S287" s="197">
        <f t="shared" si="88"/>
        <v>2.2512271063778134E-3</v>
      </c>
      <c r="T287" s="32"/>
      <c r="U287" s="262">
        <v>1.67</v>
      </c>
      <c r="W287" s="145">
        <v>597</v>
      </c>
      <c r="Y287" s="157">
        <f t="shared" si="89"/>
        <v>-516.39436321072117</v>
      </c>
      <c r="AA287" s="198"/>
    </row>
    <row r="288" spans="1:27" x14ac:dyDescent="0.2">
      <c r="A288" s="26"/>
      <c r="B288" s="139"/>
      <c r="C288" s="58" t="s">
        <v>127</v>
      </c>
      <c r="D288" s="139"/>
      <c r="E288" s="20" t="str">
        <f>[1]KU!$I$47</f>
        <v>248 - R1</v>
      </c>
      <c r="F288" s="20" t="s">
        <v>64</v>
      </c>
      <c r="G288" s="222">
        <f>'SKM Prod NS Weighting'!Q$33</f>
        <v>0</v>
      </c>
      <c r="H288" s="139"/>
      <c r="I288" s="202">
        <v>1089550.03</v>
      </c>
      <c r="J288" s="200"/>
      <c r="K288" s="200">
        <v>384938</v>
      </c>
      <c r="L288" s="200"/>
      <c r="M288" s="237">
        <f t="shared" si="86"/>
        <v>704612.03</v>
      </c>
      <c r="N288" s="45"/>
      <c r="O288" s="227">
        <f>'[2]346 PL'!$E$65</f>
        <v>18.810098901193253</v>
      </c>
      <c r="P288" s="140"/>
      <c r="Q288" s="196">
        <f t="shared" si="87"/>
        <v>37459.241107727597</v>
      </c>
      <c r="R288" s="136"/>
      <c r="S288" s="197">
        <f>+Q288/I288</f>
        <v>3.4380469071005025E-2</v>
      </c>
      <c r="T288" s="32"/>
      <c r="U288" s="262">
        <v>4.04</v>
      </c>
      <c r="W288" s="145">
        <v>44055</v>
      </c>
      <c r="Y288" s="157">
        <f t="shared" si="89"/>
        <v>-6595.7588922724026</v>
      </c>
      <c r="AA288" s="198"/>
    </row>
    <row r="289" spans="1:27" x14ac:dyDescent="0.2">
      <c r="A289" s="26"/>
      <c r="B289" s="139"/>
      <c r="C289" s="139"/>
      <c r="D289" s="139"/>
      <c r="E289" s="20"/>
      <c r="F289" s="20"/>
      <c r="G289" s="19"/>
      <c r="H289" s="139"/>
      <c r="I289" s="200"/>
      <c r="J289" s="205"/>
      <c r="K289" s="206"/>
      <c r="L289" s="201"/>
      <c r="M289" s="206"/>
      <c r="N289" s="34"/>
      <c r="O289" s="41"/>
      <c r="P289" s="140"/>
      <c r="Q289" s="35"/>
      <c r="R289" s="140"/>
      <c r="S289" s="179"/>
      <c r="T289" s="32"/>
      <c r="U289" s="262"/>
      <c r="AA289" s="198"/>
    </row>
    <row r="290" spans="1:27" x14ac:dyDescent="0.2">
      <c r="A290" s="26"/>
      <c r="B290" s="139"/>
      <c r="C290" s="65" t="s">
        <v>177</v>
      </c>
      <c r="D290" s="139"/>
      <c r="E290" s="20"/>
      <c r="F290" s="20"/>
      <c r="G290" s="19"/>
      <c r="H290" s="139"/>
      <c r="I290" s="202">
        <f>SUM(I275:I288)</f>
        <v>5362941.0700000012</v>
      </c>
      <c r="J290" s="205"/>
      <c r="K290" s="202">
        <f>SUM(K275:K288)</f>
        <v>2145473</v>
      </c>
      <c r="L290" s="201"/>
      <c r="M290" s="202">
        <f>SUM(M275:M288)</f>
        <v>3217468.0700000003</v>
      </c>
      <c r="N290" s="34"/>
      <c r="O290" s="41"/>
      <c r="P290" s="140"/>
      <c r="Q290" s="202">
        <f>SUM(Q275:Q288)</f>
        <v>171050.03471278367</v>
      </c>
      <c r="R290" s="136"/>
      <c r="S290" s="197">
        <f t="shared" ref="S290" si="90">+Q290/I290</f>
        <v>3.1894818995798442E-2</v>
      </c>
      <c r="T290" s="32"/>
      <c r="U290" s="262">
        <v>4</v>
      </c>
      <c r="W290" s="202">
        <v>214761</v>
      </c>
      <c r="Y290" s="202">
        <f>SUM(Y275:Y288)</f>
        <v>-43710.965287216328</v>
      </c>
      <c r="AA290" s="198"/>
    </row>
    <row r="291" spans="1:27" x14ac:dyDescent="0.2">
      <c r="A291" s="26"/>
      <c r="B291" s="139"/>
      <c r="C291" s="139"/>
      <c r="D291" s="139"/>
      <c r="E291" s="20"/>
      <c r="F291" s="20"/>
      <c r="G291" s="19"/>
      <c r="H291" s="139"/>
      <c r="I291" s="200"/>
      <c r="J291" s="205"/>
      <c r="K291" s="201"/>
      <c r="L291" s="201"/>
      <c r="M291" s="201"/>
      <c r="N291" s="34"/>
      <c r="O291" s="41"/>
      <c r="P291" s="140"/>
      <c r="Q291" s="35"/>
      <c r="R291" s="140"/>
      <c r="S291" s="179"/>
      <c r="T291" s="32"/>
      <c r="U291" s="262"/>
      <c r="AA291" s="198"/>
    </row>
    <row r="292" spans="1:27" ht="15.75" x14ac:dyDescent="0.25">
      <c r="A292" s="26"/>
      <c r="B292" s="139"/>
      <c r="C292" s="91" t="s">
        <v>41</v>
      </c>
      <c r="D292" s="139"/>
      <c r="E292" s="48"/>
      <c r="F292" s="56"/>
      <c r="G292" s="51"/>
      <c r="H292" s="30"/>
      <c r="I292" s="203">
        <f>SUM(I290,I272,I253,I234,I216,I195,I176)</f>
        <v>526856779.57999998</v>
      </c>
      <c r="J292" s="204"/>
      <c r="K292" s="203">
        <f>SUM(K290,K272,K253,K234,K216,K195)</f>
        <v>177912364</v>
      </c>
      <c r="L292" s="204"/>
      <c r="M292" s="203">
        <f>SUM(M290,M272,M253,M234,M216,M195)</f>
        <v>351455584.92241448</v>
      </c>
      <c r="N292" s="31"/>
      <c r="O292" s="178"/>
      <c r="P292" s="184"/>
      <c r="Q292" s="203">
        <f>SUM(Q290,Q272,Q253,Q234,Q216,Q195)</f>
        <v>19635268.571900349</v>
      </c>
      <c r="R292" s="140"/>
      <c r="S292" s="179"/>
      <c r="T292" s="32"/>
      <c r="U292" s="262">
        <v>4.18</v>
      </c>
      <c r="W292" s="203">
        <v>22008824</v>
      </c>
      <c r="Y292" s="203">
        <f>SUM(Y290,Y272,Y253,Y234,Y216,Y195)</f>
        <v>-2369608.4280996569</v>
      </c>
      <c r="Z292" s="198">
        <f>+Y292</f>
        <v>-2369608.4280996569</v>
      </c>
      <c r="AA292" s="198"/>
    </row>
    <row r="293" spans="1:27" ht="15.75" x14ac:dyDescent="0.25">
      <c r="A293" s="26"/>
      <c r="B293" s="139"/>
      <c r="C293" s="91"/>
      <c r="D293" s="139"/>
      <c r="E293" s="48"/>
      <c r="F293" s="56"/>
      <c r="G293" s="51"/>
      <c r="H293" s="30"/>
      <c r="I293" s="200"/>
      <c r="J293" s="204"/>
      <c r="K293" s="204"/>
      <c r="L293" s="204"/>
      <c r="M293" s="204"/>
      <c r="N293" s="31"/>
      <c r="O293" s="178"/>
      <c r="P293" s="184"/>
      <c r="Q293" s="35"/>
      <c r="R293" s="140"/>
      <c r="S293" s="179"/>
      <c r="T293" s="32"/>
      <c r="U293" s="262"/>
      <c r="Z293" s="145">
        <f>SUM(Z129:Z292)</f>
        <v>-22922100.152045943</v>
      </c>
      <c r="AA293" s="198"/>
    </row>
    <row r="294" spans="1:27" x14ac:dyDescent="0.2">
      <c r="A294" s="26"/>
      <c r="B294" s="139"/>
      <c r="C294" s="139"/>
      <c r="D294" s="139"/>
      <c r="E294" s="48"/>
      <c r="F294" s="56"/>
      <c r="G294" s="19"/>
      <c r="H294" s="139"/>
      <c r="I294" s="200"/>
      <c r="J294" s="205"/>
      <c r="K294" s="201"/>
      <c r="L294" s="201"/>
      <c r="M294" s="201"/>
      <c r="N294" s="34"/>
      <c r="O294" s="41"/>
      <c r="P294" s="140"/>
      <c r="Q294" s="35"/>
      <c r="R294" s="140"/>
      <c r="S294" s="179"/>
      <c r="T294" s="32"/>
      <c r="U294" s="262"/>
      <c r="AA294" s="198"/>
    </row>
    <row r="295" spans="1:27" ht="15.75" x14ac:dyDescent="0.25">
      <c r="A295" s="26"/>
      <c r="B295" s="139"/>
      <c r="C295" s="53" t="s">
        <v>42</v>
      </c>
      <c r="D295" s="139"/>
      <c r="E295" s="48"/>
      <c r="F295" s="56"/>
      <c r="G295" s="19"/>
      <c r="H295" s="139"/>
      <c r="I295" s="200"/>
      <c r="J295" s="205"/>
      <c r="K295" s="201"/>
      <c r="L295" s="201"/>
      <c r="M295" s="201"/>
      <c r="N295" s="34"/>
      <c r="O295" s="41"/>
      <c r="P295" s="140"/>
      <c r="Q295" s="35"/>
      <c r="R295" s="140"/>
      <c r="S295" s="179"/>
      <c r="T295" s="32"/>
      <c r="U295" s="262"/>
      <c r="AA295" s="198"/>
    </row>
    <row r="296" spans="1:27" s="139" customFormat="1" ht="15.75" x14ac:dyDescent="0.25">
      <c r="A296" s="26"/>
      <c r="C296" s="43"/>
      <c r="E296" s="48"/>
      <c r="F296" s="56"/>
      <c r="G296" s="19"/>
      <c r="I296" s="200"/>
      <c r="J296" s="205"/>
      <c r="K296" s="201"/>
      <c r="L296" s="201"/>
      <c r="M296" s="201"/>
      <c r="N296" s="34"/>
      <c r="O296" s="41"/>
      <c r="P296" s="140"/>
      <c r="Q296" s="35"/>
      <c r="R296" s="140"/>
      <c r="S296" s="179"/>
      <c r="T296" s="32"/>
      <c r="U296" s="262"/>
      <c r="W296" s="150"/>
      <c r="Y296" s="153"/>
      <c r="AA296" s="198"/>
    </row>
    <row r="297" spans="1:27" s="139" customFormat="1" x14ac:dyDescent="0.2">
      <c r="A297" s="26">
        <v>350.1</v>
      </c>
      <c r="C297" s="139" t="s">
        <v>179</v>
      </c>
      <c r="E297" s="20" t="str">
        <f>[1]KU!$I51</f>
        <v>300 - R2</v>
      </c>
      <c r="F297" s="56"/>
      <c r="G297" s="19">
        <v>0</v>
      </c>
      <c r="I297" s="200">
        <v>23413728.550000001</v>
      </c>
      <c r="J297" s="200"/>
      <c r="K297" s="200">
        <v>15953928</v>
      </c>
      <c r="L297" s="200"/>
      <c r="M297" s="200">
        <f t="shared" ref="M297:M306" si="91">+((1-(G297/100))*I297)-K297</f>
        <v>7459800.5500000007</v>
      </c>
      <c r="N297" s="45"/>
      <c r="O297" s="40">
        <f>[1]KU!$K51</f>
        <v>259.08</v>
      </c>
      <c r="P297" s="140"/>
      <c r="Q297" s="196">
        <f>+M297/O297</f>
        <v>28793.425003859815</v>
      </c>
      <c r="R297" s="136"/>
      <c r="S297" s="197">
        <f>+Q297/I297</f>
        <v>1.2297667559599266E-3</v>
      </c>
      <c r="T297" s="32"/>
      <c r="U297" s="262">
        <v>0.96</v>
      </c>
      <c r="W297" s="145">
        <v>225538</v>
      </c>
      <c r="Y297" s="157">
        <f>Q297-W297</f>
        <v>-196744.57499614017</v>
      </c>
      <c r="AA297" s="198"/>
    </row>
    <row r="298" spans="1:27" s="139" customFormat="1" ht="15" customHeight="1" x14ac:dyDescent="0.2">
      <c r="A298" s="26">
        <v>352.1</v>
      </c>
      <c r="C298" s="59" t="s">
        <v>35</v>
      </c>
      <c r="E298" s="20" t="str">
        <f>[1]KU!$I52</f>
        <v>114 - L2</v>
      </c>
      <c r="F298" s="56"/>
      <c r="G298" s="165">
        <v>-5</v>
      </c>
      <c r="I298" s="200">
        <v>17020058.510000002</v>
      </c>
      <c r="J298" s="200"/>
      <c r="K298" s="200">
        <v>4850267</v>
      </c>
      <c r="L298" s="200"/>
      <c r="M298" s="200">
        <f t="shared" si="91"/>
        <v>13020794.435500003</v>
      </c>
      <c r="N298" s="45"/>
      <c r="O298" s="40">
        <f>[1]KU!$K52</f>
        <v>101.18</v>
      </c>
      <c r="P298" s="140"/>
      <c r="Q298" s="196">
        <f t="shared" ref="Q298:Q306" si="92">+M298/O298</f>
        <v>128689.40932496544</v>
      </c>
      <c r="R298" s="140"/>
      <c r="S298" s="197">
        <f t="shared" ref="S298:S306" si="93">+Q298/I298</f>
        <v>7.5610438853283019E-3</v>
      </c>
      <c r="T298" s="32"/>
      <c r="U298" s="262">
        <v>1.75</v>
      </c>
      <c r="W298" s="145">
        <v>298018</v>
      </c>
      <c r="Y298" s="157">
        <f t="shared" ref="Y298:Y306" si="94">Q298-W298</f>
        <v>-169328.59067503456</v>
      </c>
      <c r="AA298" s="198"/>
    </row>
    <row r="299" spans="1:27" s="139" customFormat="1" ht="15" customHeight="1" x14ac:dyDescent="0.2">
      <c r="A299" s="26">
        <v>352.2</v>
      </c>
      <c r="C299" s="139" t="s">
        <v>183</v>
      </c>
      <c r="E299" s="20" t="str">
        <f>[1]KU!$I53</f>
        <v>69.3 - R4</v>
      </c>
      <c r="F299" s="56"/>
      <c r="G299" s="165">
        <v>-5</v>
      </c>
      <c r="I299" s="200">
        <v>1220542.6200000001</v>
      </c>
      <c r="J299" s="200"/>
      <c r="K299" s="200">
        <v>860225</v>
      </c>
      <c r="L299" s="200"/>
      <c r="M299" s="200">
        <f t="shared" si="91"/>
        <v>421344.75100000016</v>
      </c>
      <c r="N299" s="45"/>
      <c r="O299" s="40">
        <f>[1]KU!$K53</f>
        <v>39.630000000000003</v>
      </c>
      <c r="P299" s="140"/>
      <c r="Q299" s="196">
        <f t="shared" si="92"/>
        <v>10631.964446126674</v>
      </c>
      <c r="R299" s="136"/>
      <c r="S299" s="197">
        <f t="shared" si="93"/>
        <v>8.7108506265243506E-3</v>
      </c>
      <c r="T299" s="32"/>
      <c r="U299" s="262">
        <v>1.58</v>
      </c>
      <c r="W299" s="145">
        <v>19271</v>
      </c>
      <c r="Y299" s="157">
        <f t="shared" si="94"/>
        <v>-8639.0355538733256</v>
      </c>
      <c r="AA299" s="198"/>
    </row>
    <row r="300" spans="1:27" s="139" customFormat="1" ht="15" customHeight="1" x14ac:dyDescent="0.2">
      <c r="A300" s="26">
        <v>353.1</v>
      </c>
      <c r="C300" s="139" t="s">
        <v>181</v>
      </c>
      <c r="E300" s="20" t="str">
        <f>[1]KU!$I54</f>
        <v>111.2 - L0</v>
      </c>
      <c r="F300" s="56"/>
      <c r="G300" s="19">
        <v>0</v>
      </c>
      <c r="I300" s="200">
        <v>191753788.16999999</v>
      </c>
      <c r="J300" s="200"/>
      <c r="K300" s="200">
        <v>67092664</v>
      </c>
      <c r="L300" s="200"/>
      <c r="M300" s="200">
        <f t="shared" si="91"/>
        <v>124661124.16999999</v>
      </c>
      <c r="N300" s="45"/>
      <c r="O300" s="40">
        <f>[1]KU!$K54</f>
        <v>99.09</v>
      </c>
      <c r="P300" s="140"/>
      <c r="Q300" s="196">
        <f t="shared" si="92"/>
        <v>1258059.5839136138</v>
      </c>
      <c r="R300" s="136"/>
      <c r="S300" s="197">
        <f t="shared" si="93"/>
        <v>6.5608069385220003E-3</v>
      </c>
      <c r="T300" s="32"/>
      <c r="U300" s="262">
        <v>1.67</v>
      </c>
      <c r="W300" s="145">
        <v>3211159</v>
      </c>
      <c r="Y300" s="157">
        <f t="shared" si="94"/>
        <v>-1953099.4160863862</v>
      </c>
      <c r="AA300" s="198"/>
    </row>
    <row r="301" spans="1:27" s="139" customFormat="1" ht="15" customHeight="1" x14ac:dyDescent="0.2">
      <c r="A301" s="26">
        <v>353.2</v>
      </c>
      <c r="C301" s="139" t="s">
        <v>182</v>
      </c>
      <c r="E301" s="20" t="str">
        <f>[1]KU!$I55</f>
        <v>52.7 - S0</v>
      </c>
      <c r="F301" s="56"/>
      <c r="G301" s="19">
        <v>0</v>
      </c>
      <c r="I301" s="200">
        <v>14668403.51</v>
      </c>
      <c r="J301" s="200"/>
      <c r="K301" s="200">
        <v>16135244</v>
      </c>
      <c r="L301" s="200"/>
      <c r="M301" s="200">
        <f t="shared" si="91"/>
        <v>-1466840.4900000002</v>
      </c>
      <c r="N301" s="45"/>
      <c r="O301" s="40">
        <f>[1]KU!$K55</f>
        <v>38.6</v>
      </c>
      <c r="P301" s="140"/>
      <c r="Q301" s="196">
        <f t="shared" si="92"/>
        <v>-38001.048963730573</v>
      </c>
      <c r="R301" s="136"/>
      <c r="S301" s="197">
        <f t="shared" si="93"/>
        <v>-2.590673820625662E-3</v>
      </c>
      <c r="T301" s="32"/>
      <c r="U301" s="262" t="s">
        <v>297</v>
      </c>
      <c r="W301" s="145">
        <v>0</v>
      </c>
      <c r="Y301" s="157">
        <f t="shared" si="94"/>
        <v>-38001.048963730573</v>
      </c>
      <c r="AA301" s="198"/>
    </row>
    <row r="302" spans="1:27" s="139" customFormat="1" x14ac:dyDescent="0.2">
      <c r="A302" s="26">
        <v>354</v>
      </c>
      <c r="C302" s="139" t="s">
        <v>70</v>
      </c>
      <c r="E302" s="20" t="str">
        <f>[1]KU!$I56</f>
        <v>92.5 - L3</v>
      </c>
      <c r="F302" s="56"/>
      <c r="G302" s="19">
        <v>-10</v>
      </c>
      <c r="I302" s="200">
        <v>95353356.620000005</v>
      </c>
      <c r="J302" s="200"/>
      <c r="K302" s="200">
        <v>48758751</v>
      </c>
      <c r="L302" s="200"/>
      <c r="M302" s="200">
        <f t="shared" si="91"/>
        <v>56129941.28200002</v>
      </c>
      <c r="N302" s="45"/>
      <c r="O302" s="40">
        <f>[1]KU!$K56</f>
        <v>72.290000000000006</v>
      </c>
      <c r="P302" s="140"/>
      <c r="Q302" s="196">
        <f t="shared" si="92"/>
        <v>776455.12909116084</v>
      </c>
      <c r="R302" s="136"/>
      <c r="S302" s="197">
        <f t="shared" si="93"/>
        <v>8.142923926479818E-3</v>
      </c>
      <c r="T302" s="32"/>
      <c r="U302" s="262">
        <v>1.36</v>
      </c>
      <c r="W302" s="145">
        <v>1300626</v>
      </c>
      <c r="Y302" s="157">
        <f t="shared" si="94"/>
        <v>-524170.87090883916</v>
      </c>
      <c r="AA302" s="198"/>
    </row>
    <row r="303" spans="1:27" s="139" customFormat="1" x14ac:dyDescent="0.2">
      <c r="A303" s="26">
        <v>355</v>
      </c>
      <c r="C303" s="139" t="s">
        <v>71</v>
      </c>
      <c r="E303" s="20" t="str">
        <f>[1]KU!$I57</f>
        <v>61.3 S0.5</v>
      </c>
      <c r="F303" s="56"/>
      <c r="G303" s="19">
        <v>-25</v>
      </c>
      <c r="I303" s="200">
        <v>148658780.47999999</v>
      </c>
      <c r="J303" s="200"/>
      <c r="K303" s="200">
        <v>68401548</v>
      </c>
      <c r="L303" s="200"/>
      <c r="M303" s="200">
        <f t="shared" si="91"/>
        <v>117421927.59999999</v>
      </c>
      <c r="N303" s="45"/>
      <c r="O303" s="40">
        <f>[1]KU!$K57</f>
        <v>50.27</v>
      </c>
      <c r="P303" s="140"/>
      <c r="Q303" s="196">
        <f t="shared" si="92"/>
        <v>2335825.0964790131</v>
      </c>
      <c r="R303" s="136"/>
      <c r="S303" s="197">
        <f t="shared" si="93"/>
        <v>1.5712661498614045E-2</v>
      </c>
      <c r="T303" s="32"/>
      <c r="U303" s="262">
        <v>2.34</v>
      </c>
      <c r="W303" s="145">
        <v>3485089</v>
      </c>
      <c r="Y303" s="157">
        <f t="shared" si="94"/>
        <v>-1149263.9035209869</v>
      </c>
      <c r="AA303" s="198"/>
    </row>
    <row r="304" spans="1:27" s="139" customFormat="1" x14ac:dyDescent="0.2">
      <c r="A304" s="26">
        <v>356</v>
      </c>
      <c r="C304" s="139" t="s">
        <v>72</v>
      </c>
      <c r="E304" s="20" t="str">
        <f>[1]KU!$I58</f>
        <v>71 - R2.5</v>
      </c>
      <c r="F304" s="56"/>
      <c r="G304" s="19">
        <v>-25</v>
      </c>
      <c r="I304" s="200">
        <v>160446879.27000001</v>
      </c>
      <c r="J304" s="200"/>
      <c r="K304" s="200">
        <v>109283433</v>
      </c>
      <c r="L304" s="200"/>
      <c r="M304" s="200">
        <f t="shared" si="91"/>
        <v>91275166.087500006</v>
      </c>
      <c r="N304" s="45"/>
      <c r="O304" s="40">
        <f>[1]KU!$K58</f>
        <v>50.12</v>
      </c>
      <c r="P304" s="140"/>
      <c r="Q304" s="196">
        <f t="shared" si="92"/>
        <v>1821132.6035015965</v>
      </c>
      <c r="R304" s="136"/>
      <c r="S304" s="197">
        <f t="shared" si="93"/>
        <v>1.1350377220095346E-2</v>
      </c>
      <c r="T304" s="32"/>
      <c r="U304" s="262">
        <v>1.94</v>
      </c>
      <c r="W304" s="145">
        <v>3105267</v>
      </c>
      <c r="Y304" s="157">
        <f t="shared" si="94"/>
        <v>-1284134.3964984035</v>
      </c>
      <c r="AA304" s="198"/>
    </row>
    <row r="305" spans="1:27" s="139" customFormat="1" x14ac:dyDescent="0.2">
      <c r="A305" s="26">
        <v>357</v>
      </c>
      <c r="C305" s="139" t="s">
        <v>73</v>
      </c>
      <c r="E305" s="20" t="str">
        <f>[1]KU!$I59</f>
        <v>45 - R4</v>
      </c>
      <c r="F305" s="56"/>
      <c r="G305" s="19">
        <v>0</v>
      </c>
      <c r="I305" s="200">
        <v>448760.26</v>
      </c>
      <c r="J305" s="200"/>
      <c r="K305" s="200">
        <v>187418</v>
      </c>
      <c r="L305" s="200"/>
      <c r="M305" s="200">
        <f t="shared" si="91"/>
        <v>261342.26</v>
      </c>
      <c r="N305" s="45"/>
      <c r="O305" s="40">
        <f>[1]KU!$K59</f>
        <v>25.85</v>
      </c>
      <c r="P305" s="140"/>
      <c r="Q305" s="196">
        <f t="shared" si="92"/>
        <v>10109.952030947776</v>
      </c>
      <c r="R305" s="136"/>
      <c r="S305" s="197">
        <f t="shared" si="93"/>
        <v>2.2528625932580964E-2</v>
      </c>
      <c r="T305" s="32"/>
      <c r="U305" s="262">
        <v>2.27</v>
      </c>
      <c r="W305" s="145">
        <v>10209</v>
      </c>
      <c r="Y305" s="157">
        <f t="shared" si="94"/>
        <v>-99.047969052224289</v>
      </c>
      <c r="AA305" s="198"/>
    </row>
    <row r="306" spans="1:27" s="139" customFormat="1" x14ac:dyDescent="0.2">
      <c r="A306" s="26">
        <v>358</v>
      </c>
      <c r="C306" s="46" t="s">
        <v>74</v>
      </c>
      <c r="E306" s="20" t="str">
        <f>[1]KU!$I60</f>
        <v>35 - R3</v>
      </c>
      <c r="F306" s="56"/>
      <c r="G306" s="19">
        <v>0</v>
      </c>
      <c r="I306" s="202">
        <v>1161549.29</v>
      </c>
      <c r="J306" s="200"/>
      <c r="K306" s="200">
        <v>918039</v>
      </c>
      <c r="L306" s="200"/>
      <c r="M306" s="200">
        <f t="shared" si="91"/>
        <v>243510.29000000004</v>
      </c>
      <c r="N306" s="45"/>
      <c r="O306" s="40">
        <f>[1]KU!$K60</f>
        <v>13.76</v>
      </c>
      <c r="P306" s="140"/>
      <c r="Q306" s="196">
        <f t="shared" si="92"/>
        <v>17696.968750000004</v>
      </c>
      <c r="R306" s="136"/>
      <c r="S306" s="197">
        <f t="shared" si="93"/>
        <v>1.5235658875913912E-2</v>
      </c>
      <c r="T306" s="32"/>
      <c r="U306" s="262">
        <v>0.98</v>
      </c>
      <c r="W306" s="145">
        <v>11420</v>
      </c>
      <c r="Y306" s="157">
        <f t="shared" si="94"/>
        <v>6276.9687500000036</v>
      </c>
      <c r="AA306" s="198"/>
    </row>
    <row r="307" spans="1:27" s="139" customFormat="1" x14ac:dyDescent="0.2">
      <c r="A307" s="26"/>
      <c r="E307" s="20"/>
      <c r="F307" s="56"/>
      <c r="G307" s="19"/>
      <c r="I307" s="200"/>
      <c r="J307" s="205"/>
      <c r="K307" s="206"/>
      <c r="L307" s="201"/>
      <c r="M307" s="206"/>
      <c r="N307" s="34"/>
      <c r="O307" s="41"/>
      <c r="P307" s="140"/>
      <c r="Q307" s="35"/>
      <c r="R307" s="140"/>
      <c r="S307" s="179"/>
      <c r="T307" s="32"/>
      <c r="U307" s="262"/>
      <c r="W307" s="150"/>
      <c r="Y307" s="153"/>
      <c r="AA307" s="198"/>
    </row>
    <row r="308" spans="1:27" s="139" customFormat="1" ht="15.75" x14ac:dyDescent="0.25">
      <c r="A308" s="26"/>
      <c r="C308" s="50" t="s">
        <v>43</v>
      </c>
      <c r="E308" s="20"/>
      <c r="F308" s="56"/>
      <c r="G308" s="19"/>
      <c r="H308" s="30"/>
      <c r="I308" s="203">
        <f>SUM(I297:I306)</f>
        <v>654145847.27999997</v>
      </c>
      <c r="J308" s="204"/>
      <c r="K308" s="203">
        <f>SUM(K297:K306)</f>
        <v>332441517</v>
      </c>
      <c r="L308" s="204"/>
      <c r="M308" s="203">
        <f>SUM(M297:M306)</f>
        <v>409428110.93599993</v>
      </c>
      <c r="N308" s="31"/>
      <c r="O308" s="178"/>
      <c r="P308" s="140"/>
      <c r="Q308" s="203">
        <f>SUM(Q297:Q306)</f>
        <v>6349393.0835775528</v>
      </c>
      <c r="R308" s="140"/>
      <c r="S308" s="197"/>
      <c r="T308" s="32"/>
      <c r="U308" s="262">
        <v>1.78</v>
      </c>
      <c r="W308" s="203">
        <v>11666597</v>
      </c>
      <c r="Y308" s="203">
        <f>SUM(Y297:Y306)</f>
        <v>-5317203.9164224472</v>
      </c>
      <c r="Z308" s="205">
        <f>+Y308</f>
        <v>-5317203.9164224472</v>
      </c>
      <c r="AA308" s="198"/>
    </row>
    <row r="309" spans="1:27" s="139" customFormat="1" ht="15.75" x14ac:dyDescent="0.25">
      <c r="A309" s="26"/>
      <c r="C309" s="50"/>
      <c r="E309" s="20"/>
      <c r="F309" s="56"/>
      <c r="G309" s="19"/>
      <c r="H309" s="30"/>
      <c r="I309" s="200"/>
      <c r="J309" s="204"/>
      <c r="K309" s="204"/>
      <c r="L309" s="204"/>
      <c r="M309" s="204"/>
      <c r="N309" s="31"/>
      <c r="O309" s="178"/>
      <c r="P309" s="140"/>
      <c r="Q309" s="35"/>
      <c r="R309" s="140"/>
      <c r="S309" s="179"/>
      <c r="T309" s="32"/>
      <c r="U309" s="262"/>
      <c r="W309" s="150"/>
      <c r="Y309" s="153"/>
      <c r="AA309" s="198"/>
    </row>
    <row r="310" spans="1:27" s="139" customFormat="1" x14ac:dyDescent="0.2">
      <c r="A310" s="26"/>
      <c r="E310" s="20"/>
      <c r="F310" s="56"/>
      <c r="G310" s="19"/>
      <c r="I310" s="200"/>
      <c r="J310" s="205"/>
      <c r="K310" s="201"/>
      <c r="L310" s="201"/>
      <c r="M310" s="201"/>
      <c r="N310" s="34"/>
      <c r="O310" s="41"/>
      <c r="P310" s="140"/>
      <c r="Q310" s="35"/>
      <c r="R310" s="140"/>
      <c r="S310" s="179"/>
      <c r="T310" s="32"/>
      <c r="U310" s="262"/>
      <c r="W310" s="150"/>
      <c r="Y310" s="153"/>
      <c r="AA310" s="198"/>
    </row>
    <row r="311" spans="1:27" s="139" customFormat="1" ht="15.75" x14ac:dyDescent="0.25">
      <c r="A311" s="26"/>
      <c r="B311" s="32"/>
      <c r="C311" s="53" t="s">
        <v>44</v>
      </c>
      <c r="D311" s="32"/>
      <c r="E311" s="20"/>
      <c r="F311" s="56"/>
      <c r="G311" s="19"/>
      <c r="H311" s="32"/>
      <c r="I311" s="200"/>
      <c r="J311" s="201"/>
      <c r="K311" s="201"/>
      <c r="L311" s="201"/>
      <c r="M311" s="201"/>
      <c r="N311" s="34"/>
      <c r="O311" s="41"/>
      <c r="P311" s="42"/>
      <c r="Q311" s="35"/>
      <c r="R311" s="140"/>
      <c r="S311" s="179"/>
      <c r="T311" s="32"/>
      <c r="U311" s="262"/>
      <c r="W311" s="150"/>
      <c r="Y311" s="153"/>
      <c r="AA311" s="198"/>
    </row>
    <row r="312" spans="1:27" s="139" customFormat="1" ht="15.75" x14ac:dyDescent="0.25">
      <c r="A312" s="26"/>
      <c r="C312" s="43"/>
      <c r="E312" s="20"/>
      <c r="F312" s="56"/>
      <c r="G312" s="19"/>
      <c r="I312" s="200"/>
      <c r="J312" s="205"/>
      <c r="K312" s="201"/>
      <c r="L312" s="201"/>
      <c r="M312" s="201"/>
      <c r="N312" s="34"/>
      <c r="O312" s="41"/>
      <c r="P312" s="140"/>
      <c r="Q312" s="35"/>
      <c r="R312" s="140"/>
      <c r="S312" s="179"/>
      <c r="T312" s="32"/>
      <c r="U312" s="262"/>
      <c r="W312" s="150"/>
      <c r="Y312" s="153"/>
      <c r="AA312" s="198"/>
    </row>
    <row r="313" spans="1:27" s="139" customFormat="1" x14ac:dyDescent="0.2">
      <c r="A313" s="26">
        <v>360.1</v>
      </c>
      <c r="C313" s="59" t="s">
        <v>180</v>
      </c>
      <c r="E313" s="20" t="str">
        <f>[1]KU!$I67</f>
        <v>226 - R3</v>
      </c>
      <c r="F313" s="56"/>
      <c r="G313" s="19">
        <v>0</v>
      </c>
      <c r="I313" s="200">
        <v>2039033.29</v>
      </c>
      <c r="J313" s="200"/>
      <c r="K313" s="200">
        <v>1485249</v>
      </c>
      <c r="L313" s="200"/>
      <c r="M313" s="200">
        <f t="shared" ref="M313:M324" si="95">+((1-(G313/100))*I313)-K313</f>
        <v>553784.29</v>
      </c>
      <c r="N313" s="45"/>
      <c r="O313" s="40">
        <f>[1]KU!$K67</f>
        <v>186.04</v>
      </c>
      <c r="P313" s="140"/>
      <c r="Q313" s="196">
        <f t="shared" ref="Q313:Q324" si="96">+M313/O313</f>
        <v>2976.6947430660075</v>
      </c>
      <c r="R313" s="136"/>
      <c r="S313" s="197">
        <f t="shared" ref="S313:S324" si="97">+Q313/I313</f>
        <v>1.4598558825226475E-3</v>
      </c>
      <c r="T313" s="32"/>
      <c r="U313" s="262">
        <v>0.57999999999999996</v>
      </c>
      <c r="W313" s="145">
        <v>11896</v>
      </c>
      <c r="Y313" s="157">
        <f t="shared" ref="Y313:Y324" si="98">Q313-W313</f>
        <v>-8919.3052569339925</v>
      </c>
      <c r="AA313" s="198"/>
    </row>
    <row r="314" spans="1:27" x14ac:dyDescent="0.2">
      <c r="A314" s="26">
        <v>361</v>
      </c>
      <c r="B314" s="139"/>
      <c r="C314" s="139" t="s">
        <v>90</v>
      </c>
      <c r="D314" s="139"/>
      <c r="E314" s="20" t="str">
        <f>[1]KU!$I68</f>
        <v>83.9 - S0</v>
      </c>
      <c r="F314" s="56"/>
      <c r="G314" s="19">
        <v>-20</v>
      </c>
      <c r="H314" s="139"/>
      <c r="I314" s="200">
        <v>7658288.0899999999</v>
      </c>
      <c r="J314" s="200"/>
      <c r="K314" s="200">
        <v>1787771</v>
      </c>
      <c r="L314" s="200"/>
      <c r="M314" s="200">
        <f t="shared" si="95"/>
        <v>7402174.7079999987</v>
      </c>
      <c r="N314" s="45"/>
      <c r="O314" s="40">
        <f>[1]KU!$K68</f>
        <v>73.55</v>
      </c>
      <c r="P314" s="140"/>
      <c r="Q314" s="196">
        <f t="shared" si="96"/>
        <v>100641.3964377974</v>
      </c>
      <c r="R314" s="136"/>
      <c r="S314" s="197">
        <f t="shared" si="97"/>
        <v>1.3141500457421079E-2</v>
      </c>
      <c r="T314" s="32"/>
      <c r="U314" s="262">
        <v>2</v>
      </c>
      <c r="W314" s="145">
        <v>153285</v>
      </c>
      <c r="Y314" s="157">
        <f t="shared" si="98"/>
        <v>-52643.603562202596</v>
      </c>
      <c r="AA314" s="198"/>
    </row>
    <row r="315" spans="1:27" x14ac:dyDescent="0.2">
      <c r="A315" s="26">
        <v>362</v>
      </c>
      <c r="B315" s="139"/>
      <c r="C315" s="46" t="s">
        <v>75</v>
      </c>
      <c r="D315" s="139"/>
      <c r="E315" s="20" t="str">
        <f>[1]KU!$I69</f>
        <v>54.9 - R2</v>
      </c>
      <c r="F315" s="56"/>
      <c r="G315" s="19">
        <v>-10</v>
      </c>
      <c r="H315" s="139"/>
      <c r="I315" s="200">
        <v>141200430.90000001</v>
      </c>
      <c r="J315" s="200"/>
      <c r="K315" s="200">
        <v>40173683</v>
      </c>
      <c r="L315" s="200"/>
      <c r="M315" s="200">
        <f t="shared" si="95"/>
        <v>115146790.99000001</v>
      </c>
      <c r="N315" s="45"/>
      <c r="O315" s="40">
        <f>[1]KU!$K69</f>
        <v>41.54</v>
      </c>
      <c r="P315" s="140"/>
      <c r="Q315" s="196">
        <f t="shared" si="96"/>
        <v>2771949.7108810786</v>
      </c>
      <c r="R315" s="136"/>
      <c r="S315" s="197">
        <f t="shared" si="97"/>
        <v>1.9631311981223414E-2</v>
      </c>
      <c r="T315" s="32"/>
      <c r="U315" s="262">
        <v>2.27</v>
      </c>
      <c r="W315" s="145">
        <v>3198522</v>
      </c>
      <c r="Y315" s="157">
        <f t="shared" si="98"/>
        <v>-426572.28911892138</v>
      </c>
      <c r="AA315" s="198"/>
    </row>
    <row r="316" spans="1:27" x14ac:dyDescent="0.2">
      <c r="A316" s="26">
        <v>364</v>
      </c>
      <c r="B316" s="139"/>
      <c r="C316" s="46" t="s">
        <v>76</v>
      </c>
      <c r="D316" s="139"/>
      <c r="E316" s="20" t="str">
        <f>[1]KU!$I70</f>
        <v>58.6 - L0.5</v>
      </c>
      <c r="F316" s="56"/>
      <c r="G316" s="19">
        <v>-25</v>
      </c>
      <c r="H316" s="139"/>
      <c r="I316" s="200">
        <v>287791923.14999998</v>
      </c>
      <c r="J316" s="200"/>
      <c r="K316" s="200">
        <v>133160672</v>
      </c>
      <c r="L316" s="200"/>
      <c r="M316" s="200">
        <f t="shared" si="95"/>
        <v>226579231.9375</v>
      </c>
      <c r="N316" s="45"/>
      <c r="O316" s="40">
        <f>[1]KU!$K70</f>
        <v>49.12</v>
      </c>
      <c r="P316" s="140"/>
      <c r="Q316" s="196">
        <f t="shared" si="96"/>
        <v>4612769.3798350981</v>
      </c>
      <c r="R316" s="136"/>
      <c r="S316" s="197">
        <f t="shared" si="97"/>
        <v>1.6028140502855174E-2</v>
      </c>
      <c r="T316" s="32"/>
      <c r="U316" s="262">
        <v>2.33</v>
      </c>
      <c r="W316" s="145">
        <v>6719281</v>
      </c>
      <c r="Y316" s="157">
        <f t="shared" si="98"/>
        <v>-2106511.6201649019</v>
      </c>
      <c r="AA316" s="198"/>
    </row>
    <row r="317" spans="1:27" x14ac:dyDescent="0.2">
      <c r="A317" s="26">
        <v>365</v>
      </c>
      <c r="B317" s="139"/>
      <c r="C317" s="139" t="s">
        <v>77</v>
      </c>
      <c r="D317" s="139"/>
      <c r="E317" s="20" t="str">
        <f>[1]KU!$I71</f>
        <v>64.9 - L0</v>
      </c>
      <c r="F317" s="56"/>
      <c r="G317" s="19">
        <v>-30</v>
      </c>
      <c r="H317" s="139"/>
      <c r="I317" s="200">
        <v>276285758.81</v>
      </c>
      <c r="J317" s="200"/>
      <c r="K317" s="200">
        <v>108982197</v>
      </c>
      <c r="L317" s="200"/>
      <c r="M317" s="200">
        <f t="shared" si="95"/>
        <v>250189289.45300001</v>
      </c>
      <c r="N317" s="45"/>
      <c r="O317" s="40">
        <f>[1]KU!$K71</f>
        <v>56.6</v>
      </c>
      <c r="P317" s="140"/>
      <c r="Q317" s="196">
        <f t="shared" si="96"/>
        <v>4420305.4673674908</v>
      </c>
      <c r="R317" s="136"/>
      <c r="S317" s="197">
        <f t="shared" si="97"/>
        <v>1.5999034790668699E-2</v>
      </c>
      <c r="T317" s="32"/>
      <c r="U317" s="262">
        <v>3.23</v>
      </c>
      <c r="W317" s="145">
        <v>8911891</v>
      </c>
      <c r="Y317" s="157">
        <f t="shared" si="98"/>
        <v>-4491585.5326325092</v>
      </c>
      <c r="AA317" s="198"/>
    </row>
    <row r="318" spans="1:27" x14ac:dyDescent="0.2">
      <c r="A318" s="26">
        <v>366</v>
      </c>
      <c r="B318" s="139"/>
      <c r="C318" s="59" t="s">
        <v>155</v>
      </c>
      <c r="D318" s="139"/>
      <c r="E318" s="20" t="str">
        <f>[1]KU!$I72</f>
        <v>55.9 - L2</v>
      </c>
      <c r="F318" s="56"/>
      <c r="G318" s="19">
        <v>0</v>
      </c>
      <c r="H318" s="139"/>
      <c r="I318" s="200">
        <v>1861963.15</v>
      </c>
      <c r="J318" s="200"/>
      <c r="K318" s="200">
        <v>653383</v>
      </c>
      <c r="L318" s="200"/>
      <c r="M318" s="200">
        <f t="shared" si="95"/>
        <v>1208580.1499999999</v>
      </c>
      <c r="N318" s="45"/>
      <c r="O318" s="40">
        <f>[1]KU!$K72</f>
        <v>36.65</v>
      </c>
      <c r="P318" s="140"/>
      <c r="Q318" s="196">
        <f t="shared" si="96"/>
        <v>32976.266030013641</v>
      </c>
      <c r="R318" s="136"/>
      <c r="S318" s="197">
        <f t="shared" si="97"/>
        <v>1.7710482632276391E-2</v>
      </c>
      <c r="T318" s="32"/>
      <c r="U318" s="262">
        <v>2.7</v>
      </c>
      <c r="W318" s="145">
        <v>50337</v>
      </c>
      <c r="Y318" s="157">
        <f t="shared" si="98"/>
        <v>-17360.733969986359</v>
      </c>
      <c r="AA318" s="198"/>
    </row>
    <row r="319" spans="1:27" x14ac:dyDescent="0.2">
      <c r="A319" s="26">
        <v>367</v>
      </c>
      <c r="B319" s="139"/>
      <c r="C319" s="139" t="s">
        <v>78</v>
      </c>
      <c r="D319" s="139"/>
      <c r="E319" s="20" t="str">
        <f>[1]KU!$I73</f>
        <v>91.9 - R0.5</v>
      </c>
      <c r="F319" s="56"/>
      <c r="G319" s="19">
        <v>-5</v>
      </c>
      <c r="H319" s="139"/>
      <c r="I319" s="200">
        <v>140620009.31999999</v>
      </c>
      <c r="J319" s="200"/>
      <c r="K319" s="200">
        <v>28891798</v>
      </c>
      <c r="L319" s="200"/>
      <c r="M319" s="200">
        <f t="shared" si="95"/>
        <v>118759211.78600001</v>
      </c>
      <c r="N319" s="45"/>
      <c r="O319" s="40">
        <f>[1]KU!$K73</f>
        <v>87.15</v>
      </c>
      <c r="P319" s="140"/>
      <c r="Q319" s="196">
        <f t="shared" si="96"/>
        <v>1362698.9304188183</v>
      </c>
      <c r="R319" s="136"/>
      <c r="S319" s="197">
        <f t="shared" si="97"/>
        <v>9.6906474193001312E-3</v>
      </c>
      <c r="T319" s="32"/>
      <c r="U319" s="262">
        <v>2.37</v>
      </c>
      <c r="W319" s="145">
        <v>3333408</v>
      </c>
      <c r="Y319" s="157">
        <f t="shared" si="98"/>
        <v>-1970709.0695811817</v>
      </c>
      <c r="AA319" s="198"/>
    </row>
    <row r="320" spans="1:27" x14ac:dyDescent="0.2">
      <c r="A320" s="26">
        <v>368</v>
      </c>
      <c r="B320" s="139"/>
      <c r="C320" s="139" t="s">
        <v>79</v>
      </c>
      <c r="D320" s="139"/>
      <c r="E320" s="20" t="str">
        <f>[1]KU!$I74</f>
        <v>45 - R2</v>
      </c>
      <c r="F320" s="56"/>
      <c r="G320" s="19">
        <v>0</v>
      </c>
      <c r="H320" s="139"/>
      <c r="I320" s="200">
        <v>286070399.06</v>
      </c>
      <c r="J320" s="200"/>
      <c r="K320" s="200">
        <v>117730753</v>
      </c>
      <c r="L320" s="200"/>
      <c r="M320" s="200">
        <f t="shared" si="95"/>
        <v>168339646.06</v>
      </c>
      <c r="N320" s="45"/>
      <c r="O320" s="40">
        <f>[1]KU!$K74</f>
        <v>31.22</v>
      </c>
      <c r="P320" s="140"/>
      <c r="Q320" s="196">
        <f t="shared" si="96"/>
        <v>5392045.0371556701</v>
      </c>
      <c r="R320" s="136"/>
      <c r="S320" s="197">
        <f t="shared" si="97"/>
        <v>1.8848664716354487E-2</v>
      </c>
      <c r="T320" s="32"/>
      <c r="U320" s="262">
        <v>2.4500000000000002</v>
      </c>
      <c r="W320" s="145">
        <v>7018693</v>
      </c>
      <c r="Y320" s="157">
        <f t="shared" si="98"/>
        <v>-1626647.9628443299</v>
      </c>
      <c r="AA320" s="198"/>
    </row>
    <row r="321" spans="1:27" x14ac:dyDescent="0.2">
      <c r="A321" s="26">
        <v>369</v>
      </c>
      <c r="B321" s="139"/>
      <c r="C321" s="139" t="s">
        <v>80</v>
      </c>
      <c r="D321" s="139"/>
      <c r="E321" s="20" t="str">
        <f>[1]KU!$I75</f>
        <v>52 - L0.5</v>
      </c>
      <c r="F321" s="56"/>
      <c r="G321" s="19">
        <v>-15</v>
      </c>
      <c r="H321" s="139"/>
      <c r="I321" s="200">
        <v>89050180.390000001</v>
      </c>
      <c r="J321" s="200"/>
      <c r="K321" s="200">
        <v>57697779</v>
      </c>
      <c r="L321" s="200"/>
      <c r="M321" s="200">
        <f t="shared" si="95"/>
        <v>44709928.448499992</v>
      </c>
      <c r="N321" s="45"/>
      <c r="O321" s="40">
        <f>[1]KU!$K75</f>
        <v>40.46</v>
      </c>
      <c r="P321" s="140"/>
      <c r="Q321" s="196">
        <f t="shared" si="96"/>
        <v>1105040.2483564012</v>
      </c>
      <c r="R321" s="136"/>
      <c r="S321" s="197">
        <f t="shared" si="97"/>
        <v>1.2409185961407587E-2</v>
      </c>
      <c r="T321" s="32"/>
      <c r="U321" s="262">
        <v>2.0299999999999998</v>
      </c>
      <c r="W321" s="145">
        <v>1811200</v>
      </c>
      <c r="Y321" s="157">
        <f t="shared" si="98"/>
        <v>-706159.75164359878</v>
      </c>
      <c r="AA321" s="198"/>
    </row>
    <row r="322" spans="1:27" x14ac:dyDescent="0.2">
      <c r="A322" s="26">
        <v>370</v>
      </c>
      <c r="B322" s="139"/>
      <c r="C322" s="139" t="s">
        <v>81</v>
      </c>
      <c r="D322" s="139"/>
      <c r="E322" s="20" t="str">
        <f>[1]KU!$I76</f>
        <v>53.9 - L0.5</v>
      </c>
      <c r="F322" s="56"/>
      <c r="G322" s="19">
        <v>0</v>
      </c>
      <c r="H322" s="139"/>
      <c r="I322" s="200">
        <v>70049355.340000004</v>
      </c>
      <c r="J322" s="200"/>
      <c r="K322" s="200">
        <v>32484596</v>
      </c>
      <c r="L322" s="200"/>
      <c r="M322" s="200">
        <f t="shared" si="95"/>
        <v>37564759.340000004</v>
      </c>
      <c r="N322" s="45"/>
      <c r="O322" s="40">
        <f>[1]KU!$K76</f>
        <v>40.68</v>
      </c>
      <c r="P322" s="140"/>
      <c r="Q322" s="196">
        <f t="shared" si="96"/>
        <v>923420.82940019679</v>
      </c>
      <c r="R322" s="136"/>
      <c r="S322" s="197">
        <f t="shared" si="97"/>
        <v>1.3182431514439642E-2</v>
      </c>
      <c r="T322" s="32"/>
      <c r="U322" s="262">
        <v>2.29</v>
      </c>
      <c r="W322" s="145">
        <v>1603713</v>
      </c>
      <c r="Y322" s="157">
        <f t="shared" si="98"/>
        <v>-680292.17059980321</v>
      </c>
      <c r="AA322" s="198"/>
    </row>
    <row r="323" spans="1:27" x14ac:dyDescent="0.2">
      <c r="A323" s="26">
        <v>371</v>
      </c>
      <c r="B323" s="139"/>
      <c r="C323" s="139" t="s">
        <v>185</v>
      </c>
      <c r="D323" s="139"/>
      <c r="E323" s="20" t="str">
        <f>[1]KU!$I77</f>
        <v>52.7 - 04</v>
      </c>
      <c r="F323" s="56"/>
      <c r="G323" s="19">
        <v>0</v>
      </c>
      <c r="H323" s="139"/>
      <c r="I323" s="200">
        <v>18253214.449999999</v>
      </c>
      <c r="J323" s="200"/>
      <c r="K323" s="200">
        <v>17404873</v>
      </c>
      <c r="L323" s="200"/>
      <c r="M323" s="200">
        <f t="shared" si="95"/>
        <v>848341.44999999925</v>
      </c>
      <c r="N323" s="45"/>
      <c r="O323" s="40">
        <f>[1]KU!$K77</f>
        <v>52.7</v>
      </c>
      <c r="P323" s="140"/>
      <c r="Q323" s="196">
        <f t="shared" si="96"/>
        <v>16097.560721062604</v>
      </c>
      <c r="R323" s="136"/>
      <c r="S323" s="197">
        <f t="shared" si="97"/>
        <v>8.8190278841886963E-4</v>
      </c>
      <c r="T323" s="32"/>
      <c r="U323" s="262">
        <v>0.81</v>
      </c>
      <c r="W323" s="145">
        <v>148124</v>
      </c>
      <c r="Y323" s="157">
        <f t="shared" si="98"/>
        <v>-132026.43927893741</v>
      </c>
      <c r="AA323" s="198"/>
    </row>
    <row r="324" spans="1:27" x14ac:dyDescent="0.2">
      <c r="A324" s="26">
        <v>373</v>
      </c>
      <c r="B324" s="139"/>
      <c r="C324" s="139" t="s">
        <v>82</v>
      </c>
      <c r="D324" s="139"/>
      <c r="E324" s="20" t="str">
        <f>[1]KU!$I78</f>
        <v>31.5 L0</v>
      </c>
      <c r="F324" s="56"/>
      <c r="G324" s="19">
        <v>-2</v>
      </c>
      <c r="H324" s="139"/>
      <c r="I324" s="202">
        <v>81534875.549999997</v>
      </c>
      <c r="J324" s="200"/>
      <c r="K324" s="200">
        <v>20703034</v>
      </c>
      <c r="L324" s="200"/>
      <c r="M324" s="200">
        <f t="shared" si="95"/>
        <v>62462539.061000004</v>
      </c>
      <c r="N324" s="45"/>
      <c r="O324" s="40">
        <f>[1]KU!$K78</f>
        <v>26.44</v>
      </c>
      <c r="P324" s="140"/>
      <c r="Q324" s="196">
        <f t="shared" si="96"/>
        <v>2362425.834379728</v>
      </c>
      <c r="R324" s="136"/>
      <c r="S324" s="197">
        <f t="shared" si="97"/>
        <v>2.8974421294492649E-2</v>
      </c>
      <c r="T324" s="32"/>
      <c r="U324" s="262">
        <v>4</v>
      </c>
      <c r="W324" s="145">
        <v>3261361</v>
      </c>
      <c r="Y324" s="157">
        <f t="shared" si="98"/>
        <v>-898935.16562027205</v>
      </c>
      <c r="AA324" s="198"/>
    </row>
    <row r="325" spans="1:27" x14ac:dyDescent="0.2">
      <c r="A325" s="26"/>
      <c r="B325" s="139"/>
      <c r="C325" s="139"/>
      <c r="D325" s="139"/>
      <c r="E325" s="20"/>
      <c r="F325" s="56"/>
      <c r="G325" s="19"/>
      <c r="H325" s="139"/>
      <c r="I325" s="200"/>
      <c r="J325" s="205"/>
      <c r="K325" s="206"/>
      <c r="L325" s="201"/>
      <c r="M325" s="206"/>
      <c r="N325" s="34"/>
      <c r="O325" s="41"/>
      <c r="P325" s="140"/>
      <c r="Q325" s="35"/>
      <c r="R325" s="140"/>
      <c r="S325" s="179"/>
      <c r="T325" s="32"/>
      <c r="U325" s="262"/>
      <c r="AA325" s="198"/>
    </row>
    <row r="326" spans="1:27" ht="15.75" x14ac:dyDescent="0.25">
      <c r="A326" s="26"/>
      <c r="B326" s="139"/>
      <c r="C326" s="50" t="s">
        <v>45</v>
      </c>
      <c r="D326" s="139"/>
      <c r="E326" s="20"/>
      <c r="F326" s="56"/>
      <c r="G326" s="19"/>
      <c r="H326" s="30"/>
      <c r="I326" s="203">
        <f>SUM(I313:I324)</f>
        <v>1402415431.5</v>
      </c>
      <c r="J326" s="204"/>
      <c r="K326" s="203">
        <f>SUM(K313:K324)</f>
        <v>561155788</v>
      </c>
      <c r="L326" s="204"/>
      <c r="M326" s="203">
        <f>SUM(M313:M324)</f>
        <v>1033764277.6740001</v>
      </c>
      <c r="N326" s="31"/>
      <c r="O326" s="178"/>
      <c r="P326" s="184"/>
      <c r="Q326" s="203">
        <f>SUM(Q313:Q324)</f>
        <v>23103347.355726421</v>
      </c>
      <c r="R326" s="140"/>
      <c r="S326" s="179"/>
      <c r="T326" s="32"/>
      <c r="U326" s="262">
        <v>2.58</v>
      </c>
      <c r="W326" s="203">
        <v>36221711</v>
      </c>
      <c r="Y326" s="203">
        <f>SUM(Y313:Y324)</f>
        <v>-13118363.644273579</v>
      </c>
      <c r="Z326" s="198">
        <f>+Y326</f>
        <v>-13118363.644273579</v>
      </c>
      <c r="AA326" s="198"/>
    </row>
    <row r="327" spans="1:27" ht="15.75" x14ac:dyDescent="0.25">
      <c r="A327" s="26"/>
      <c r="B327" s="139"/>
      <c r="C327" s="50"/>
      <c r="D327" s="139"/>
      <c r="E327" s="20"/>
      <c r="F327" s="56"/>
      <c r="G327" s="19"/>
      <c r="H327" s="30"/>
      <c r="I327" s="200"/>
      <c r="J327" s="204"/>
      <c r="K327" s="204"/>
      <c r="L327" s="204"/>
      <c r="M327" s="204"/>
      <c r="N327" s="31"/>
      <c r="O327" s="178"/>
      <c r="P327" s="184"/>
      <c r="Q327" s="35"/>
      <c r="R327" s="140"/>
      <c r="S327" s="179"/>
      <c r="T327" s="32"/>
      <c r="U327" s="262"/>
      <c r="AA327" s="198"/>
    </row>
    <row r="328" spans="1:27" x14ac:dyDescent="0.2">
      <c r="A328" s="26"/>
      <c r="B328" s="139"/>
      <c r="C328" s="139"/>
      <c r="D328" s="139"/>
      <c r="E328" s="48"/>
      <c r="F328" s="56"/>
      <c r="G328" s="19"/>
      <c r="H328" s="139"/>
      <c r="I328" s="200"/>
      <c r="J328" s="205"/>
      <c r="K328" s="201"/>
      <c r="L328" s="201"/>
      <c r="M328" s="201"/>
      <c r="N328" s="34"/>
      <c r="O328" s="41"/>
      <c r="P328" s="140"/>
      <c r="Q328" s="35"/>
      <c r="R328" s="140"/>
      <c r="S328" s="179"/>
      <c r="T328" s="32"/>
      <c r="U328" s="262"/>
      <c r="AA328" s="198"/>
    </row>
    <row r="329" spans="1:27" ht="15.75" x14ac:dyDescent="0.25">
      <c r="A329" s="26"/>
      <c r="B329" s="139"/>
      <c r="C329" s="53" t="s">
        <v>46</v>
      </c>
      <c r="D329" s="139"/>
      <c r="E329" s="48"/>
      <c r="F329" s="56"/>
      <c r="G329" s="19"/>
      <c r="H329" s="139"/>
      <c r="I329" s="200"/>
      <c r="J329" s="205"/>
      <c r="K329" s="201"/>
      <c r="L329" s="201"/>
      <c r="M329" s="201"/>
      <c r="N329" s="34"/>
      <c r="O329" s="41"/>
      <c r="P329" s="140"/>
      <c r="Q329" s="35"/>
      <c r="R329" s="140"/>
      <c r="S329" s="179"/>
      <c r="T329" s="32"/>
      <c r="U329" s="262"/>
      <c r="AA329" s="198"/>
    </row>
    <row r="330" spans="1:27" ht="15.75" x14ac:dyDescent="0.25">
      <c r="A330" s="26"/>
      <c r="B330" s="139"/>
      <c r="C330" s="43"/>
      <c r="D330" s="139"/>
      <c r="E330" s="48"/>
      <c r="F330" s="56"/>
      <c r="G330" s="19"/>
      <c r="H330" s="139"/>
      <c r="I330" s="200"/>
      <c r="J330" s="205"/>
      <c r="K330" s="201"/>
      <c r="L330" s="201"/>
      <c r="M330" s="201"/>
      <c r="N330" s="34"/>
      <c r="O330" s="41"/>
      <c r="P330" s="140"/>
      <c r="Q330" s="35"/>
      <c r="R330" s="140"/>
      <c r="S330" s="179"/>
      <c r="T330" s="32"/>
      <c r="U330" s="262"/>
      <c r="AA330" s="198"/>
    </row>
    <row r="331" spans="1:27" x14ac:dyDescent="0.2">
      <c r="A331" s="26">
        <v>390.1</v>
      </c>
      <c r="B331" s="139"/>
      <c r="C331" s="57" t="s">
        <v>129</v>
      </c>
      <c r="D331" s="139"/>
      <c r="E331" s="20" t="str">
        <f>[1]KU!$I85</f>
        <v>55.6 - L0.5</v>
      </c>
      <c r="F331" s="56"/>
      <c r="G331" s="19">
        <v>-2</v>
      </c>
      <c r="H331" s="139"/>
      <c r="I331" s="200">
        <v>47011269.520000003</v>
      </c>
      <c r="J331" s="200"/>
      <c r="K331" s="200">
        <v>9650596</v>
      </c>
      <c r="L331" s="200"/>
      <c r="M331" s="200">
        <f t="shared" ref="M331:M343" si="99">+((1-(G331/100))*I331)-K331</f>
        <v>38300898.910400003</v>
      </c>
      <c r="N331" s="45"/>
      <c r="O331" s="116">
        <f>[1]KU!$K85</f>
        <v>46.44</v>
      </c>
      <c r="P331" s="140"/>
      <c r="Q331" s="196">
        <f t="shared" ref="Q331:Q342" si="100">+M331/O331</f>
        <v>824739.4252885445</v>
      </c>
      <c r="R331" s="136"/>
      <c r="S331" s="197">
        <f t="shared" ref="S331:S343" si="101">+Q331/I331</f>
        <v>1.7543440832578996E-2</v>
      </c>
      <c r="T331" s="32"/>
      <c r="U331" s="262">
        <v>2.0099999999999998</v>
      </c>
      <c r="W331" s="145">
        <v>945113</v>
      </c>
      <c r="Y331" s="157">
        <f t="shared" ref="Y331:Y343" si="102">Q331-W331</f>
        <v>-120373.5747114555</v>
      </c>
      <c r="AA331" s="198"/>
    </row>
    <row r="332" spans="1:27" x14ac:dyDescent="0.2">
      <c r="A332" s="26">
        <v>390.2</v>
      </c>
      <c r="B332" s="139"/>
      <c r="C332" s="57" t="s">
        <v>184</v>
      </c>
      <c r="D332" s="139"/>
      <c r="E332" s="20" t="str">
        <f>[1]KU!$I86</f>
        <v>32.5 - R1</v>
      </c>
      <c r="F332" s="56"/>
      <c r="G332" s="19">
        <v>0</v>
      </c>
      <c r="H332" s="139"/>
      <c r="I332" s="200">
        <v>531973.43999999994</v>
      </c>
      <c r="J332" s="200"/>
      <c r="K332" s="200">
        <v>413480</v>
      </c>
      <c r="L332" s="200"/>
      <c r="M332" s="200">
        <f t="shared" si="99"/>
        <v>118493.43999999994</v>
      </c>
      <c r="N332" s="45"/>
      <c r="O332" s="116">
        <f>[1]KU!$K86</f>
        <v>18.88</v>
      </c>
      <c r="P332" s="140"/>
      <c r="Q332" s="196">
        <f t="shared" si="100"/>
        <v>6276.135593220336</v>
      </c>
      <c r="R332" s="136"/>
      <c r="S332" s="197">
        <f t="shared" si="101"/>
        <v>1.1797836360439981E-2</v>
      </c>
      <c r="T332" s="32"/>
      <c r="U332" s="262">
        <v>1.72</v>
      </c>
      <c r="W332" s="145">
        <v>9139</v>
      </c>
      <c r="Y332" s="157">
        <f t="shared" si="102"/>
        <v>-2862.864406779664</v>
      </c>
      <c r="AA332" s="198"/>
    </row>
    <row r="333" spans="1:27" x14ac:dyDescent="0.2">
      <c r="A333" s="26">
        <v>391.1</v>
      </c>
      <c r="B333" s="139"/>
      <c r="C333" s="92" t="s">
        <v>83</v>
      </c>
      <c r="D333" s="139"/>
      <c r="E333" s="20" t="str">
        <f>[1]KU!$I87</f>
        <v>20 - SQ</v>
      </c>
      <c r="F333" s="56"/>
      <c r="G333" s="19">
        <v>0</v>
      </c>
      <c r="H333" s="139"/>
      <c r="I333" s="200">
        <v>7513787.5599999996</v>
      </c>
      <c r="J333" s="200"/>
      <c r="K333" s="200">
        <v>4161871</v>
      </c>
      <c r="L333" s="200"/>
      <c r="M333" s="200">
        <f t="shared" si="99"/>
        <v>3351916.5599999996</v>
      </c>
      <c r="N333" s="45"/>
      <c r="O333" s="116">
        <f>[1]KU!$K87</f>
        <v>9.5299999999999994</v>
      </c>
      <c r="P333" s="140"/>
      <c r="Q333" s="196">
        <f t="shared" si="100"/>
        <v>351722.61909758655</v>
      </c>
      <c r="R333" s="136"/>
      <c r="S333" s="197">
        <f t="shared" si="101"/>
        <v>4.6810295911212399E-2</v>
      </c>
      <c r="T333" s="32"/>
      <c r="U333" s="262">
        <v>4.46</v>
      </c>
      <c r="W333" s="145">
        <v>335131</v>
      </c>
      <c r="Y333" s="157">
        <f t="shared" si="102"/>
        <v>16591.619097586547</v>
      </c>
      <c r="AA333" s="198"/>
    </row>
    <row r="334" spans="1:27" x14ac:dyDescent="0.2">
      <c r="A334" s="26">
        <v>391.2</v>
      </c>
      <c r="B334" s="139"/>
      <c r="C334" s="92" t="s">
        <v>84</v>
      </c>
      <c r="D334" s="139"/>
      <c r="E334" s="20" t="str">
        <f>[1]KU!$I88</f>
        <v>6 - L5</v>
      </c>
      <c r="F334" s="56"/>
      <c r="G334" s="19">
        <v>0</v>
      </c>
      <c r="H334" s="139"/>
      <c r="I334" s="200">
        <v>17256012.350000001</v>
      </c>
      <c r="J334" s="200"/>
      <c r="K334" s="200">
        <v>6803953</v>
      </c>
      <c r="L334" s="200"/>
      <c r="M334" s="200">
        <f t="shared" si="99"/>
        <v>10452059.350000001</v>
      </c>
      <c r="N334" s="45"/>
      <c r="O334" s="116">
        <f>[1]KU!$K88</f>
        <v>3.47</v>
      </c>
      <c r="P334" s="140"/>
      <c r="Q334" s="196">
        <f t="shared" si="100"/>
        <v>3012120.8501440925</v>
      </c>
      <c r="R334" s="136"/>
      <c r="S334" s="197">
        <f t="shared" si="101"/>
        <v>0.17455486175194423</v>
      </c>
      <c r="T334" s="32"/>
      <c r="U334" s="262">
        <v>21.58</v>
      </c>
      <c r="W334" s="145">
        <v>3723700</v>
      </c>
      <c r="Y334" s="157">
        <f t="shared" si="102"/>
        <v>-711579.14985590754</v>
      </c>
      <c r="AA334" s="198"/>
    </row>
    <row r="335" spans="1:27" x14ac:dyDescent="0.2">
      <c r="A335" s="26">
        <v>391.31</v>
      </c>
      <c r="B335" s="139"/>
      <c r="C335" s="57" t="s">
        <v>128</v>
      </c>
      <c r="D335" s="139"/>
      <c r="E335" s="20" t="str">
        <f>[1]KU!$I89</f>
        <v>4 - SQ</v>
      </c>
      <c r="F335" s="56"/>
      <c r="G335" s="19">
        <v>0</v>
      </c>
      <c r="H335" s="139"/>
      <c r="I335" s="200">
        <v>6398371.6500000004</v>
      </c>
      <c r="J335" s="200"/>
      <c r="K335" s="200">
        <v>4572023</v>
      </c>
      <c r="L335" s="200"/>
      <c r="M335" s="200">
        <f t="shared" si="99"/>
        <v>1826348.6500000004</v>
      </c>
      <c r="N335" s="45"/>
      <c r="O335" s="116">
        <f>[1]KU!$K89</f>
        <v>1.78</v>
      </c>
      <c r="P335" s="140"/>
      <c r="Q335" s="196">
        <f t="shared" si="100"/>
        <v>1026038.5674157306</v>
      </c>
      <c r="R335" s="136"/>
      <c r="S335" s="197">
        <f t="shared" si="101"/>
        <v>0.16035932633199426</v>
      </c>
      <c r="T335" s="32"/>
      <c r="U335" s="262">
        <v>8.93</v>
      </c>
      <c r="W335" s="145">
        <v>571269</v>
      </c>
      <c r="Y335" s="157">
        <f t="shared" si="102"/>
        <v>454769.56741573056</v>
      </c>
      <c r="AA335" s="198"/>
    </row>
    <row r="336" spans="1:27" x14ac:dyDescent="0.2">
      <c r="A336" s="26">
        <v>392.1</v>
      </c>
      <c r="B336" s="139"/>
      <c r="C336" s="59" t="s">
        <v>164</v>
      </c>
      <c r="D336" s="139"/>
      <c r="E336" s="20" t="str">
        <f>[1]KU!$I90</f>
        <v>19.3 - L0</v>
      </c>
      <c r="F336" s="56"/>
      <c r="G336" s="19">
        <v>0</v>
      </c>
      <c r="H336" s="139"/>
      <c r="I336" s="200">
        <v>1865090.97</v>
      </c>
      <c r="J336" s="200"/>
      <c r="K336" s="200">
        <v>1578423</v>
      </c>
      <c r="L336" s="200"/>
      <c r="M336" s="200">
        <f t="shared" si="99"/>
        <v>286667.96999999997</v>
      </c>
      <c r="N336" s="45"/>
      <c r="O336" s="116">
        <f>[1]KU!$K90</f>
        <v>14.44</v>
      </c>
      <c r="P336" s="140"/>
      <c r="Q336" s="196">
        <f t="shared" si="100"/>
        <v>19852.352493074792</v>
      </c>
      <c r="R336" s="136"/>
      <c r="S336" s="197">
        <f t="shared" si="101"/>
        <v>1.0644173829802411E-2</v>
      </c>
      <c r="T336" s="32"/>
      <c r="U336" s="262">
        <v>2.44</v>
      </c>
      <c r="W336" s="145">
        <v>45497</v>
      </c>
      <c r="Y336" s="157">
        <f t="shared" si="102"/>
        <v>-25644.647506925208</v>
      </c>
      <c r="AA336" s="198"/>
    </row>
    <row r="337" spans="1:27" x14ac:dyDescent="0.2">
      <c r="A337" s="26">
        <v>392.3</v>
      </c>
      <c r="B337" s="139"/>
      <c r="C337" s="59" t="s">
        <v>165</v>
      </c>
      <c r="D337" s="139"/>
      <c r="E337" s="20" t="str">
        <f>[1]KU!$I91</f>
        <v>19.3 - L0</v>
      </c>
      <c r="F337" s="56"/>
      <c r="G337" s="19">
        <v>0</v>
      </c>
      <c r="H337" s="139"/>
      <c r="I337" s="200">
        <v>14101987.630000001</v>
      </c>
      <c r="J337" s="200"/>
      <c r="K337" s="200">
        <v>13160795</v>
      </c>
      <c r="L337" s="200"/>
      <c r="M337" s="200">
        <f t="shared" si="99"/>
        <v>941192.63000000082</v>
      </c>
      <c r="N337" s="45"/>
      <c r="O337" s="116">
        <f>[1]KU!$K91</f>
        <v>12.38</v>
      </c>
      <c r="P337" s="140"/>
      <c r="Q337" s="196">
        <f t="shared" si="100"/>
        <v>76025.252827140604</v>
      </c>
      <c r="R337" s="136"/>
      <c r="S337" s="197">
        <f t="shared" si="101"/>
        <v>5.3911019369643712E-3</v>
      </c>
      <c r="T337" s="32"/>
      <c r="U337" s="262">
        <v>0.54</v>
      </c>
      <c r="W337" s="145">
        <v>76623</v>
      </c>
      <c r="Y337" s="157">
        <f t="shared" si="102"/>
        <v>-597.7471728593955</v>
      </c>
      <c r="AA337" s="198"/>
    </row>
    <row r="338" spans="1:27" x14ac:dyDescent="0.2">
      <c r="A338" s="26">
        <v>393</v>
      </c>
      <c r="B338" s="139"/>
      <c r="C338" s="46" t="s">
        <v>85</v>
      </c>
      <c r="D338" s="139"/>
      <c r="E338" s="20" t="str">
        <f>[1]KU!$I92</f>
        <v>25 - SQ</v>
      </c>
      <c r="F338" s="56"/>
      <c r="G338" s="19">
        <v>0</v>
      </c>
      <c r="H338" s="139"/>
      <c r="I338" s="200">
        <v>551794.27</v>
      </c>
      <c r="J338" s="200"/>
      <c r="K338" s="200">
        <v>164539</v>
      </c>
      <c r="L338" s="200"/>
      <c r="M338" s="200">
        <f t="shared" si="99"/>
        <v>387255.27</v>
      </c>
      <c r="N338" s="45"/>
      <c r="O338" s="116">
        <f>[1]KU!$K92</f>
        <v>13.01</v>
      </c>
      <c r="P338" s="140"/>
      <c r="Q338" s="196">
        <f t="shared" si="100"/>
        <v>29765.970023059188</v>
      </c>
      <c r="R338" s="136"/>
      <c r="S338" s="197">
        <f t="shared" si="101"/>
        <v>5.3943963613575015E-2</v>
      </c>
      <c r="T338" s="32"/>
      <c r="U338" s="262">
        <v>5.07</v>
      </c>
      <c r="W338" s="145">
        <v>27960</v>
      </c>
      <c r="Y338" s="157">
        <f t="shared" si="102"/>
        <v>1805.970023059188</v>
      </c>
      <c r="AA338" s="198"/>
    </row>
    <row r="339" spans="1:27" x14ac:dyDescent="0.2">
      <c r="A339" s="26">
        <v>394</v>
      </c>
      <c r="B339" s="139"/>
      <c r="C339" s="93" t="s">
        <v>86</v>
      </c>
      <c r="D339" s="139"/>
      <c r="E339" s="20" t="str">
        <f>[1]KU!$I93</f>
        <v>27 - R4</v>
      </c>
      <c r="F339" s="56"/>
      <c r="G339" s="19">
        <v>0</v>
      </c>
      <c r="H339" s="139"/>
      <c r="I339" s="200">
        <v>7648755.4400000004</v>
      </c>
      <c r="J339" s="200"/>
      <c r="K339" s="200">
        <v>1767311</v>
      </c>
      <c r="L339" s="200"/>
      <c r="M339" s="200">
        <f t="shared" si="99"/>
        <v>5881444.4400000004</v>
      </c>
      <c r="N339" s="45"/>
      <c r="O339" s="116">
        <f>[1]KU!$K93</f>
        <v>20.75</v>
      </c>
      <c r="P339" s="140"/>
      <c r="Q339" s="196">
        <f t="shared" si="100"/>
        <v>283443.10554216872</v>
      </c>
      <c r="R339" s="136"/>
      <c r="S339" s="197">
        <f t="shared" si="101"/>
        <v>3.7057415126632513E-2</v>
      </c>
      <c r="T339" s="32"/>
      <c r="U339" s="262">
        <v>4.2699999999999996</v>
      </c>
      <c r="W339" s="145">
        <v>326703</v>
      </c>
      <c r="Y339" s="157">
        <f t="shared" si="102"/>
        <v>-43259.89445783128</v>
      </c>
      <c r="AA339" s="198"/>
    </row>
    <row r="340" spans="1:27" x14ac:dyDescent="0.2">
      <c r="A340" s="26">
        <v>396.3</v>
      </c>
      <c r="B340" s="139"/>
      <c r="C340" s="57" t="s">
        <v>166</v>
      </c>
      <c r="D340" s="139"/>
      <c r="E340" s="20" t="str">
        <f>[1]KU!$I94</f>
        <v>16.8 - S6</v>
      </c>
      <c r="F340" s="56"/>
      <c r="G340" s="19">
        <v>0</v>
      </c>
      <c r="H340" s="139"/>
      <c r="I340" s="200">
        <v>1174225.44</v>
      </c>
      <c r="J340" s="200"/>
      <c r="K340" s="200">
        <v>139927</v>
      </c>
      <c r="L340" s="200"/>
      <c r="M340" s="200">
        <f t="shared" si="99"/>
        <v>1034298.44</v>
      </c>
      <c r="N340" s="45"/>
      <c r="O340" s="116">
        <f>[1]KU!$K94</f>
        <v>14.37</v>
      </c>
      <c r="P340" s="140"/>
      <c r="Q340" s="196">
        <f t="shared" si="100"/>
        <v>71976.231036882396</v>
      </c>
      <c r="R340" s="136"/>
      <c r="S340" s="197">
        <f t="shared" si="101"/>
        <v>6.1296773673105223E-2</v>
      </c>
      <c r="T340" s="32"/>
      <c r="U340" s="262">
        <v>8.89</v>
      </c>
      <c r="W340" s="145">
        <v>104334</v>
      </c>
      <c r="Y340" s="157">
        <f t="shared" si="102"/>
        <v>-32357.768963117604</v>
      </c>
      <c r="AA340" s="198"/>
    </row>
    <row r="341" spans="1:27" x14ac:dyDescent="0.2">
      <c r="A341" s="26">
        <v>397.1</v>
      </c>
      <c r="B341" s="139"/>
      <c r="C341" s="63" t="s">
        <v>167</v>
      </c>
      <c r="D341" s="139"/>
      <c r="E341" s="20" t="str">
        <f>[1]KU!$I95</f>
        <v>10 - SQ</v>
      </c>
      <c r="F341" s="56"/>
      <c r="G341" s="19">
        <v>0</v>
      </c>
      <c r="H341" s="139"/>
      <c r="I341" s="200">
        <v>10171295.9</v>
      </c>
      <c r="J341" s="200"/>
      <c r="K341" s="200">
        <v>5248935</v>
      </c>
      <c r="L341" s="200"/>
      <c r="M341" s="200">
        <f t="shared" si="99"/>
        <v>4922360.9000000004</v>
      </c>
      <c r="N341" s="45"/>
      <c r="O341" s="116">
        <f>[1]KU!$K95</f>
        <v>5.7</v>
      </c>
      <c r="P341" s="140"/>
      <c r="Q341" s="196">
        <f t="shared" si="100"/>
        <v>863572.08771929832</v>
      </c>
      <c r="R341" s="136"/>
      <c r="S341" s="197">
        <f t="shared" si="101"/>
        <v>8.4902857630884412E-2</v>
      </c>
      <c r="T341" s="32"/>
      <c r="U341" s="262">
        <v>5.7</v>
      </c>
      <c r="W341" s="145">
        <v>579495</v>
      </c>
      <c r="Y341" s="157">
        <f t="shared" si="102"/>
        <v>284077.08771929832</v>
      </c>
      <c r="AA341" s="198"/>
    </row>
    <row r="342" spans="1:27" x14ac:dyDescent="0.2">
      <c r="A342" s="26">
        <v>397.2</v>
      </c>
      <c r="B342" s="139"/>
      <c r="C342" s="63" t="s">
        <v>168</v>
      </c>
      <c r="D342" s="139"/>
      <c r="E342" s="20" t="str">
        <f>[1]KU!$I96</f>
        <v>25 - S1</v>
      </c>
      <c r="F342" s="56"/>
      <c r="G342" s="19">
        <v>0</v>
      </c>
      <c r="H342" s="139"/>
      <c r="I342" s="200">
        <v>19915035.899999999</v>
      </c>
      <c r="J342" s="200"/>
      <c r="K342" s="200">
        <v>5655027</v>
      </c>
      <c r="L342" s="200"/>
      <c r="M342" s="200">
        <f t="shared" si="99"/>
        <v>14260008.899999999</v>
      </c>
      <c r="N342" s="45"/>
      <c r="O342" s="116">
        <f>[1]KU!$K96</f>
        <v>18.940000000000001</v>
      </c>
      <c r="P342" s="140"/>
      <c r="Q342" s="196">
        <f t="shared" si="100"/>
        <v>752904.3769799365</v>
      </c>
      <c r="R342" s="136"/>
      <c r="S342" s="197">
        <f t="shared" si="101"/>
        <v>3.7805825746964207E-2</v>
      </c>
      <c r="T342" s="32"/>
      <c r="U342" s="262">
        <v>3.75</v>
      </c>
      <c r="W342" s="145">
        <v>746086</v>
      </c>
      <c r="Y342" s="157">
        <f t="shared" si="102"/>
        <v>6818.3769799364964</v>
      </c>
      <c r="AA342" s="198"/>
    </row>
    <row r="343" spans="1:27" x14ac:dyDescent="0.2">
      <c r="A343" s="26">
        <v>397.3</v>
      </c>
      <c r="B343" s="139"/>
      <c r="C343" s="63" t="s">
        <v>169</v>
      </c>
      <c r="D343" s="139"/>
      <c r="E343" s="20" t="str">
        <f>[1]KU!$I97</f>
        <v>Fully Accrued</v>
      </c>
      <c r="F343" s="56"/>
      <c r="G343" s="19">
        <v>0</v>
      </c>
      <c r="H343" s="139"/>
      <c r="I343" s="202">
        <v>786233.2</v>
      </c>
      <c r="J343" s="200"/>
      <c r="K343" s="200">
        <v>786233</v>
      </c>
      <c r="L343" s="200"/>
      <c r="M343" s="200">
        <f t="shared" si="99"/>
        <v>0.19999999995343387</v>
      </c>
      <c r="N343" s="45"/>
      <c r="O343" s="116" t="s">
        <v>295</v>
      </c>
      <c r="P343" s="140"/>
      <c r="Q343" s="196">
        <v>0</v>
      </c>
      <c r="R343" s="136"/>
      <c r="S343" s="197">
        <f t="shared" si="101"/>
        <v>0</v>
      </c>
      <c r="T343" s="32"/>
      <c r="U343" s="262" t="s">
        <v>297</v>
      </c>
      <c r="W343" s="158">
        <v>0</v>
      </c>
      <c r="Y343" s="157">
        <f t="shared" si="102"/>
        <v>0</v>
      </c>
      <c r="AA343" s="198"/>
    </row>
    <row r="344" spans="1:27" x14ac:dyDescent="0.2">
      <c r="A344" s="26"/>
      <c r="B344" s="139"/>
      <c r="C344" s="139"/>
      <c r="D344" s="139"/>
      <c r="E344" s="20"/>
      <c r="F344" s="56"/>
      <c r="G344" s="19"/>
      <c r="H344" s="139"/>
      <c r="I344" s="200"/>
      <c r="J344" s="205"/>
      <c r="K344" s="206"/>
      <c r="L344" s="201"/>
      <c r="M344" s="206"/>
      <c r="N344" s="34"/>
      <c r="O344" s="41"/>
      <c r="P344" s="140"/>
      <c r="Q344" s="35"/>
      <c r="R344" s="140"/>
      <c r="S344" s="179"/>
      <c r="T344" s="32"/>
      <c r="U344" s="266"/>
      <c r="AA344" s="198"/>
    </row>
    <row r="345" spans="1:27" ht="15.75" x14ac:dyDescent="0.25">
      <c r="A345" s="32"/>
      <c r="B345" s="139"/>
      <c r="C345" s="50" t="s">
        <v>47</v>
      </c>
      <c r="D345" s="139"/>
      <c r="E345" s="48"/>
      <c r="F345" s="56"/>
      <c r="G345" s="19"/>
      <c r="H345" s="139"/>
      <c r="I345" s="218">
        <f>SUM(I331:I343)</f>
        <v>134925833.26999998</v>
      </c>
      <c r="J345" s="204"/>
      <c r="K345" s="218">
        <f>SUM(K331:K343)</f>
        <v>54103113</v>
      </c>
      <c r="L345" s="204"/>
      <c r="M345" s="218">
        <f>SUM(M331:M343)</f>
        <v>81762945.660400018</v>
      </c>
      <c r="N345" s="31"/>
      <c r="O345" s="178"/>
      <c r="P345" s="184"/>
      <c r="Q345" s="218">
        <f>SUM(Q331:Q343)</f>
        <v>7318436.9741607364</v>
      </c>
      <c r="R345" s="140"/>
      <c r="S345" s="185"/>
      <c r="T345" s="32"/>
      <c r="U345" s="266">
        <v>5.55</v>
      </c>
      <c r="W345" s="218">
        <v>7491050</v>
      </c>
      <c r="Y345" s="218">
        <f>SUM(Y331:Y343)</f>
        <v>-172613.02583926514</v>
      </c>
      <c r="Z345" s="260">
        <f>+Y345</f>
        <v>-172613.02583926514</v>
      </c>
      <c r="AA345" s="198"/>
    </row>
    <row r="346" spans="1:27" ht="15.75" x14ac:dyDescent="0.25">
      <c r="A346" s="32"/>
      <c r="B346" s="139"/>
      <c r="C346" s="30"/>
      <c r="D346" s="139"/>
      <c r="E346" s="48"/>
      <c r="F346" s="56"/>
      <c r="G346" s="19"/>
      <c r="H346" s="139"/>
      <c r="I346" s="203"/>
      <c r="J346" s="204"/>
      <c r="K346" s="204"/>
      <c r="L346" s="204"/>
      <c r="M346" s="204"/>
      <c r="N346" s="31"/>
      <c r="O346" s="178"/>
      <c r="P346" s="184"/>
      <c r="Q346" s="35"/>
      <c r="R346" s="140"/>
      <c r="S346" s="185"/>
      <c r="T346" s="32"/>
      <c r="U346" s="266"/>
      <c r="Y346" s="154"/>
      <c r="Z346" s="198">
        <f>SUM(Z308:Z345,Z20)</f>
        <v>-18626542.477705456</v>
      </c>
      <c r="AA346" s="198"/>
    </row>
    <row r="347" spans="1:27" ht="16.5" thickBot="1" x14ac:dyDescent="0.3">
      <c r="A347" s="32"/>
      <c r="B347" s="139"/>
      <c r="C347" s="50" t="s">
        <v>55</v>
      </c>
      <c r="D347" s="139"/>
      <c r="E347" s="48"/>
      <c r="F347" s="56"/>
      <c r="G347" s="19"/>
      <c r="H347" s="139"/>
      <c r="I347" s="219">
        <f>SUM(I345,I326,I308,I292,I168,I129,I20)</f>
        <v>6365236955.6800013</v>
      </c>
      <c r="J347" s="204"/>
      <c r="K347" s="219">
        <f>SUM(K345,K326,K308,K292,K168,K129,K20)</f>
        <v>2412455917</v>
      </c>
      <c r="L347" s="204"/>
      <c r="M347" s="219">
        <f>SUM(M345,M326,M308,M292,M168,M129,M20)</f>
        <v>4319388403.7509861</v>
      </c>
      <c r="N347" s="31"/>
      <c r="O347" s="99"/>
      <c r="P347" s="184"/>
      <c r="Q347" s="219">
        <f>SUM(Q345,Q326,Q308,Q292,Q168,Q129,Q20)</f>
        <v>147773946.37024859</v>
      </c>
      <c r="R347" s="140"/>
      <c r="S347" s="185"/>
      <c r="T347" s="32"/>
      <c r="U347" s="266">
        <v>2.97</v>
      </c>
      <c r="W347" s="219">
        <v>189326536</v>
      </c>
      <c r="Y347" s="219">
        <f>SUM(Y345,Y326,Y308,Y292,Y168,Y129,Y20)</f>
        <v>-41548642.629751399</v>
      </c>
      <c r="AA347" s="198"/>
    </row>
    <row r="348" spans="1:27" ht="16.5" thickTop="1" x14ac:dyDescent="0.25">
      <c r="A348" s="32"/>
      <c r="B348" s="139"/>
      <c r="C348" s="50"/>
      <c r="D348" s="139"/>
      <c r="E348" s="48"/>
      <c r="F348" s="56"/>
      <c r="G348" s="19"/>
      <c r="H348" s="139"/>
      <c r="I348" s="220"/>
      <c r="J348" s="204"/>
      <c r="K348" s="220"/>
      <c r="L348" s="204"/>
      <c r="M348" s="220"/>
      <c r="N348" s="31"/>
      <c r="O348" s="99"/>
      <c r="P348" s="184"/>
      <c r="Q348" s="35"/>
      <c r="R348" s="140"/>
      <c r="S348" s="185"/>
      <c r="T348" s="32"/>
    </row>
    <row r="349" spans="1:27" ht="15.75" x14ac:dyDescent="0.25">
      <c r="A349" s="32"/>
      <c r="B349" s="139"/>
      <c r="C349" s="50"/>
      <c r="D349" s="139"/>
      <c r="E349" s="48"/>
      <c r="F349" s="56"/>
      <c r="G349" s="19"/>
      <c r="H349" s="139"/>
      <c r="I349" s="200"/>
      <c r="J349" s="204"/>
      <c r="K349" s="204"/>
      <c r="L349" s="204"/>
      <c r="M349" s="204"/>
      <c r="N349" s="31"/>
      <c r="O349" s="178"/>
      <c r="P349" s="184"/>
      <c r="Q349" s="35"/>
      <c r="R349" s="140"/>
      <c r="S349" s="185"/>
      <c r="T349" s="32"/>
      <c r="W349" s="142"/>
      <c r="X349" s="141"/>
      <c r="Y349" s="155"/>
    </row>
    <row r="350" spans="1:27" ht="15.75" x14ac:dyDescent="0.25">
      <c r="A350" s="32"/>
      <c r="B350" s="139"/>
      <c r="C350" s="53" t="s">
        <v>49</v>
      </c>
      <c r="D350" s="139"/>
      <c r="E350" s="48"/>
      <c r="F350" s="56"/>
      <c r="G350" s="19"/>
      <c r="H350" s="139"/>
      <c r="I350" s="200"/>
      <c r="J350" s="201"/>
      <c r="K350" s="201"/>
      <c r="L350" s="201"/>
      <c r="M350" s="201"/>
      <c r="N350" s="34"/>
      <c r="O350" s="41"/>
      <c r="P350" s="186"/>
      <c r="Q350" s="186"/>
      <c r="R350" s="140"/>
      <c r="S350" s="140"/>
      <c r="T350" s="32"/>
      <c r="W350" s="143"/>
      <c r="X350" s="137"/>
      <c r="Y350" s="155"/>
    </row>
    <row r="351" spans="1:27" ht="15.75" x14ac:dyDescent="0.25">
      <c r="A351" s="32"/>
      <c r="B351" s="139"/>
      <c r="C351" s="139"/>
      <c r="D351" s="139"/>
      <c r="E351" s="48"/>
      <c r="F351" s="56"/>
      <c r="G351" s="19"/>
      <c r="H351" s="139"/>
      <c r="I351" s="200"/>
      <c r="J351" s="201"/>
      <c r="K351" s="201"/>
      <c r="L351" s="201"/>
      <c r="M351" s="201"/>
      <c r="N351" s="34"/>
      <c r="O351" s="41"/>
      <c r="P351" s="186"/>
      <c r="Q351" s="186"/>
      <c r="R351" s="140"/>
      <c r="S351" s="140"/>
      <c r="T351" s="32"/>
      <c r="W351" s="143"/>
      <c r="X351" s="137"/>
      <c r="Y351" s="155"/>
    </row>
    <row r="352" spans="1:27" x14ac:dyDescent="0.2">
      <c r="A352" s="26">
        <v>301</v>
      </c>
      <c r="B352" s="139"/>
      <c r="C352" s="139" t="s">
        <v>87</v>
      </c>
      <c r="D352" s="139"/>
      <c r="E352" s="48"/>
      <c r="F352" s="56"/>
      <c r="G352" s="19"/>
      <c r="H352" s="139"/>
      <c r="I352" s="200">
        <v>44455.58</v>
      </c>
      <c r="J352" s="201"/>
      <c r="K352" s="201"/>
      <c r="L352" s="201"/>
      <c r="M352" s="201"/>
      <c r="N352" s="34"/>
      <c r="O352" s="41"/>
      <c r="P352" s="186"/>
      <c r="Q352" s="186"/>
      <c r="R352" s="140"/>
      <c r="S352" s="140"/>
      <c r="T352" s="32"/>
    </row>
    <row r="353" spans="1:25" x14ac:dyDescent="0.2">
      <c r="A353" s="26">
        <v>310.2</v>
      </c>
      <c r="B353" s="139"/>
      <c r="C353" s="139" t="s">
        <v>51</v>
      </c>
      <c r="D353" s="139"/>
      <c r="E353" s="48"/>
      <c r="F353" s="56"/>
      <c r="G353" s="19"/>
      <c r="H353" s="139"/>
      <c r="I353" s="29">
        <v>10881103.859999999</v>
      </c>
      <c r="J353" s="100"/>
      <c r="K353" s="34"/>
      <c r="L353" s="34"/>
      <c r="M353" s="34"/>
      <c r="N353" s="34"/>
      <c r="O353" s="41"/>
      <c r="P353" s="186"/>
      <c r="Q353" s="186"/>
      <c r="R353" s="140"/>
      <c r="S353" s="140"/>
      <c r="T353" s="32"/>
    </row>
    <row r="354" spans="1:25" x14ac:dyDescent="0.2">
      <c r="A354" s="26">
        <v>340.2</v>
      </c>
      <c r="B354" s="139"/>
      <c r="C354" s="139" t="s">
        <v>51</v>
      </c>
      <c r="D354" s="139"/>
      <c r="E354" s="48"/>
      <c r="F354" s="56"/>
      <c r="G354" s="19"/>
      <c r="H354" s="139"/>
      <c r="I354" s="29">
        <v>118514.41</v>
      </c>
      <c r="J354" s="100"/>
      <c r="K354" s="34"/>
      <c r="L354" s="34"/>
      <c r="M354" s="34"/>
      <c r="N354" s="34"/>
      <c r="O354" s="41"/>
      <c r="P354" s="186"/>
      <c r="Q354" s="186"/>
      <c r="R354" s="140"/>
      <c r="S354" s="140"/>
      <c r="T354" s="32"/>
    </row>
    <row r="355" spans="1:25" x14ac:dyDescent="0.2">
      <c r="A355" s="26">
        <v>350.2</v>
      </c>
      <c r="B355" s="139"/>
      <c r="C355" s="139" t="s">
        <v>51</v>
      </c>
      <c r="D355" s="139"/>
      <c r="E355" s="48"/>
      <c r="F355" s="56"/>
      <c r="G355" s="19"/>
      <c r="H355" s="139"/>
      <c r="I355" s="29">
        <v>2199383.04</v>
      </c>
      <c r="J355" s="100"/>
      <c r="K355" s="34"/>
      <c r="L355" s="34"/>
      <c r="M355" s="34"/>
      <c r="N355" s="34"/>
      <c r="O355" s="41"/>
      <c r="P355" s="186"/>
      <c r="Q355" s="186"/>
      <c r="R355" s="140"/>
      <c r="S355" s="140"/>
      <c r="T355" s="32"/>
    </row>
    <row r="356" spans="1:25" x14ac:dyDescent="0.2">
      <c r="A356" s="26">
        <v>360.2</v>
      </c>
      <c r="B356" s="139"/>
      <c r="C356" s="139" t="s">
        <v>52</v>
      </c>
      <c r="D356" s="139"/>
      <c r="E356" s="48"/>
      <c r="F356" s="56"/>
      <c r="G356" s="19"/>
      <c r="H356" s="139"/>
      <c r="I356" s="29">
        <v>3271807.48</v>
      </c>
      <c r="J356" s="100"/>
      <c r="K356" s="34"/>
      <c r="L356" s="34"/>
      <c r="M356" s="34"/>
      <c r="N356" s="34"/>
      <c r="O356" s="41"/>
      <c r="P356" s="186"/>
      <c r="Q356" s="186"/>
      <c r="R356" s="140"/>
      <c r="S356" s="140"/>
      <c r="T356" s="32"/>
    </row>
    <row r="357" spans="1:25" x14ac:dyDescent="0.2">
      <c r="A357" s="26">
        <v>389.2</v>
      </c>
      <c r="B357" s="139"/>
      <c r="C357" s="139" t="s">
        <v>52</v>
      </c>
      <c r="D357" s="139"/>
      <c r="E357" s="48"/>
      <c r="F357" s="56"/>
      <c r="G357" s="19"/>
      <c r="H357" s="139"/>
      <c r="I357" s="47">
        <v>2567847.4</v>
      </c>
      <c r="J357" s="100"/>
      <c r="K357" s="41"/>
      <c r="L357" s="34"/>
      <c r="M357" s="34"/>
      <c r="N357" s="34"/>
      <c r="O357" s="41"/>
      <c r="P357" s="186"/>
      <c r="Q357" s="186"/>
      <c r="R357" s="140"/>
      <c r="S357" s="140"/>
      <c r="T357" s="32"/>
    </row>
    <row r="358" spans="1:25" x14ac:dyDescent="0.2">
      <c r="A358" s="26"/>
      <c r="B358" s="139"/>
      <c r="C358" s="139"/>
      <c r="D358" s="139"/>
      <c r="E358" s="48"/>
      <c r="F358" s="56"/>
      <c r="G358" s="19"/>
      <c r="H358" s="139"/>
      <c r="I358" s="29"/>
      <c r="J358" s="100"/>
      <c r="K358" s="41"/>
      <c r="L358" s="34"/>
      <c r="M358" s="34"/>
      <c r="N358" s="34"/>
      <c r="O358" s="41"/>
      <c r="P358" s="186"/>
      <c r="Q358" s="186"/>
      <c r="R358" s="140"/>
      <c r="S358" s="140"/>
      <c r="T358" s="32"/>
    </row>
    <row r="359" spans="1:25" ht="15.75" x14ac:dyDescent="0.25">
      <c r="A359" s="32"/>
      <c r="B359" s="139"/>
      <c r="C359" s="50" t="s">
        <v>53</v>
      </c>
      <c r="D359" s="139"/>
      <c r="E359" s="56"/>
      <c r="F359" s="56"/>
      <c r="G359" s="19"/>
      <c r="H359" s="139"/>
      <c r="I359" s="94">
        <f>SUM(I352:I357)</f>
        <v>19083111.77</v>
      </c>
      <c r="J359" s="101"/>
      <c r="K359" s="102"/>
      <c r="L359" s="31"/>
      <c r="M359" s="31"/>
      <c r="N359" s="31"/>
      <c r="O359" s="178"/>
      <c r="P359" s="187"/>
      <c r="Q359" s="186"/>
      <c r="R359" s="140"/>
      <c r="S359" s="140"/>
      <c r="T359" s="32"/>
      <c r="U359" s="25"/>
      <c r="W359" s="161"/>
      <c r="X359" s="25"/>
      <c r="Y359" s="162"/>
    </row>
    <row r="360" spans="1:25" s="25" customFormat="1" x14ac:dyDescent="0.2">
      <c r="A360" s="54"/>
      <c r="B360" s="72"/>
      <c r="C360" s="28"/>
      <c r="D360" s="72"/>
      <c r="E360" s="105"/>
      <c r="F360" s="105"/>
      <c r="G360" s="81"/>
      <c r="H360" s="72"/>
      <c r="I360" s="74"/>
      <c r="J360" s="103"/>
      <c r="K360" s="104"/>
      <c r="L360" s="75"/>
      <c r="M360" s="75"/>
      <c r="N360" s="75"/>
      <c r="O360" s="180"/>
      <c r="P360" s="188"/>
      <c r="Q360" s="189"/>
      <c r="R360" s="181"/>
      <c r="S360" s="181"/>
      <c r="T360" s="54"/>
      <c r="U360" s="135"/>
      <c r="W360" s="145"/>
      <c r="X360" s="135"/>
      <c r="Y360" s="144"/>
    </row>
    <row r="361" spans="1:25" ht="16.5" thickBot="1" x14ac:dyDescent="0.3">
      <c r="A361" s="32"/>
      <c r="B361" s="139"/>
      <c r="C361" s="50" t="s">
        <v>48</v>
      </c>
      <c r="D361" s="139"/>
      <c r="E361" s="56"/>
      <c r="F361" s="56"/>
      <c r="G361" s="19"/>
      <c r="H361" s="139"/>
      <c r="I361" s="52">
        <f>SUM(I359,I347)</f>
        <v>6384320067.4500017</v>
      </c>
      <c r="J361" s="101"/>
      <c r="K361" s="52">
        <f>SUM(K359,K347)</f>
        <v>2412455917</v>
      </c>
      <c r="L361" s="31"/>
      <c r="M361" s="102">
        <f>+SUBTOTAL(9,M16:M360)</f>
        <v>15697293421.063547</v>
      </c>
      <c r="N361" s="31"/>
      <c r="O361" s="99"/>
      <c r="P361" s="187"/>
      <c r="Q361" s="186"/>
      <c r="R361" s="140"/>
      <c r="S361" s="140"/>
      <c r="T361" s="32"/>
    </row>
    <row r="362" spans="1:25" ht="16.5" thickTop="1" x14ac:dyDescent="0.25">
      <c r="A362" s="32"/>
      <c r="B362" s="139"/>
      <c r="C362" s="50"/>
      <c r="D362" s="139"/>
      <c r="E362" s="56"/>
      <c r="F362" s="56"/>
      <c r="G362" s="19"/>
      <c r="H362" s="139"/>
      <c r="I362" s="107"/>
      <c r="J362" s="101"/>
      <c r="K362" s="108"/>
      <c r="L362" s="31"/>
      <c r="M362" s="108"/>
      <c r="N362" s="31"/>
      <c r="O362" s="178"/>
      <c r="P362" s="187"/>
      <c r="Q362" s="186"/>
      <c r="R362" s="140"/>
      <c r="S362" s="140"/>
      <c r="T362" s="32"/>
    </row>
    <row r="363" spans="1:25" ht="15.75" x14ac:dyDescent="0.25">
      <c r="A363" s="32"/>
      <c r="B363" s="139"/>
      <c r="C363" s="50"/>
      <c r="D363" s="139"/>
      <c r="E363" s="56"/>
      <c r="F363" s="56"/>
      <c r="G363" s="19"/>
      <c r="H363" s="139"/>
      <c r="I363" s="109"/>
      <c r="J363" s="101"/>
      <c r="K363" s="31"/>
      <c r="L363" s="31"/>
      <c r="M363" s="31"/>
      <c r="N363" s="31"/>
      <c r="O363" s="178"/>
      <c r="P363" s="187"/>
      <c r="Q363" s="186"/>
      <c r="R363" s="140"/>
      <c r="S363" s="140"/>
      <c r="T363" s="32"/>
    </row>
    <row r="364" spans="1:25" ht="15.75" x14ac:dyDescent="0.25">
      <c r="B364" s="67" t="s">
        <v>54</v>
      </c>
      <c r="C364" s="50"/>
      <c r="D364" s="139"/>
      <c r="E364" s="56"/>
      <c r="F364" s="56"/>
      <c r="G364" s="19"/>
      <c r="H364" s="139"/>
      <c r="I364" s="110"/>
      <c r="J364" s="101"/>
      <c r="K364" s="110"/>
      <c r="L364" s="31"/>
      <c r="M364" s="31"/>
      <c r="N364" s="31"/>
      <c r="O364" s="31"/>
      <c r="P364" s="101"/>
      <c r="Q364" s="100"/>
      <c r="R364" s="139"/>
      <c r="S364" s="139"/>
      <c r="T364" s="32"/>
    </row>
    <row r="365" spans="1:25" x14ac:dyDescent="0.2">
      <c r="B365" s="32"/>
      <c r="C365" s="139"/>
      <c r="D365" s="139"/>
      <c r="E365" s="56"/>
      <c r="F365" s="56"/>
      <c r="G365" s="19"/>
      <c r="H365" s="139"/>
      <c r="I365" s="26"/>
      <c r="J365" s="100"/>
      <c r="K365" s="34"/>
      <c r="L365" s="34"/>
      <c r="M365" s="34"/>
      <c r="N365" s="34"/>
      <c r="O365" s="34"/>
      <c r="P365" s="100"/>
      <c r="Q365" s="100"/>
      <c r="R365" s="139"/>
      <c r="S365" s="139"/>
      <c r="T365" s="32"/>
    </row>
    <row r="368" spans="1:25" ht="15.75" x14ac:dyDescent="0.25">
      <c r="C368" s="166" t="s">
        <v>224</v>
      </c>
    </row>
    <row r="369" spans="3:25" x14ac:dyDescent="0.2">
      <c r="E369" s="135"/>
      <c r="F369" s="135"/>
      <c r="G369" s="135"/>
      <c r="K369" s="135"/>
      <c r="L369" s="135"/>
      <c r="M369" s="135"/>
      <c r="N369" s="135"/>
      <c r="O369" s="135"/>
      <c r="W369" s="135"/>
      <c r="Y369" s="135"/>
    </row>
    <row r="370" spans="3:25" x14ac:dyDescent="0.2">
      <c r="C370" s="138" t="s">
        <v>225</v>
      </c>
      <c r="E370" s="135"/>
      <c r="F370" s="135"/>
      <c r="G370" s="135"/>
      <c r="K370" s="135"/>
      <c r="L370" s="135"/>
      <c r="M370" s="135"/>
      <c r="N370" s="135"/>
      <c r="O370" s="135"/>
      <c r="W370" s="135"/>
      <c r="Y370" s="135"/>
    </row>
    <row r="371" spans="3:25" x14ac:dyDescent="0.2">
      <c r="C371" s="138" t="s">
        <v>226</v>
      </c>
      <c r="E371" s="135"/>
      <c r="F371" s="135"/>
      <c r="G371" s="135"/>
      <c r="K371" s="135"/>
      <c r="L371" s="135"/>
      <c r="M371" s="135"/>
      <c r="N371" s="135"/>
      <c r="O371" s="135"/>
      <c r="W371" s="135"/>
      <c r="Y371" s="135"/>
    </row>
    <row r="372" spans="3:25" x14ac:dyDescent="0.2">
      <c r="C372" s="138" t="s">
        <v>351</v>
      </c>
      <c r="E372" s="135"/>
      <c r="F372" s="135"/>
      <c r="G372" s="135"/>
      <c r="K372" s="135"/>
      <c r="L372" s="135"/>
      <c r="M372" s="135"/>
      <c r="N372" s="135"/>
      <c r="O372" s="135"/>
      <c r="W372" s="135"/>
      <c r="Y372" s="135"/>
    </row>
    <row r="373" spans="3:25" x14ac:dyDescent="0.2">
      <c r="C373" s="135" t="s">
        <v>350</v>
      </c>
      <c r="E373" s="135"/>
      <c r="F373" s="135"/>
      <c r="G373" s="135"/>
      <c r="K373" s="135"/>
      <c r="L373" s="135"/>
      <c r="M373" s="135"/>
      <c r="N373" s="135"/>
      <c r="O373" s="135"/>
      <c r="W373" s="135"/>
      <c r="Y373" s="135"/>
    </row>
    <row r="374" spans="3:25" x14ac:dyDescent="0.2">
      <c r="E374" s="135"/>
      <c r="F374" s="135"/>
      <c r="G374" s="135"/>
      <c r="K374" s="135"/>
      <c r="L374" s="135"/>
      <c r="M374" s="135"/>
      <c r="N374" s="135"/>
      <c r="O374" s="135"/>
      <c r="W374" s="135"/>
      <c r="Y374" s="135"/>
    </row>
    <row r="375" spans="3:25" x14ac:dyDescent="0.2">
      <c r="E375" s="135"/>
      <c r="F375" s="135"/>
      <c r="G375" s="135"/>
      <c r="K375" s="135"/>
      <c r="L375" s="135"/>
      <c r="M375" s="135"/>
      <c r="N375" s="135"/>
      <c r="O375" s="135"/>
      <c r="W375" s="135"/>
      <c r="Y375" s="135"/>
    </row>
    <row r="376" spans="3:25" x14ac:dyDescent="0.2">
      <c r="E376" s="135"/>
      <c r="F376" s="135"/>
      <c r="G376" s="135"/>
      <c r="K376" s="135"/>
      <c r="L376" s="135"/>
      <c r="M376" s="135"/>
      <c r="N376" s="135"/>
      <c r="O376" s="135"/>
      <c r="W376" s="135"/>
      <c r="Y376" s="135"/>
    </row>
    <row r="377" spans="3:25" x14ac:dyDescent="0.2">
      <c r="E377" s="135"/>
      <c r="F377" s="135"/>
      <c r="G377" s="135"/>
      <c r="K377" s="135"/>
      <c r="L377" s="135"/>
      <c r="M377" s="135"/>
      <c r="N377" s="135"/>
      <c r="O377" s="135"/>
      <c r="W377" s="135"/>
      <c r="Y377" s="135"/>
    </row>
    <row r="378" spans="3:25" x14ac:dyDescent="0.2">
      <c r="E378" s="135"/>
      <c r="F378" s="135"/>
      <c r="G378" s="135"/>
      <c r="K378" s="135"/>
      <c r="L378" s="135"/>
      <c r="M378" s="135"/>
      <c r="N378" s="135"/>
      <c r="O378" s="135"/>
      <c r="W378" s="135"/>
      <c r="Y378" s="135"/>
    </row>
    <row r="379" spans="3:25" x14ac:dyDescent="0.2">
      <c r="E379" s="135"/>
      <c r="F379" s="135"/>
      <c r="G379" s="135"/>
      <c r="K379" s="135"/>
      <c r="L379" s="135"/>
      <c r="M379" s="135"/>
      <c r="N379" s="135"/>
      <c r="O379" s="135"/>
      <c r="W379" s="135"/>
      <c r="Y379" s="135"/>
    </row>
    <row r="380" spans="3:25" x14ac:dyDescent="0.2">
      <c r="E380" s="135"/>
      <c r="F380" s="135"/>
      <c r="G380" s="135"/>
      <c r="K380" s="135"/>
      <c r="L380" s="135"/>
      <c r="M380" s="135"/>
      <c r="N380" s="135"/>
      <c r="O380" s="135"/>
      <c r="W380" s="135"/>
      <c r="Y380" s="135"/>
    </row>
    <row r="381" spans="3:25" x14ac:dyDescent="0.2">
      <c r="E381" s="135"/>
      <c r="F381" s="135"/>
      <c r="G381" s="135"/>
      <c r="K381" s="135"/>
      <c r="L381" s="135"/>
      <c r="M381" s="135"/>
      <c r="N381" s="135"/>
      <c r="O381" s="135"/>
      <c r="W381" s="135"/>
      <c r="Y381" s="135"/>
    </row>
    <row r="382" spans="3:25" x14ac:dyDescent="0.2">
      <c r="E382" s="135"/>
      <c r="F382" s="135"/>
      <c r="G382" s="135"/>
      <c r="K382" s="135"/>
      <c r="L382" s="135"/>
      <c r="M382" s="135"/>
      <c r="N382" s="135"/>
      <c r="O382" s="135"/>
      <c r="W382" s="135"/>
      <c r="Y382" s="135"/>
    </row>
    <row r="383" spans="3:25" x14ac:dyDescent="0.2">
      <c r="E383" s="135"/>
      <c r="F383" s="135"/>
      <c r="G383" s="135"/>
      <c r="K383" s="135"/>
      <c r="L383" s="135"/>
      <c r="M383" s="135"/>
      <c r="N383" s="135"/>
      <c r="O383" s="135"/>
      <c r="W383" s="135"/>
      <c r="Y383" s="135"/>
    </row>
    <row r="384" spans="3:25" x14ac:dyDescent="0.2">
      <c r="E384" s="135"/>
      <c r="F384" s="135"/>
      <c r="G384" s="135"/>
      <c r="K384" s="135"/>
      <c r="L384" s="135"/>
      <c r="M384" s="135"/>
      <c r="N384" s="135"/>
      <c r="O384" s="135"/>
      <c r="W384" s="135"/>
      <c r="Y384" s="135"/>
    </row>
    <row r="385" s="135" customFormat="1" x14ac:dyDescent="0.2"/>
  </sheetData>
  <mergeCells count="5">
    <mergeCell ref="C2:Y2"/>
    <mergeCell ref="C3:Y3"/>
    <mergeCell ref="C4:Y4"/>
    <mergeCell ref="C5:Y5"/>
    <mergeCell ref="U7:W7"/>
  </mergeCells>
  <pageMargins left="0.7" right="0.7" top="0.75" bottom="0.75" header="0.3" footer="0.3"/>
  <pageSetup scale="3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2"/>
  <sheetViews>
    <sheetView topLeftCell="A109" workbookViewId="0">
      <selection sqref="A1:Y132"/>
    </sheetView>
  </sheetViews>
  <sheetFormatPr defaultRowHeight="15" x14ac:dyDescent="0.2"/>
  <cols>
    <col min="3" max="3" width="9.88671875" bestFit="1" customWidth="1"/>
  </cols>
  <sheetData>
    <row r="1" spans="1:24" x14ac:dyDescent="0.2">
      <c r="A1" s="317" t="s">
        <v>313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274"/>
      <c r="R1" s="274"/>
      <c r="S1" s="274"/>
      <c r="T1" s="274"/>
      <c r="U1" s="274"/>
      <c r="V1" s="274"/>
      <c r="W1" s="274"/>
      <c r="X1" s="274"/>
    </row>
    <row r="2" spans="1:24" x14ac:dyDescent="0.2">
      <c r="A2" s="317" t="s">
        <v>314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274"/>
      <c r="R2" s="274"/>
      <c r="S2" s="274"/>
      <c r="T2" s="274"/>
      <c r="U2" s="274"/>
      <c r="V2" s="274"/>
      <c r="W2" s="274"/>
      <c r="X2" s="274"/>
    </row>
    <row r="3" spans="1:24" x14ac:dyDescent="0.2">
      <c r="A3" s="317" t="s">
        <v>315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274"/>
      <c r="R3" s="274"/>
      <c r="S3" s="274"/>
      <c r="T3" s="274"/>
      <c r="U3" s="274"/>
      <c r="V3" s="274"/>
      <c r="W3" s="274"/>
      <c r="X3" s="274"/>
    </row>
    <row r="4" spans="1:24" x14ac:dyDescent="0.2">
      <c r="A4" s="275"/>
      <c r="B4" s="276"/>
      <c r="C4" s="276"/>
      <c r="D4" s="277"/>
      <c r="E4" s="277"/>
      <c r="F4" s="273"/>
      <c r="G4" s="273"/>
      <c r="H4" s="273"/>
      <c r="I4" s="273"/>
      <c r="J4" s="277"/>
      <c r="K4" s="276"/>
      <c r="L4" s="276"/>
      <c r="M4" s="276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</row>
    <row r="5" spans="1:24" x14ac:dyDescent="0.2">
      <c r="A5" s="317" t="s">
        <v>316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274"/>
      <c r="R5" s="274"/>
      <c r="S5" s="274"/>
      <c r="T5" s="274"/>
      <c r="U5" s="274"/>
      <c r="V5" s="274"/>
      <c r="W5" s="274"/>
      <c r="X5" s="274"/>
    </row>
    <row r="6" spans="1:24" x14ac:dyDescent="0.2">
      <c r="A6" s="275"/>
      <c r="B6" s="276"/>
      <c r="C6" s="276"/>
      <c r="D6" s="277"/>
      <c r="E6" s="277"/>
      <c r="F6" s="273"/>
      <c r="G6" s="273"/>
      <c r="H6" s="273"/>
      <c r="I6" s="273"/>
      <c r="J6" s="277"/>
      <c r="K6" s="276"/>
      <c r="L6" s="276"/>
      <c r="M6" s="276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</row>
    <row r="7" spans="1:24" x14ac:dyDescent="0.2">
      <c r="A7" s="275"/>
      <c r="B7" s="275"/>
      <c r="C7" s="276"/>
      <c r="D7" s="277"/>
      <c r="E7" s="277"/>
      <c r="F7" s="273"/>
      <c r="G7" s="273"/>
      <c r="H7" s="273"/>
      <c r="I7" s="273"/>
      <c r="J7" s="277"/>
      <c r="K7" s="318" t="s">
        <v>317</v>
      </c>
      <c r="L7" s="318"/>
      <c r="M7" s="318"/>
      <c r="N7" s="318"/>
      <c r="O7" s="318"/>
      <c r="P7" s="318"/>
      <c r="Q7" s="318" t="str">
        <f>A127 &amp; " Band (" &amp; TEXT($H$127,"0.00") &amp; ")"</f>
        <v>1900-2011 Band (45.83)</v>
      </c>
      <c r="R7" s="318"/>
      <c r="S7" s="274"/>
      <c r="T7" s="274"/>
      <c r="U7" s="274"/>
      <c r="V7" s="274"/>
      <c r="W7" s="274"/>
      <c r="X7" s="274"/>
    </row>
    <row r="8" spans="1:24" x14ac:dyDescent="0.2">
      <c r="A8" s="278"/>
      <c r="B8" s="275"/>
      <c r="C8" s="275"/>
      <c r="D8" s="275"/>
      <c r="E8" s="275"/>
      <c r="F8" s="276"/>
      <c r="G8" s="276"/>
      <c r="H8" s="279" t="s">
        <v>318</v>
      </c>
      <c r="I8" s="273"/>
      <c r="J8" s="277"/>
      <c r="K8" s="280"/>
      <c r="L8" s="280"/>
      <c r="M8" s="280"/>
      <c r="N8" s="280"/>
      <c r="O8" s="280"/>
      <c r="P8" s="279" t="s">
        <v>318</v>
      </c>
      <c r="Q8" s="274"/>
      <c r="R8" s="274"/>
      <c r="S8" s="274"/>
      <c r="T8" s="274"/>
      <c r="U8" s="274"/>
      <c r="V8" s="274"/>
      <c r="W8" s="274"/>
      <c r="X8" s="274"/>
    </row>
    <row r="9" spans="1:24" x14ac:dyDescent="0.2">
      <c r="A9" s="281"/>
      <c r="B9" s="280" t="s">
        <v>319</v>
      </c>
      <c r="C9" s="280" t="s">
        <v>320</v>
      </c>
      <c r="D9" s="279" t="s">
        <v>321</v>
      </c>
      <c r="E9" s="279" t="s">
        <v>321</v>
      </c>
      <c r="F9" s="279" t="s">
        <v>322</v>
      </c>
      <c r="G9" s="279" t="s">
        <v>323</v>
      </c>
      <c r="H9" s="273" t="s">
        <v>324</v>
      </c>
      <c r="I9" s="279"/>
      <c r="J9" s="277" t="s">
        <v>325</v>
      </c>
      <c r="K9" s="280" t="s">
        <v>320</v>
      </c>
      <c r="L9" s="280"/>
      <c r="M9" s="280"/>
      <c r="N9" s="279" t="s">
        <v>322</v>
      </c>
      <c r="O9" s="279" t="s">
        <v>323</v>
      </c>
      <c r="P9" s="273" t="s">
        <v>324</v>
      </c>
      <c r="Q9" s="274"/>
      <c r="R9" s="274"/>
      <c r="S9" s="274"/>
      <c r="T9" s="274"/>
      <c r="U9" s="274"/>
      <c r="V9" s="274"/>
      <c r="W9" s="274"/>
      <c r="X9" s="274"/>
    </row>
    <row r="10" spans="1:24" x14ac:dyDescent="0.2">
      <c r="A10" s="282" t="s">
        <v>326</v>
      </c>
      <c r="B10" s="283" t="s">
        <v>327</v>
      </c>
      <c r="C10" s="283" t="s">
        <v>327</v>
      </c>
      <c r="D10" s="284" t="s">
        <v>328</v>
      </c>
      <c r="E10" s="284" t="s">
        <v>237</v>
      </c>
      <c r="F10" s="284" t="s">
        <v>329</v>
      </c>
      <c r="G10" s="284" t="s">
        <v>329</v>
      </c>
      <c r="H10" s="284" t="s">
        <v>330</v>
      </c>
      <c r="I10" s="284"/>
      <c r="J10" s="285" t="s">
        <v>331</v>
      </c>
      <c r="K10" s="283" t="s">
        <v>327</v>
      </c>
      <c r="L10" s="283" t="s">
        <v>328</v>
      </c>
      <c r="M10" s="283" t="s">
        <v>237</v>
      </c>
      <c r="N10" s="284" t="s">
        <v>329</v>
      </c>
      <c r="O10" s="284" t="s">
        <v>329</v>
      </c>
      <c r="P10" s="284" t="s">
        <v>330</v>
      </c>
      <c r="Q10" s="282"/>
      <c r="R10" s="282"/>
      <c r="S10" s="282"/>
      <c r="T10" s="282"/>
      <c r="U10" s="282"/>
      <c r="V10" s="282"/>
      <c r="W10" s="282"/>
      <c r="X10" s="282"/>
    </row>
    <row r="11" spans="1:24" x14ac:dyDescent="0.2">
      <c r="A11" s="278"/>
      <c r="B11" s="286" t="s">
        <v>332</v>
      </c>
      <c r="C11" s="286" t="s">
        <v>333</v>
      </c>
      <c r="D11" s="287" t="s">
        <v>334</v>
      </c>
      <c r="E11" s="287" t="s">
        <v>335</v>
      </c>
      <c r="F11" s="276" t="s">
        <v>336</v>
      </c>
      <c r="G11" s="276" t="s">
        <v>337</v>
      </c>
      <c r="H11" s="276" t="s">
        <v>338</v>
      </c>
      <c r="I11" s="276"/>
      <c r="J11" s="277" t="s">
        <v>339</v>
      </c>
      <c r="K11" s="286" t="s">
        <v>340</v>
      </c>
      <c r="L11" s="286" t="s">
        <v>341</v>
      </c>
      <c r="M11" s="286" t="s">
        <v>342</v>
      </c>
      <c r="N11" s="278" t="s">
        <v>343</v>
      </c>
      <c r="O11" s="278" t="s">
        <v>344</v>
      </c>
      <c r="P11" s="278" t="s">
        <v>345</v>
      </c>
      <c r="Q11" s="278"/>
      <c r="R11" s="278" t="s">
        <v>346</v>
      </c>
      <c r="S11" s="278"/>
      <c r="T11" s="278"/>
      <c r="U11" s="278"/>
      <c r="V11" s="278"/>
      <c r="W11" s="278"/>
      <c r="X11" s="278"/>
    </row>
    <row r="12" spans="1:24" x14ac:dyDescent="0.2">
      <c r="A12" s="278"/>
      <c r="B12" s="286"/>
      <c r="C12" s="286"/>
      <c r="D12" s="287"/>
      <c r="E12" s="287"/>
      <c r="F12" s="276"/>
      <c r="G12" s="276"/>
      <c r="H12" s="276"/>
      <c r="I12" s="276"/>
      <c r="J12" s="277"/>
      <c r="K12" s="286"/>
      <c r="L12" s="286"/>
      <c r="M12" s="286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</row>
    <row r="13" spans="1:24" x14ac:dyDescent="0.2">
      <c r="A13" s="278"/>
      <c r="B13" s="286"/>
      <c r="C13" s="286"/>
      <c r="D13" s="287"/>
      <c r="E13" s="287"/>
      <c r="F13" s="276"/>
      <c r="G13" s="276"/>
      <c r="H13" s="276"/>
      <c r="I13" s="276"/>
      <c r="J13" s="286"/>
      <c r="K13" s="286"/>
      <c r="L13" s="286"/>
      <c r="M13" s="286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78"/>
    </row>
    <row r="14" spans="1:24" x14ac:dyDescent="0.2">
      <c r="A14" s="278">
        <v>1900</v>
      </c>
      <c r="B14" s="287">
        <v>0</v>
      </c>
      <c r="C14" s="275">
        <f t="shared" ref="C14:C45" si="0">(B14+B14+D14-E14)/2</f>
        <v>29455</v>
      </c>
      <c r="D14" s="275">
        <v>58910</v>
      </c>
      <c r="E14" s="275">
        <v>0</v>
      </c>
      <c r="F14" s="288">
        <f t="shared" ref="F14:F45" si="1">IF(C14=0,0,D14/C14)</f>
        <v>2</v>
      </c>
      <c r="G14" s="288">
        <f t="shared" ref="G14:G45" si="2">IF(C14=0,0,E14/C14)</f>
        <v>0</v>
      </c>
      <c r="H14" s="276">
        <f t="shared" ref="H14:H45" si="3">IF(F14*G14&lt;=0,0,1/(SQRT(F14*G14)))</f>
        <v>0</v>
      </c>
      <c r="I14" s="276"/>
      <c r="J14" s="278"/>
      <c r="K14" s="275"/>
      <c r="L14" s="275"/>
      <c r="M14" s="275"/>
      <c r="N14" s="275"/>
      <c r="O14" s="289"/>
      <c r="P14" s="289"/>
      <c r="Q14" s="278"/>
      <c r="R14" s="290">
        <f t="shared" ref="R14:R45" si="4">+$H$127</f>
        <v>45.83106085297635</v>
      </c>
      <c r="S14" s="278"/>
      <c r="T14" s="278"/>
      <c r="U14" s="278"/>
      <c r="V14" s="278"/>
      <c r="W14" s="278"/>
      <c r="X14" s="278"/>
    </row>
    <row r="15" spans="1:24" x14ac:dyDescent="0.2">
      <c r="A15" s="278">
        <v>1901</v>
      </c>
      <c r="B15" s="287">
        <f t="shared" ref="B15:B46" si="5">+B14+D14-E14</f>
        <v>58910</v>
      </c>
      <c r="C15" s="275">
        <f t="shared" si="0"/>
        <v>58910</v>
      </c>
      <c r="D15" s="275">
        <v>0</v>
      </c>
      <c r="E15" s="275">
        <v>0</v>
      </c>
      <c r="F15" s="288">
        <f t="shared" si="1"/>
        <v>0</v>
      </c>
      <c r="G15" s="288">
        <f t="shared" si="2"/>
        <v>0</v>
      </c>
      <c r="H15" s="276">
        <f t="shared" si="3"/>
        <v>0</v>
      </c>
      <c r="I15" s="276"/>
      <c r="J15" s="278"/>
      <c r="K15" s="275"/>
      <c r="L15" s="275"/>
      <c r="M15" s="275"/>
      <c r="N15" s="275"/>
      <c r="O15" s="289"/>
      <c r="P15" s="289"/>
      <c r="Q15" s="278"/>
      <c r="R15" s="290">
        <f t="shared" si="4"/>
        <v>45.83106085297635</v>
      </c>
      <c r="S15" s="278"/>
      <c r="T15" s="278"/>
      <c r="U15" s="278"/>
      <c r="V15" s="278"/>
      <c r="W15" s="278"/>
      <c r="X15" s="278"/>
    </row>
    <row r="16" spans="1:24" x14ac:dyDescent="0.2">
      <c r="A16" s="278">
        <v>1902</v>
      </c>
      <c r="B16" s="287">
        <f t="shared" si="5"/>
        <v>58910</v>
      </c>
      <c r="C16" s="275">
        <f t="shared" si="0"/>
        <v>58910</v>
      </c>
      <c r="D16" s="275">
        <v>0</v>
      </c>
      <c r="E16" s="275">
        <v>0</v>
      </c>
      <c r="F16" s="288">
        <f t="shared" si="1"/>
        <v>0</v>
      </c>
      <c r="G16" s="288">
        <f t="shared" si="2"/>
        <v>0</v>
      </c>
      <c r="H16" s="276">
        <f t="shared" si="3"/>
        <v>0</v>
      </c>
      <c r="I16" s="276"/>
      <c r="J16" s="278" t="str">
        <f t="shared" ref="J16:J47" si="6">A14 &amp; "-" &amp; RIGHT(A14+2,2)</f>
        <v>1900-02</v>
      </c>
      <c r="K16" s="275">
        <f t="shared" ref="K16:K47" si="7">SUM(C14:C16)</f>
        <v>147275</v>
      </c>
      <c r="L16" s="275">
        <f t="shared" ref="L16:L47" si="8">SUM(D14:D16)</f>
        <v>58910</v>
      </c>
      <c r="M16" s="275">
        <f t="shared" ref="M16:M47" si="9">SUM(E14:E16)</f>
        <v>0</v>
      </c>
      <c r="N16" s="289">
        <f t="shared" ref="N16:N47" si="10">IF(K16=0,0,L16/K16)</f>
        <v>0.4</v>
      </c>
      <c r="O16" s="289">
        <f t="shared" ref="O16:O47" si="11">IF(K16=0,0,M16/K16)</f>
        <v>0</v>
      </c>
      <c r="P16" s="276">
        <f t="shared" ref="P16:P47" si="12">IF(N16*O16&lt;=0,0,1/(SQRT(N16*O16)))</f>
        <v>0</v>
      </c>
      <c r="Q16" s="278"/>
      <c r="R16" s="290">
        <f t="shared" si="4"/>
        <v>45.83106085297635</v>
      </c>
      <c r="S16" s="278"/>
      <c r="T16" s="278"/>
      <c r="U16" s="278"/>
      <c r="V16" s="278"/>
      <c r="W16" s="278"/>
      <c r="X16" s="278"/>
    </row>
    <row r="17" spans="1:24" x14ac:dyDescent="0.2">
      <c r="A17" s="278">
        <v>1903</v>
      </c>
      <c r="B17" s="287">
        <f t="shared" si="5"/>
        <v>58910</v>
      </c>
      <c r="C17" s="275">
        <f t="shared" si="0"/>
        <v>58910</v>
      </c>
      <c r="D17" s="275">
        <v>0</v>
      </c>
      <c r="E17" s="275">
        <v>0</v>
      </c>
      <c r="F17" s="288">
        <f t="shared" si="1"/>
        <v>0</v>
      </c>
      <c r="G17" s="288">
        <f t="shared" si="2"/>
        <v>0</v>
      </c>
      <c r="H17" s="276">
        <f t="shared" si="3"/>
        <v>0</v>
      </c>
      <c r="I17" s="276"/>
      <c r="J17" s="278" t="str">
        <f t="shared" si="6"/>
        <v>1901-03</v>
      </c>
      <c r="K17" s="275">
        <f t="shared" si="7"/>
        <v>176730</v>
      </c>
      <c r="L17" s="275">
        <f t="shared" si="8"/>
        <v>0</v>
      </c>
      <c r="M17" s="275">
        <f t="shared" si="9"/>
        <v>0</v>
      </c>
      <c r="N17" s="289">
        <f t="shared" si="10"/>
        <v>0</v>
      </c>
      <c r="O17" s="289">
        <f t="shared" si="11"/>
        <v>0</v>
      </c>
      <c r="P17" s="276">
        <f t="shared" si="12"/>
        <v>0</v>
      </c>
      <c r="Q17" s="278"/>
      <c r="R17" s="290">
        <f t="shared" si="4"/>
        <v>45.83106085297635</v>
      </c>
      <c r="S17" s="278"/>
      <c r="T17" s="278"/>
      <c r="U17" s="278"/>
      <c r="V17" s="278"/>
      <c r="W17" s="278"/>
      <c r="X17" s="278"/>
    </row>
    <row r="18" spans="1:24" x14ac:dyDescent="0.2">
      <c r="A18" s="278">
        <v>1904</v>
      </c>
      <c r="B18" s="287">
        <f t="shared" si="5"/>
        <v>58910</v>
      </c>
      <c r="C18" s="275">
        <f t="shared" si="0"/>
        <v>58910</v>
      </c>
      <c r="D18" s="275">
        <v>0</v>
      </c>
      <c r="E18" s="275">
        <v>0</v>
      </c>
      <c r="F18" s="288">
        <f t="shared" si="1"/>
        <v>0</v>
      </c>
      <c r="G18" s="288">
        <f t="shared" si="2"/>
        <v>0</v>
      </c>
      <c r="H18" s="276">
        <f t="shared" si="3"/>
        <v>0</v>
      </c>
      <c r="I18" s="276"/>
      <c r="J18" s="278" t="str">
        <f t="shared" si="6"/>
        <v>1902-04</v>
      </c>
      <c r="K18" s="275">
        <f t="shared" si="7"/>
        <v>176730</v>
      </c>
      <c r="L18" s="275">
        <f t="shared" si="8"/>
        <v>0</v>
      </c>
      <c r="M18" s="275">
        <f t="shared" si="9"/>
        <v>0</v>
      </c>
      <c r="N18" s="289">
        <f t="shared" si="10"/>
        <v>0</v>
      </c>
      <c r="O18" s="289">
        <f t="shared" si="11"/>
        <v>0</v>
      </c>
      <c r="P18" s="276">
        <f t="shared" si="12"/>
        <v>0</v>
      </c>
      <c r="Q18" s="278"/>
      <c r="R18" s="290">
        <f t="shared" si="4"/>
        <v>45.83106085297635</v>
      </c>
      <c r="S18" s="278"/>
      <c r="T18" s="278"/>
      <c r="U18" s="278"/>
      <c r="V18" s="278"/>
      <c r="W18" s="278"/>
      <c r="X18" s="278"/>
    </row>
    <row r="19" spans="1:24" x14ac:dyDescent="0.2">
      <c r="A19" s="278">
        <v>1905</v>
      </c>
      <c r="B19" s="287">
        <f t="shared" si="5"/>
        <v>58910</v>
      </c>
      <c r="C19" s="275">
        <f t="shared" si="0"/>
        <v>58910</v>
      </c>
      <c r="D19" s="275">
        <v>0</v>
      </c>
      <c r="E19" s="275">
        <v>0</v>
      </c>
      <c r="F19" s="288">
        <f t="shared" si="1"/>
        <v>0</v>
      </c>
      <c r="G19" s="288">
        <f t="shared" si="2"/>
        <v>0</v>
      </c>
      <c r="H19" s="276">
        <f t="shared" si="3"/>
        <v>0</v>
      </c>
      <c r="I19" s="276"/>
      <c r="J19" s="278" t="str">
        <f t="shared" si="6"/>
        <v>1903-05</v>
      </c>
      <c r="K19" s="275">
        <f t="shared" si="7"/>
        <v>176730</v>
      </c>
      <c r="L19" s="275">
        <f t="shared" si="8"/>
        <v>0</v>
      </c>
      <c r="M19" s="275">
        <f t="shared" si="9"/>
        <v>0</v>
      </c>
      <c r="N19" s="289">
        <f t="shared" si="10"/>
        <v>0</v>
      </c>
      <c r="O19" s="289">
        <f t="shared" si="11"/>
        <v>0</v>
      </c>
      <c r="P19" s="276">
        <f t="shared" si="12"/>
        <v>0</v>
      </c>
      <c r="Q19" s="278"/>
      <c r="R19" s="290">
        <f t="shared" si="4"/>
        <v>45.83106085297635</v>
      </c>
      <c r="S19" s="278"/>
      <c r="T19" s="278"/>
      <c r="U19" s="278"/>
      <c r="V19" s="278"/>
      <c r="W19" s="278"/>
      <c r="X19" s="278"/>
    </row>
    <row r="20" spans="1:24" x14ac:dyDescent="0.2">
      <c r="A20" s="278">
        <v>1906</v>
      </c>
      <c r="B20" s="287">
        <f t="shared" si="5"/>
        <v>58910</v>
      </c>
      <c r="C20" s="275">
        <f t="shared" si="0"/>
        <v>58910</v>
      </c>
      <c r="D20" s="275">
        <v>0</v>
      </c>
      <c r="E20" s="275">
        <v>0</v>
      </c>
      <c r="F20" s="288">
        <f t="shared" si="1"/>
        <v>0</v>
      </c>
      <c r="G20" s="288">
        <f t="shared" si="2"/>
        <v>0</v>
      </c>
      <c r="H20" s="276">
        <f t="shared" si="3"/>
        <v>0</v>
      </c>
      <c r="I20" s="276"/>
      <c r="J20" s="278" t="str">
        <f t="shared" si="6"/>
        <v>1904-06</v>
      </c>
      <c r="K20" s="275">
        <f t="shared" si="7"/>
        <v>176730</v>
      </c>
      <c r="L20" s="275">
        <f t="shared" si="8"/>
        <v>0</v>
      </c>
      <c r="M20" s="275">
        <f t="shared" si="9"/>
        <v>0</v>
      </c>
      <c r="N20" s="289">
        <f t="shared" si="10"/>
        <v>0</v>
      </c>
      <c r="O20" s="289">
        <f t="shared" si="11"/>
        <v>0</v>
      </c>
      <c r="P20" s="276">
        <f t="shared" si="12"/>
        <v>0</v>
      </c>
      <c r="Q20" s="278"/>
      <c r="R20" s="290">
        <f t="shared" si="4"/>
        <v>45.83106085297635</v>
      </c>
      <c r="S20" s="278"/>
      <c r="T20" s="278"/>
      <c r="U20" s="278"/>
      <c r="V20" s="278"/>
      <c r="W20" s="278"/>
      <c r="X20" s="278"/>
    </row>
    <row r="21" spans="1:24" x14ac:dyDescent="0.2">
      <c r="A21" s="278">
        <v>1907</v>
      </c>
      <c r="B21" s="287">
        <f t="shared" si="5"/>
        <v>58910</v>
      </c>
      <c r="C21" s="275">
        <f t="shared" si="0"/>
        <v>74844.5</v>
      </c>
      <c r="D21" s="275">
        <v>31869</v>
      </c>
      <c r="E21" s="275">
        <v>0</v>
      </c>
      <c r="F21" s="288">
        <f t="shared" si="1"/>
        <v>0.42580283120336165</v>
      </c>
      <c r="G21" s="288">
        <f t="shared" si="2"/>
        <v>0</v>
      </c>
      <c r="H21" s="276">
        <f t="shared" si="3"/>
        <v>0</v>
      </c>
      <c r="I21" s="276"/>
      <c r="J21" s="278" t="str">
        <f t="shared" si="6"/>
        <v>1905-07</v>
      </c>
      <c r="K21" s="275">
        <f t="shared" si="7"/>
        <v>192664.5</v>
      </c>
      <c r="L21" s="275">
        <f t="shared" si="8"/>
        <v>31869</v>
      </c>
      <c r="M21" s="275">
        <f t="shared" si="9"/>
        <v>0</v>
      </c>
      <c r="N21" s="289">
        <f t="shared" si="10"/>
        <v>0.16541189477044291</v>
      </c>
      <c r="O21" s="289">
        <f t="shared" si="11"/>
        <v>0</v>
      </c>
      <c r="P21" s="276">
        <f t="shared" si="12"/>
        <v>0</v>
      </c>
      <c r="Q21" s="278"/>
      <c r="R21" s="290">
        <f t="shared" si="4"/>
        <v>45.83106085297635</v>
      </c>
      <c r="S21" s="278"/>
      <c r="T21" s="278"/>
      <c r="U21" s="278"/>
      <c r="V21" s="278"/>
      <c r="W21" s="278"/>
      <c r="X21" s="278"/>
    </row>
    <row r="22" spans="1:24" x14ac:dyDescent="0.2">
      <c r="A22" s="278">
        <v>1908</v>
      </c>
      <c r="B22" s="287">
        <f t="shared" si="5"/>
        <v>90779</v>
      </c>
      <c r="C22" s="275">
        <f t="shared" si="0"/>
        <v>90779</v>
      </c>
      <c r="D22" s="275">
        <v>0</v>
      </c>
      <c r="E22" s="275">
        <v>0</v>
      </c>
      <c r="F22" s="288">
        <f t="shared" si="1"/>
        <v>0</v>
      </c>
      <c r="G22" s="288">
        <f t="shared" si="2"/>
        <v>0</v>
      </c>
      <c r="H22" s="276">
        <f t="shared" si="3"/>
        <v>0</v>
      </c>
      <c r="I22" s="276"/>
      <c r="J22" s="278" t="str">
        <f t="shared" si="6"/>
        <v>1906-08</v>
      </c>
      <c r="K22" s="275">
        <f t="shared" si="7"/>
        <v>224533.5</v>
      </c>
      <c r="L22" s="275">
        <f t="shared" si="8"/>
        <v>31869</v>
      </c>
      <c r="M22" s="275">
        <f t="shared" si="9"/>
        <v>0</v>
      </c>
      <c r="N22" s="289">
        <f t="shared" si="10"/>
        <v>0.14193427706778722</v>
      </c>
      <c r="O22" s="289">
        <f t="shared" si="11"/>
        <v>0</v>
      </c>
      <c r="P22" s="276">
        <f t="shared" si="12"/>
        <v>0</v>
      </c>
      <c r="Q22" s="278"/>
      <c r="R22" s="290">
        <f t="shared" si="4"/>
        <v>45.83106085297635</v>
      </c>
      <c r="S22" s="278"/>
      <c r="T22" s="278"/>
      <c r="U22" s="278"/>
      <c r="V22" s="278"/>
      <c r="W22" s="278"/>
      <c r="X22" s="278"/>
    </row>
    <row r="23" spans="1:24" x14ac:dyDescent="0.2">
      <c r="A23" s="278">
        <v>1909</v>
      </c>
      <c r="B23" s="287">
        <f t="shared" si="5"/>
        <v>90779</v>
      </c>
      <c r="C23" s="275">
        <f t="shared" si="0"/>
        <v>90779</v>
      </c>
      <c r="D23" s="275">
        <v>0</v>
      </c>
      <c r="E23" s="275">
        <v>0</v>
      </c>
      <c r="F23" s="288">
        <f t="shared" si="1"/>
        <v>0</v>
      </c>
      <c r="G23" s="288">
        <f t="shared" si="2"/>
        <v>0</v>
      </c>
      <c r="H23" s="276">
        <f t="shared" si="3"/>
        <v>0</v>
      </c>
      <c r="I23" s="276"/>
      <c r="J23" s="278" t="str">
        <f t="shared" si="6"/>
        <v>1907-09</v>
      </c>
      <c r="K23" s="275">
        <f t="shared" si="7"/>
        <v>256402.5</v>
      </c>
      <c r="L23" s="275">
        <f t="shared" si="8"/>
        <v>31869</v>
      </c>
      <c r="M23" s="275">
        <f t="shared" si="9"/>
        <v>0</v>
      </c>
      <c r="N23" s="289">
        <f t="shared" si="10"/>
        <v>0.12429285985901073</v>
      </c>
      <c r="O23" s="289">
        <f t="shared" si="11"/>
        <v>0</v>
      </c>
      <c r="P23" s="276">
        <f t="shared" si="12"/>
        <v>0</v>
      </c>
      <c r="Q23" s="278"/>
      <c r="R23" s="290">
        <f t="shared" si="4"/>
        <v>45.83106085297635</v>
      </c>
      <c r="S23" s="278"/>
      <c r="T23" s="278"/>
      <c r="U23" s="278"/>
      <c r="V23" s="278"/>
      <c r="W23" s="278"/>
      <c r="X23" s="278"/>
    </row>
    <row r="24" spans="1:24" x14ac:dyDescent="0.2">
      <c r="A24" s="278">
        <v>1910</v>
      </c>
      <c r="B24" s="287">
        <f t="shared" si="5"/>
        <v>90779</v>
      </c>
      <c r="C24" s="275">
        <f t="shared" si="0"/>
        <v>92064</v>
      </c>
      <c r="D24" s="275">
        <v>2570</v>
      </c>
      <c r="E24" s="275">
        <v>0</v>
      </c>
      <c r="F24" s="288">
        <f t="shared" si="1"/>
        <v>2.7915363225582204E-2</v>
      </c>
      <c r="G24" s="288">
        <f t="shared" si="2"/>
        <v>0</v>
      </c>
      <c r="H24" s="276">
        <f t="shared" si="3"/>
        <v>0</v>
      </c>
      <c r="I24" s="276"/>
      <c r="J24" s="278" t="str">
        <f t="shared" si="6"/>
        <v>1908-10</v>
      </c>
      <c r="K24" s="275">
        <f t="shared" si="7"/>
        <v>273622</v>
      </c>
      <c r="L24" s="275">
        <f t="shared" si="8"/>
        <v>2570</v>
      </c>
      <c r="M24" s="275">
        <f t="shared" si="9"/>
        <v>0</v>
      </c>
      <c r="N24" s="289">
        <f t="shared" si="10"/>
        <v>9.3925196073415141E-3</v>
      </c>
      <c r="O24" s="289">
        <f t="shared" si="11"/>
        <v>0</v>
      </c>
      <c r="P24" s="276">
        <f t="shared" si="12"/>
        <v>0</v>
      </c>
      <c r="Q24" s="278"/>
      <c r="R24" s="290">
        <f t="shared" si="4"/>
        <v>45.83106085297635</v>
      </c>
      <c r="S24" s="278"/>
      <c r="T24" s="278"/>
      <c r="U24" s="278"/>
      <c r="V24" s="278"/>
      <c r="W24" s="278"/>
      <c r="X24" s="278"/>
    </row>
    <row r="25" spans="1:24" x14ac:dyDescent="0.2">
      <c r="A25" s="278">
        <v>1911</v>
      </c>
      <c r="B25" s="287">
        <f t="shared" si="5"/>
        <v>93349</v>
      </c>
      <c r="C25" s="275">
        <f t="shared" si="0"/>
        <v>93349</v>
      </c>
      <c r="D25" s="275">
        <v>0</v>
      </c>
      <c r="E25" s="275">
        <v>0</v>
      </c>
      <c r="F25" s="288">
        <f t="shared" si="1"/>
        <v>0</v>
      </c>
      <c r="G25" s="288">
        <f t="shared" si="2"/>
        <v>0</v>
      </c>
      <c r="H25" s="276">
        <f t="shared" si="3"/>
        <v>0</v>
      </c>
      <c r="I25" s="276"/>
      <c r="J25" s="278" t="str">
        <f t="shared" si="6"/>
        <v>1909-11</v>
      </c>
      <c r="K25" s="275">
        <f t="shared" si="7"/>
        <v>276192</v>
      </c>
      <c r="L25" s="275">
        <f t="shared" si="8"/>
        <v>2570</v>
      </c>
      <c r="M25" s="275">
        <f t="shared" si="9"/>
        <v>0</v>
      </c>
      <c r="N25" s="289">
        <f t="shared" si="10"/>
        <v>9.3051210751940675E-3</v>
      </c>
      <c r="O25" s="289">
        <f t="shared" si="11"/>
        <v>0</v>
      </c>
      <c r="P25" s="276">
        <f t="shared" si="12"/>
        <v>0</v>
      </c>
      <c r="Q25" s="278"/>
      <c r="R25" s="290">
        <f t="shared" si="4"/>
        <v>45.83106085297635</v>
      </c>
      <c r="S25" s="278"/>
      <c r="T25" s="278"/>
      <c r="U25" s="278"/>
      <c r="V25" s="278"/>
      <c r="W25" s="278"/>
      <c r="X25" s="278"/>
    </row>
    <row r="26" spans="1:24" x14ac:dyDescent="0.2">
      <c r="A26" s="278">
        <v>1912</v>
      </c>
      <c r="B26" s="287">
        <f t="shared" si="5"/>
        <v>93349</v>
      </c>
      <c r="C26" s="275">
        <f t="shared" si="0"/>
        <v>163044</v>
      </c>
      <c r="D26" s="275">
        <v>139390</v>
      </c>
      <c r="E26" s="275">
        <v>0</v>
      </c>
      <c r="F26" s="288">
        <f t="shared" si="1"/>
        <v>0.85492259758102107</v>
      </c>
      <c r="G26" s="288">
        <f t="shared" si="2"/>
        <v>0</v>
      </c>
      <c r="H26" s="276">
        <f t="shared" si="3"/>
        <v>0</v>
      </c>
      <c r="I26" s="276"/>
      <c r="J26" s="278" t="str">
        <f t="shared" si="6"/>
        <v>1910-12</v>
      </c>
      <c r="K26" s="275">
        <f t="shared" si="7"/>
        <v>348457</v>
      </c>
      <c r="L26" s="275">
        <f t="shared" si="8"/>
        <v>141960</v>
      </c>
      <c r="M26" s="275">
        <f t="shared" si="9"/>
        <v>0</v>
      </c>
      <c r="N26" s="289">
        <f t="shared" si="10"/>
        <v>0.40739603451788886</v>
      </c>
      <c r="O26" s="289">
        <f t="shared" si="11"/>
        <v>0</v>
      </c>
      <c r="P26" s="276">
        <f t="shared" si="12"/>
        <v>0</v>
      </c>
      <c r="Q26" s="278"/>
      <c r="R26" s="290">
        <f t="shared" si="4"/>
        <v>45.83106085297635</v>
      </c>
      <c r="S26" s="278"/>
      <c r="T26" s="278"/>
      <c r="U26" s="278"/>
      <c r="V26" s="278"/>
      <c r="W26" s="278"/>
      <c r="X26" s="278"/>
    </row>
    <row r="27" spans="1:24" x14ac:dyDescent="0.2">
      <c r="A27" s="278">
        <v>1913</v>
      </c>
      <c r="B27" s="287">
        <f t="shared" si="5"/>
        <v>232739</v>
      </c>
      <c r="C27" s="275">
        <f t="shared" si="0"/>
        <v>233764</v>
      </c>
      <c r="D27" s="275">
        <v>2050</v>
      </c>
      <c r="E27" s="275">
        <v>0</v>
      </c>
      <c r="F27" s="288">
        <f t="shared" si="1"/>
        <v>8.7695282421587587E-3</v>
      </c>
      <c r="G27" s="288">
        <f t="shared" si="2"/>
        <v>0</v>
      </c>
      <c r="H27" s="276">
        <f t="shared" si="3"/>
        <v>0</v>
      </c>
      <c r="I27" s="276"/>
      <c r="J27" s="278" t="str">
        <f t="shared" si="6"/>
        <v>1911-13</v>
      </c>
      <c r="K27" s="275">
        <f t="shared" si="7"/>
        <v>490157</v>
      </c>
      <c r="L27" s="275">
        <f t="shared" si="8"/>
        <v>141440</v>
      </c>
      <c r="M27" s="275">
        <f t="shared" si="9"/>
        <v>0</v>
      </c>
      <c r="N27" s="289">
        <f t="shared" si="10"/>
        <v>0.28856060405135497</v>
      </c>
      <c r="O27" s="289">
        <f t="shared" si="11"/>
        <v>0</v>
      </c>
      <c r="P27" s="276">
        <f t="shared" si="12"/>
        <v>0</v>
      </c>
      <c r="Q27" s="278"/>
      <c r="R27" s="290">
        <f t="shared" si="4"/>
        <v>45.83106085297635</v>
      </c>
      <c r="S27" s="278"/>
      <c r="T27" s="278"/>
      <c r="U27" s="278"/>
      <c r="V27" s="278"/>
      <c r="W27" s="278"/>
      <c r="X27" s="278"/>
    </row>
    <row r="28" spans="1:24" x14ac:dyDescent="0.2">
      <c r="A28" s="278">
        <v>1914</v>
      </c>
      <c r="B28" s="287">
        <f t="shared" si="5"/>
        <v>234789</v>
      </c>
      <c r="C28" s="275">
        <f t="shared" si="0"/>
        <v>240169</v>
      </c>
      <c r="D28" s="275">
        <v>10760</v>
      </c>
      <c r="E28" s="275">
        <v>0</v>
      </c>
      <c r="F28" s="288">
        <f t="shared" si="1"/>
        <v>4.4801785409440853E-2</v>
      </c>
      <c r="G28" s="288">
        <f t="shared" si="2"/>
        <v>0</v>
      </c>
      <c r="H28" s="276">
        <f t="shared" si="3"/>
        <v>0</v>
      </c>
      <c r="I28" s="276"/>
      <c r="J28" s="278" t="str">
        <f t="shared" si="6"/>
        <v>1912-14</v>
      </c>
      <c r="K28" s="275">
        <f t="shared" si="7"/>
        <v>636977</v>
      </c>
      <c r="L28" s="275">
        <f t="shared" si="8"/>
        <v>152200</v>
      </c>
      <c r="M28" s="275">
        <f t="shared" si="9"/>
        <v>0</v>
      </c>
      <c r="N28" s="289">
        <f t="shared" si="10"/>
        <v>0.23894112346285659</v>
      </c>
      <c r="O28" s="289">
        <f t="shared" si="11"/>
        <v>0</v>
      </c>
      <c r="P28" s="276">
        <f t="shared" si="12"/>
        <v>0</v>
      </c>
      <c r="Q28" s="278"/>
      <c r="R28" s="290">
        <f t="shared" si="4"/>
        <v>45.83106085297635</v>
      </c>
      <c r="S28" s="278"/>
      <c r="T28" s="278"/>
      <c r="U28" s="278"/>
      <c r="V28" s="278"/>
      <c r="W28" s="278"/>
      <c r="X28" s="278"/>
    </row>
    <row r="29" spans="1:24" x14ac:dyDescent="0.2">
      <c r="A29" s="278">
        <v>1915</v>
      </c>
      <c r="B29" s="287">
        <f t="shared" si="5"/>
        <v>245549</v>
      </c>
      <c r="C29" s="275">
        <f t="shared" si="0"/>
        <v>246874</v>
      </c>
      <c r="D29" s="275">
        <v>2650</v>
      </c>
      <c r="E29" s="275">
        <v>0</v>
      </c>
      <c r="F29" s="288">
        <f t="shared" si="1"/>
        <v>1.0734220695577501E-2</v>
      </c>
      <c r="G29" s="288">
        <f t="shared" si="2"/>
        <v>0</v>
      </c>
      <c r="H29" s="276">
        <f t="shared" si="3"/>
        <v>0</v>
      </c>
      <c r="I29" s="276"/>
      <c r="J29" s="278" t="str">
        <f t="shared" si="6"/>
        <v>1913-15</v>
      </c>
      <c r="K29" s="275">
        <f t="shared" si="7"/>
        <v>720807</v>
      </c>
      <c r="L29" s="275">
        <f t="shared" si="8"/>
        <v>15460</v>
      </c>
      <c r="M29" s="275">
        <f t="shared" si="9"/>
        <v>0</v>
      </c>
      <c r="N29" s="289">
        <f t="shared" si="10"/>
        <v>2.1448182384466299E-2</v>
      </c>
      <c r="O29" s="289">
        <f t="shared" si="11"/>
        <v>0</v>
      </c>
      <c r="P29" s="276">
        <f t="shared" si="12"/>
        <v>0</v>
      </c>
      <c r="Q29" s="278"/>
      <c r="R29" s="290">
        <f t="shared" si="4"/>
        <v>45.83106085297635</v>
      </c>
      <c r="S29" s="278"/>
      <c r="T29" s="278"/>
      <c r="U29" s="278"/>
      <c r="V29" s="278"/>
      <c r="W29" s="278"/>
      <c r="X29" s="278"/>
    </row>
    <row r="30" spans="1:24" x14ac:dyDescent="0.2">
      <c r="A30" s="278">
        <v>1916</v>
      </c>
      <c r="B30" s="287">
        <f t="shared" si="5"/>
        <v>248199</v>
      </c>
      <c r="C30" s="275">
        <f t="shared" si="0"/>
        <v>249199</v>
      </c>
      <c r="D30" s="275">
        <v>2000</v>
      </c>
      <c r="E30" s="275">
        <v>0</v>
      </c>
      <c r="F30" s="288">
        <f t="shared" si="1"/>
        <v>8.0257143889020423E-3</v>
      </c>
      <c r="G30" s="288">
        <f t="shared" si="2"/>
        <v>0</v>
      </c>
      <c r="H30" s="276">
        <f t="shared" si="3"/>
        <v>0</v>
      </c>
      <c r="I30" s="276"/>
      <c r="J30" s="278" t="str">
        <f t="shared" si="6"/>
        <v>1914-16</v>
      </c>
      <c r="K30" s="275">
        <f t="shared" si="7"/>
        <v>736242</v>
      </c>
      <c r="L30" s="275">
        <f t="shared" si="8"/>
        <v>15410</v>
      </c>
      <c r="M30" s="275">
        <f t="shared" si="9"/>
        <v>0</v>
      </c>
      <c r="N30" s="289">
        <f t="shared" si="10"/>
        <v>2.0930617921824619E-2</v>
      </c>
      <c r="O30" s="289">
        <f t="shared" si="11"/>
        <v>0</v>
      </c>
      <c r="P30" s="276">
        <f t="shared" si="12"/>
        <v>0</v>
      </c>
      <c r="Q30" s="278"/>
      <c r="R30" s="290">
        <f t="shared" si="4"/>
        <v>45.83106085297635</v>
      </c>
      <c r="S30" s="278"/>
      <c r="T30" s="278"/>
      <c r="U30" s="278"/>
      <c r="V30" s="278"/>
      <c r="W30" s="278"/>
      <c r="X30" s="278"/>
    </row>
    <row r="31" spans="1:24" x14ac:dyDescent="0.2">
      <c r="A31" s="278">
        <v>1917</v>
      </c>
      <c r="B31" s="287">
        <f t="shared" si="5"/>
        <v>250199</v>
      </c>
      <c r="C31" s="275">
        <f t="shared" si="0"/>
        <v>250199</v>
      </c>
      <c r="D31" s="275">
        <v>0</v>
      </c>
      <c r="E31" s="275">
        <v>0</v>
      </c>
      <c r="F31" s="288">
        <f t="shared" si="1"/>
        <v>0</v>
      </c>
      <c r="G31" s="288">
        <f t="shared" si="2"/>
        <v>0</v>
      </c>
      <c r="H31" s="276">
        <f t="shared" si="3"/>
        <v>0</v>
      </c>
      <c r="I31" s="276"/>
      <c r="J31" s="278" t="str">
        <f t="shared" si="6"/>
        <v>1915-17</v>
      </c>
      <c r="K31" s="275">
        <f t="shared" si="7"/>
        <v>746272</v>
      </c>
      <c r="L31" s="275">
        <f t="shared" si="8"/>
        <v>4650</v>
      </c>
      <c r="M31" s="275">
        <f t="shared" si="9"/>
        <v>0</v>
      </c>
      <c r="N31" s="289">
        <f t="shared" si="10"/>
        <v>6.230972085245058E-3</v>
      </c>
      <c r="O31" s="289">
        <f t="shared" si="11"/>
        <v>0</v>
      </c>
      <c r="P31" s="276">
        <f t="shared" si="12"/>
        <v>0</v>
      </c>
      <c r="Q31" s="278"/>
      <c r="R31" s="290">
        <f t="shared" si="4"/>
        <v>45.83106085297635</v>
      </c>
      <c r="S31" s="278"/>
      <c r="T31" s="278"/>
      <c r="U31" s="278"/>
      <c r="V31" s="278"/>
      <c r="W31" s="278"/>
      <c r="X31" s="278"/>
    </row>
    <row r="32" spans="1:24" x14ac:dyDescent="0.2">
      <c r="A32" s="278">
        <v>1918</v>
      </c>
      <c r="B32" s="287">
        <f t="shared" si="5"/>
        <v>250199</v>
      </c>
      <c r="C32" s="275">
        <f t="shared" si="0"/>
        <v>250199</v>
      </c>
      <c r="D32" s="275">
        <v>0</v>
      </c>
      <c r="E32" s="275">
        <v>0</v>
      </c>
      <c r="F32" s="288">
        <f t="shared" si="1"/>
        <v>0</v>
      </c>
      <c r="G32" s="288">
        <f t="shared" si="2"/>
        <v>0</v>
      </c>
      <c r="H32" s="276">
        <f t="shared" si="3"/>
        <v>0</v>
      </c>
      <c r="I32" s="276"/>
      <c r="J32" s="278" t="str">
        <f t="shared" si="6"/>
        <v>1916-18</v>
      </c>
      <c r="K32" s="275">
        <f t="shared" si="7"/>
        <v>749597</v>
      </c>
      <c r="L32" s="275">
        <f t="shared" si="8"/>
        <v>2000</v>
      </c>
      <c r="M32" s="275">
        <f t="shared" si="9"/>
        <v>0</v>
      </c>
      <c r="N32" s="289">
        <f t="shared" si="10"/>
        <v>2.6681003259084548E-3</v>
      </c>
      <c r="O32" s="289">
        <f t="shared" si="11"/>
        <v>0</v>
      </c>
      <c r="P32" s="276">
        <f t="shared" si="12"/>
        <v>0</v>
      </c>
      <c r="Q32" s="278"/>
      <c r="R32" s="290">
        <f t="shared" si="4"/>
        <v>45.83106085297635</v>
      </c>
      <c r="S32" s="278"/>
      <c r="T32" s="278"/>
      <c r="U32" s="278"/>
      <c r="V32" s="278"/>
      <c r="W32" s="278"/>
      <c r="X32" s="278"/>
    </row>
    <row r="33" spans="1:24" x14ac:dyDescent="0.2">
      <c r="A33" s="278">
        <v>1919</v>
      </c>
      <c r="B33" s="287">
        <f t="shared" si="5"/>
        <v>250199</v>
      </c>
      <c r="C33" s="275">
        <f t="shared" si="0"/>
        <v>250199</v>
      </c>
      <c r="D33" s="275">
        <v>0</v>
      </c>
      <c r="E33" s="275">
        <v>0</v>
      </c>
      <c r="F33" s="288">
        <f t="shared" si="1"/>
        <v>0</v>
      </c>
      <c r="G33" s="288">
        <f t="shared" si="2"/>
        <v>0</v>
      </c>
      <c r="H33" s="276">
        <f t="shared" si="3"/>
        <v>0</v>
      </c>
      <c r="I33" s="276"/>
      <c r="J33" s="278" t="str">
        <f t="shared" si="6"/>
        <v>1917-19</v>
      </c>
      <c r="K33" s="275">
        <f t="shared" si="7"/>
        <v>750597</v>
      </c>
      <c r="L33" s="275">
        <f t="shared" si="8"/>
        <v>0</v>
      </c>
      <c r="M33" s="275">
        <f t="shared" si="9"/>
        <v>0</v>
      </c>
      <c r="N33" s="289">
        <f t="shared" si="10"/>
        <v>0</v>
      </c>
      <c r="O33" s="289">
        <f t="shared" si="11"/>
        <v>0</v>
      </c>
      <c r="P33" s="276">
        <f t="shared" si="12"/>
        <v>0</v>
      </c>
      <c r="Q33" s="278"/>
      <c r="R33" s="290">
        <f t="shared" si="4"/>
        <v>45.83106085297635</v>
      </c>
      <c r="S33" s="278"/>
      <c r="T33" s="278"/>
      <c r="U33" s="278"/>
      <c r="V33" s="278"/>
      <c r="W33" s="278"/>
      <c r="X33" s="278"/>
    </row>
    <row r="34" spans="1:24" x14ac:dyDescent="0.2">
      <c r="A34" s="278">
        <v>1920</v>
      </c>
      <c r="B34" s="287">
        <f t="shared" si="5"/>
        <v>250199</v>
      </c>
      <c r="C34" s="275">
        <f t="shared" si="0"/>
        <v>257523</v>
      </c>
      <c r="D34" s="275">
        <v>14648</v>
      </c>
      <c r="E34" s="275">
        <v>0</v>
      </c>
      <c r="F34" s="288">
        <f t="shared" si="1"/>
        <v>5.6880356317688126E-2</v>
      </c>
      <c r="G34" s="288">
        <f t="shared" si="2"/>
        <v>0</v>
      </c>
      <c r="H34" s="276">
        <f t="shared" si="3"/>
        <v>0</v>
      </c>
      <c r="I34" s="276"/>
      <c r="J34" s="278" t="str">
        <f t="shared" si="6"/>
        <v>1918-20</v>
      </c>
      <c r="K34" s="275">
        <f t="shared" si="7"/>
        <v>757921</v>
      </c>
      <c r="L34" s="275">
        <f t="shared" si="8"/>
        <v>14648</v>
      </c>
      <c r="M34" s="275">
        <f t="shared" si="9"/>
        <v>0</v>
      </c>
      <c r="N34" s="289">
        <f t="shared" si="10"/>
        <v>1.9326552503493109E-2</v>
      </c>
      <c r="O34" s="289">
        <f t="shared" si="11"/>
        <v>0</v>
      </c>
      <c r="P34" s="276">
        <f t="shared" si="12"/>
        <v>0</v>
      </c>
      <c r="Q34" s="278"/>
      <c r="R34" s="290">
        <f t="shared" si="4"/>
        <v>45.83106085297635</v>
      </c>
      <c r="S34" s="278"/>
      <c r="T34" s="278"/>
      <c r="U34" s="278"/>
      <c r="V34" s="278"/>
      <c r="W34" s="278"/>
      <c r="X34" s="278"/>
    </row>
    <row r="35" spans="1:24" x14ac:dyDescent="0.2">
      <c r="A35" s="278">
        <v>1921</v>
      </c>
      <c r="B35" s="287">
        <f t="shared" si="5"/>
        <v>264847</v>
      </c>
      <c r="C35" s="275">
        <f t="shared" si="0"/>
        <v>264847</v>
      </c>
      <c r="D35" s="275">
        <v>0</v>
      </c>
      <c r="E35" s="275">
        <v>0</v>
      </c>
      <c r="F35" s="288">
        <f t="shared" si="1"/>
        <v>0</v>
      </c>
      <c r="G35" s="288">
        <f t="shared" si="2"/>
        <v>0</v>
      </c>
      <c r="H35" s="276">
        <f t="shared" si="3"/>
        <v>0</v>
      </c>
      <c r="I35" s="276"/>
      <c r="J35" s="278" t="str">
        <f t="shared" si="6"/>
        <v>1919-21</v>
      </c>
      <c r="K35" s="275">
        <f t="shared" si="7"/>
        <v>772569</v>
      </c>
      <c r="L35" s="275">
        <f t="shared" si="8"/>
        <v>14648</v>
      </c>
      <c r="M35" s="275">
        <f t="shared" si="9"/>
        <v>0</v>
      </c>
      <c r="N35" s="289">
        <f t="shared" si="10"/>
        <v>1.896011877256271E-2</v>
      </c>
      <c r="O35" s="289">
        <f t="shared" si="11"/>
        <v>0</v>
      </c>
      <c r="P35" s="276">
        <f t="shared" si="12"/>
        <v>0</v>
      </c>
      <c r="Q35" s="278"/>
      <c r="R35" s="290">
        <f t="shared" si="4"/>
        <v>45.83106085297635</v>
      </c>
      <c r="S35" s="278"/>
      <c r="T35" s="278"/>
      <c r="U35" s="278"/>
      <c r="V35" s="278"/>
      <c r="W35" s="278"/>
      <c r="X35" s="278"/>
    </row>
    <row r="36" spans="1:24" x14ac:dyDescent="0.2">
      <c r="A36" s="278">
        <v>1922</v>
      </c>
      <c r="B36" s="287">
        <f t="shared" si="5"/>
        <v>264847</v>
      </c>
      <c r="C36" s="275">
        <f t="shared" si="0"/>
        <v>273091</v>
      </c>
      <c r="D36" s="275">
        <v>16488</v>
      </c>
      <c r="E36" s="275">
        <v>0</v>
      </c>
      <c r="F36" s="288">
        <f t="shared" si="1"/>
        <v>6.0375479235859106E-2</v>
      </c>
      <c r="G36" s="288">
        <f t="shared" si="2"/>
        <v>0</v>
      </c>
      <c r="H36" s="276">
        <f t="shared" si="3"/>
        <v>0</v>
      </c>
      <c r="I36" s="276"/>
      <c r="J36" s="278" t="str">
        <f t="shared" si="6"/>
        <v>1920-22</v>
      </c>
      <c r="K36" s="275">
        <f t="shared" si="7"/>
        <v>795461</v>
      </c>
      <c r="L36" s="275">
        <f t="shared" si="8"/>
        <v>31136</v>
      </c>
      <c r="M36" s="275">
        <f t="shared" si="9"/>
        <v>0</v>
      </c>
      <c r="N36" s="289">
        <f t="shared" si="10"/>
        <v>3.9142082389960038E-2</v>
      </c>
      <c r="O36" s="289">
        <f t="shared" si="11"/>
        <v>0</v>
      </c>
      <c r="P36" s="276">
        <f t="shared" si="12"/>
        <v>0</v>
      </c>
      <c r="Q36" s="278"/>
      <c r="R36" s="290">
        <f t="shared" si="4"/>
        <v>45.83106085297635</v>
      </c>
      <c r="S36" s="278"/>
      <c r="T36" s="278"/>
      <c r="U36" s="278"/>
      <c r="V36" s="278"/>
      <c r="W36" s="278"/>
      <c r="X36" s="278"/>
    </row>
    <row r="37" spans="1:24" x14ac:dyDescent="0.2">
      <c r="A37" s="278">
        <v>1923</v>
      </c>
      <c r="B37" s="287">
        <f t="shared" si="5"/>
        <v>281335</v>
      </c>
      <c r="C37" s="275">
        <f t="shared" si="0"/>
        <v>281335</v>
      </c>
      <c r="D37" s="275">
        <v>0</v>
      </c>
      <c r="E37" s="275">
        <v>0</v>
      </c>
      <c r="F37" s="288">
        <f t="shared" si="1"/>
        <v>0</v>
      </c>
      <c r="G37" s="288">
        <f t="shared" si="2"/>
        <v>0</v>
      </c>
      <c r="H37" s="276">
        <f t="shared" si="3"/>
        <v>0</v>
      </c>
      <c r="I37" s="276"/>
      <c r="J37" s="278" t="str">
        <f t="shared" si="6"/>
        <v>1921-23</v>
      </c>
      <c r="K37" s="275">
        <f t="shared" si="7"/>
        <v>819273</v>
      </c>
      <c r="L37" s="275">
        <f t="shared" si="8"/>
        <v>16488</v>
      </c>
      <c r="M37" s="275">
        <f t="shared" si="9"/>
        <v>0</v>
      </c>
      <c r="N37" s="289">
        <f t="shared" si="10"/>
        <v>2.0125159745286371E-2</v>
      </c>
      <c r="O37" s="289">
        <f t="shared" si="11"/>
        <v>0</v>
      </c>
      <c r="P37" s="276">
        <f t="shared" si="12"/>
        <v>0</v>
      </c>
      <c r="Q37" s="278"/>
      <c r="R37" s="290">
        <f t="shared" si="4"/>
        <v>45.83106085297635</v>
      </c>
      <c r="S37" s="278"/>
      <c r="T37" s="278"/>
      <c r="U37" s="278"/>
      <c r="V37" s="278"/>
      <c r="W37" s="278"/>
      <c r="X37" s="278"/>
    </row>
    <row r="38" spans="1:24" x14ac:dyDescent="0.2">
      <c r="A38" s="278">
        <v>1924</v>
      </c>
      <c r="B38" s="287">
        <f t="shared" si="5"/>
        <v>281335</v>
      </c>
      <c r="C38" s="275">
        <f t="shared" si="0"/>
        <v>295085</v>
      </c>
      <c r="D38" s="275">
        <v>27500</v>
      </c>
      <c r="E38" s="275">
        <v>0</v>
      </c>
      <c r="F38" s="288">
        <f t="shared" si="1"/>
        <v>9.31934866224986E-2</v>
      </c>
      <c r="G38" s="288">
        <f t="shared" si="2"/>
        <v>0</v>
      </c>
      <c r="H38" s="276">
        <f t="shared" si="3"/>
        <v>0</v>
      </c>
      <c r="I38" s="276"/>
      <c r="J38" s="278" t="str">
        <f t="shared" si="6"/>
        <v>1922-24</v>
      </c>
      <c r="K38" s="275">
        <f t="shared" si="7"/>
        <v>849511</v>
      </c>
      <c r="L38" s="275">
        <f t="shared" si="8"/>
        <v>43988</v>
      </c>
      <c r="M38" s="275">
        <f t="shared" si="9"/>
        <v>0</v>
      </c>
      <c r="N38" s="289">
        <f t="shared" si="10"/>
        <v>5.1780377181696292E-2</v>
      </c>
      <c r="O38" s="289">
        <f t="shared" si="11"/>
        <v>0</v>
      </c>
      <c r="P38" s="276">
        <f t="shared" si="12"/>
        <v>0</v>
      </c>
      <c r="Q38" s="278"/>
      <c r="R38" s="290">
        <f t="shared" si="4"/>
        <v>45.83106085297635</v>
      </c>
      <c r="S38" s="278"/>
      <c r="T38" s="278"/>
      <c r="U38" s="278"/>
      <c r="V38" s="278"/>
      <c r="W38" s="278"/>
      <c r="X38" s="278"/>
    </row>
    <row r="39" spans="1:24" x14ac:dyDescent="0.2">
      <c r="A39" s="278">
        <v>1925</v>
      </c>
      <c r="B39" s="287">
        <f t="shared" si="5"/>
        <v>308835</v>
      </c>
      <c r="C39" s="275">
        <f t="shared" si="0"/>
        <v>320492.5</v>
      </c>
      <c r="D39" s="275">
        <v>23315</v>
      </c>
      <c r="E39" s="275">
        <v>0</v>
      </c>
      <c r="F39" s="288">
        <f t="shared" si="1"/>
        <v>7.2747412185932586E-2</v>
      </c>
      <c r="G39" s="288">
        <f t="shared" si="2"/>
        <v>0</v>
      </c>
      <c r="H39" s="276">
        <f t="shared" si="3"/>
        <v>0</v>
      </c>
      <c r="I39" s="276"/>
      <c r="J39" s="278" t="str">
        <f t="shared" si="6"/>
        <v>1923-25</v>
      </c>
      <c r="K39" s="275">
        <f t="shared" si="7"/>
        <v>896912.5</v>
      </c>
      <c r="L39" s="275">
        <f t="shared" si="8"/>
        <v>50815</v>
      </c>
      <c r="M39" s="275">
        <f t="shared" si="9"/>
        <v>0</v>
      </c>
      <c r="N39" s="289">
        <f t="shared" si="10"/>
        <v>5.6655470851392976E-2</v>
      </c>
      <c r="O39" s="289">
        <f t="shared" si="11"/>
        <v>0</v>
      </c>
      <c r="P39" s="276">
        <f t="shared" si="12"/>
        <v>0</v>
      </c>
      <c r="Q39" s="278"/>
      <c r="R39" s="290">
        <f t="shared" si="4"/>
        <v>45.83106085297635</v>
      </c>
      <c r="S39" s="278"/>
      <c r="T39" s="278"/>
      <c r="U39" s="278"/>
      <c r="V39" s="278"/>
      <c r="W39" s="278"/>
      <c r="X39" s="278"/>
    </row>
    <row r="40" spans="1:24" x14ac:dyDescent="0.2">
      <c r="A40" s="278">
        <v>1926</v>
      </c>
      <c r="B40" s="287">
        <f t="shared" si="5"/>
        <v>332150</v>
      </c>
      <c r="C40" s="275">
        <f t="shared" si="0"/>
        <v>337431</v>
      </c>
      <c r="D40" s="275">
        <v>10562</v>
      </c>
      <c r="E40" s="275">
        <v>0</v>
      </c>
      <c r="F40" s="288">
        <f t="shared" si="1"/>
        <v>3.1301214174157085E-2</v>
      </c>
      <c r="G40" s="288">
        <f t="shared" si="2"/>
        <v>0</v>
      </c>
      <c r="H40" s="276">
        <f t="shared" si="3"/>
        <v>0</v>
      </c>
      <c r="I40" s="276"/>
      <c r="J40" s="278" t="str">
        <f t="shared" si="6"/>
        <v>1924-26</v>
      </c>
      <c r="K40" s="275">
        <f t="shared" si="7"/>
        <v>953008.5</v>
      </c>
      <c r="L40" s="275">
        <f t="shared" si="8"/>
        <v>61377</v>
      </c>
      <c r="M40" s="275">
        <f t="shared" si="9"/>
        <v>0</v>
      </c>
      <c r="N40" s="289">
        <f t="shared" si="10"/>
        <v>6.4403412981101429E-2</v>
      </c>
      <c r="O40" s="289">
        <f t="shared" si="11"/>
        <v>0</v>
      </c>
      <c r="P40" s="276">
        <f t="shared" si="12"/>
        <v>0</v>
      </c>
      <c r="Q40" s="278"/>
      <c r="R40" s="290">
        <f t="shared" si="4"/>
        <v>45.83106085297635</v>
      </c>
      <c r="S40" s="278"/>
      <c r="T40" s="278"/>
      <c r="U40" s="278"/>
      <c r="V40" s="278"/>
      <c r="W40" s="278"/>
      <c r="X40" s="278"/>
    </row>
    <row r="41" spans="1:24" x14ac:dyDescent="0.2">
      <c r="A41" s="278">
        <v>1927</v>
      </c>
      <c r="B41" s="287">
        <f t="shared" si="5"/>
        <v>342712</v>
      </c>
      <c r="C41" s="275">
        <f t="shared" si="0"/>
        <v>346093</v>
      </c>
      <c r="D41" s="275">
        <v>6762</v>
      </c>
      <c r="E41" s="275">
        <v>0</v>
      </c>
      <c r="F41" s="288">
        <f t="shared" si="1"/>
        <v>1.953810103064783E-2</v>
      </c>
      <c r="G41" s="288">
        <f t="shared" si="2"/>
        <v>0</v>
      </c>
      <c r="H41" s="276">
        <f t="shared" si="3"/>
        <v>0</v>
      </c>
      <c r="I41" s="276"/>
      <c r="J41" s="278" t="str">
        <f t="shared" si="6"/>
        <v>1925-27</v>
      </c>
      <c r="K41" s="275">
        <f t="shared" si="7"/>
        <v>1004016.5</v>
      </c>
      <c r="L41" s="275">
        <f t="shared" si="8"/>
        <v>40639</v>
      </c>
      <c r="M41" s="275">
        <f t="shared" si="9"/>
        <v>0</v>
      </c>
      <c r="N41" s="289">
        <f t="shared" si="10"/>
        <v>4.0476426433230926E-2</v>
      </c>
      <c r="O41" s="289">
        <f t="shared" si="11"/>
        <v>0</v>
      </c>
      <c r="P41" s="276">
        <f t="shared" si="12"/>
        <v>0</v>
      </c>
      <c r="Q41" s="278"/>
      <c r="R41" s="290">
        <f t="shared" si="4"/>
        <v>45.83106085297635</v>
      </c>
      <c r="S41" s="278"/>
      <c r="T41" s="278"/>
      <c r="U41" s="278"/>
      <c r="V41" s="278"/>
      <c r="W41" s="278"/>
      <c r="X41" s="278"/>
    </row>
    <row r="42" spans="1:24" x14ac:dyDescent="0.2">
      <c r="A42" s="278">
        <v>1928</v>
      </c>
      <c r="B42" s="287">
        <f t="shared" si="5"/>
        <v>349474</v>
      </c>
      <c r="C42" s="275">
        <f t="shared" si="0"/>
        <v>349474</v>
      </c>
      <c r="D42" s="275">
        <v>0</v>
      </c>
      <c r="E42" s="275">
        <v>0</v>
      </c>
      <c r="F42" s="288">
        <f t="shared" si="1"/>
        <v>0</v>
      </c>
      <c r="G42" s="288">
        <f t="shared" si="2"/>
        <v>0</v>
      </c>
      <c r="H42" s="276">
        <f t="shared" si="3"/>
        <v>0</v>
      </c>
      <c r="I42" s="276"/>
      <c r="J42" s="278" t="str">
        <f t="shared" si="6"/>
        <v>1926-28</v>
      </c>
      <c r="K42" s="275">
        <f t="shared" si="7"/>
        <v>1032998</v>
      </c>
      <c r="L42" s="275">
        <f t="shared" si="8"/>
        <v>17324</v>
      </c>
      <c r="M42" s="275">
        <f t="shared" si="9"/>
        <v>0</v>
      </c>
      <c r="N42" s="289">
        <f t="shared" si="10"/>
        <v>1.6770603621691426E-2</v>
      </c>
      <c r="O42" s="289">
        <f t="shared" si="11"/>
        <v>0</v>
      </c>
      <c r="P42" s="276">
        <f t="shared" si="12"/>
        <v>0</v>
      </c>
      <c r="Q42" s="278"/>
      <c r="R42" s="290">
        <f t="shared" si="4"/>
        <v>45.83106085297635</v>
      </c>
      <c r="S42" s="278"/>
      <c r="T42" s="278"/>
      <c r="U42" s="278"/>
      <c r="V42" s="278"/>
      <c r="W42" s="278"/>
      <c r="X42" s="278"/>
    </row>
    <row r="43" spans="1:24" x14ac:dyDescent="0.2">
      <c r="A43" s="278">
        <v>1929</v>
      </c>
      <c r="B43" s="287">
        <f t="shared" si="5"/>
        <v>349474</v>
      </c>
      <c r="C43" s="275">
        <f t="shared" si="0"/>
        <v>349699</v>
      </c>
      <c r="D43" s="275">
        <v>450</v>
      </c>
      <c r="E43" s="275">
        <v>0</v>
      </c>
      <c r="F43" s="288">
        <f t="shared" si="1"/>
        <v>1.2868209517327759E-3</v>
      </c>
      <c r="G43" s="288">
        <f t="shared" si="2"/>
        <v>0</v>
      </c>
      <c r="H43" s="276">
        <f t="shared" si="3"/>
        <v>0</v>
      </c>
      <c r="I43" s="276"/>
      <c r="J43" s="278" t="str">
        <f t="shared" si="6"/>
        <v>1927-29</v>
      </c>
      <c r="K43" s="275">
        <f t="shared" si="7"/>
        <v>1045266</v>
      </c>
      <c r="L43" s="275">
        <f t="shared" si="8"/>
        <v>7212</v>
      </c>
      <c r="M43" s="275">
        <f t="shared" si="9"/>
        <v>0</v>
      </c>
      <c r="N43" s="289">
        <f t="shared" si="10"/>
        <v>6.8996791247395396E-3</v>
      </c>
      <c r="O43" s="289">
        <f t="shared" si="11"/>
        <v>0</v>
      </c>
      <c r="P43" s="276">
        <f t="shared" si="12"/>
        <v>0</v>
      </c>
      <c r="Q43" s="278"/>
      <c r="R43" s="290">
        <f t="shared" si="4"/>
        <v>45.83106085297635</v>
      </c>
      <c r="S43" s="278"/>
      <c r="T43" s="278"/>
      <c r="U43" s="278"/>
      <c r="V43" s="278"/>
      <c r="W43" s="278"/>
      <c r="X43" s="278"/>
    </row>
    <row r="44" spans="1:24" x14ac:dyDescent="0.2">
      <c r="A44" s="278">
        <v>1930</v>
      </c>
      <c r="B44" s="287">
        <f t="shared" si="5"/>
        <v>349924</v>
      </c>
      <c r="C44" s="275">
        <f t="shared" si="0"/>
        <v>360243</v>
      </c>
      <c r="D44" s="275">
        <v>20638</v>
      </c>
      <c r="E44" s="275">
        <v>0</v>
      </c>
      <c r="F44" s="288">
        <f t="shared" si="1"/>
        <v>5.7289107630127442E-2</v>
      </c>
      <c r="G44" s="288">
        <f t="shared" si="2"/>
        <v>0</v>
      </c>
      <c r="H44" s="276">
        <f t="shared" si="3"/>
        <v>0</v>
      </c>
      <c r="I44" s="276"/>
      <c r="J44" s="278" t="str">
        <f t="shared" si="6"/>
        <v>1928-30</v>
      </c>
      <c r="K44" s="275">
        <f t="shared" si="7"/>
        <v>1059416</v>
      </c>
      <c r="L44" s="275">
        <f t="shared" si="8"/>
        <v>21088</v>
      </c>
      <c r="M44" s="275">
        <f t="shared" si="9"/>
        <v>0</v>
      </c>
      <c r="N44" s="289">
        <f t="shared" si="10"/>
        <v>1.9905306319708216E-2</v>
      </c>
      <c r="O44" s="289">
        <f t="shared" si="11"/>
        <v>0</v>
      </c>
      <c r="P44" s="276">
        <f t="shared" si="12"/>
        <v>0</v>
      </c>
      <c r="Q44" s="278"/>
      <c r="R44" s="290">
        <f t="shared" si="4"/>
        <v>45.83106085297635</v>
      </c>
      <c r="S44" s="278"/>
      <c r="T44" s="278"/>
      <c r="U44" s="278"/>
      <c r="V44" s="278"/>
      <c r="W44" s="278"/>
      <c r="X44" s="278"/>
    </row>
    <row r="45" spans="1:24" x14ac:dyDescent="0.2">
      <c r="A45" s="278">
        <v>1931</v>
      </c>
      <c r="B45" s="287">
        <f t="shared" si="5"/>
        <v>370562</v>
      </c>
      <c r="C45" s="275">
        <f t="shared" si="0"/>
        <v>370562</v>
      </c>
      <c r="D45" s="275">
        <v>0</v>
      </c>
      <c r="E45" s="275">
        <v>0</v>
      </c>
      <c r="F45" s="288">
        <f t="shared" si="1"/>
        <v>0</v>
      </c>
      <c r="G45" s="288">
        <f t="shared" si="2"/>
        <v>0</v>
      </c>
      <c r="H45" s="276">
        <f t="shared" si="3"/>
        <v>0</v>
      </c>
      <c r="I45" s="276"/>
      <c r="J45" s="278" t="str">
        <f t="shared" si="6"/>
        <v>1929-31</v>
      </c>
      <c r="K45" s="275">
        <f t="shared" si="7"/>
        <v>1080504</v>
      </c>
      <c r="L45" s="275">
        <f t="shared" si="8"/>
        <v>21088</v>
      </c>
      <c r="M45" s="275">
        <f t="shared" si="9"/>
        <v>0</v>
      </c>
      <c r="N45" s="289">
        <f t="shared" si="10"/>
        <v>1.9516818077489763E-2</v>
      </c>
      <c r="O45" s="289">
        <f t="shared" si="11"/>
        <v>0</v>
      </c>
      <c r="P45" s="276">
        <f t="shared" si="12"/>
        <v>0</v>
      </c>
      <c r="Q45" s="278"/>
      <c r="R45" s="290">
        <f t="shared" si="4"/>
        <v>45.83106085297635</v>
      </c>
      <c r="S45" s="278"/>
      <c r="T45" s="278"/>
      <c r="U45" s="278"/>
      <c r="V45" s="278"/>
      <c r="W45" s="278"/>
      <c r="X45" s="278"/>
    </row>
    <row r="46" spans="1:24" x14ac:dyDescent="0.2">
      <c r="A46" s="278">
        <v>1932</v>
      </c>
      <c r="B46" s="287">
        <f t="shared" si="5"/>
        <v>370562</v>
      </c>
      <c r="C46" s="275">
        <f t="shared" ref="C46:C77" si="13">(B46+B46+D46-E46)/2</f>
        <v>370562</v>
      </c>
      <c r="D46" s="275">
        <v>0</v>
      </c>
      <c r="E46" s="275">
        <v>0</v>
      </c>
      <c r="F46" s="288">
        <f t="shared" ref="F46:F77" si="14">IF(C46=0,0,D46/C46)</f>
        <v>0</v>
      </c>
      <c r="G46" s="288">
        <f t="shared" ref="G46:G77" si="15">IF(C46=0,0,E46/C46)</f>
        <v>0</v>
      </c>
      <c r="H46" s="276">
        <f t="shared" ref="H46:H77" si="16">IF(F46*G46&lt;=0,0,1/(SQRT(F46*G46)))</f>
        <v>0</v>
      </c>
      <c r="I46" s="276"/>
      <c r="J46" s="278" t="str">
        <f t="shared" si="6"/>
        <v>1930-32</v>
      </c>
      <c r="K46" s="275">
        <f t="shared" si="7"/>
        <v>1101367</v>
      </c>
      <c r="L46" s="275">
        <f t="shared" si="8"/>
        <v>20638</v>
      </c>
      <c r="M46" s="275">
        <f t="shared" si="9"/>
        <v>0</v>
      </c>
      <c r="N46" s="289">
        <f t="shared" si="10"/>
        <v>1.87385312979234E-2</v>
      </c>
      <c r="O46" s="289">
        <f t="shared" si="11"/>
        <v>0</v>
      </c>
      <c r="P46" s="276">
        <f t="shared" si="12"/>
        <v>0</v>
      </c>
      <c r="Q46" s="278"/>
      <c r="R46" s="290">
        <f t="shared" ref="R46:R77" si="17">+$H$127</f>
        <v>45.83106085297635</v>
      </c>
      <c r="S46" s="278"/>
      <c r="T46" s="278"/>
      <c r="U46" s="278"/>
      <c r="V46" s="278"/>
      <c r="W46" s="278"/>
      <c r="X46" s="278"/>
    </row>
    <row r="47" spans="1:24" x14ac:dyDescent="0.2">
      <c r="A47" s="278">
        <v>1933</v>
      </c>
      <c r="B47" s="287">
        <f t="shared" ref="B47:B78" si="18">+B46+D46-E46</f>
        <v>370562</v>
      </c>
      <c r="C47" s="275">
        <f t="shared" si="13"/>
        <v>370562</v>
      </c>
      <c r="D47" s="275">
        <v>0</v>
      </c>
      <c r="E47" s="275">
        <v>0</v>
      </c>
      <c r="F47" s="288">
        <f t="shared" si="14"/>
        <v>0</v>
      </c>
      <c r="G47" s="288">
        <f t="shared" si="15"/>
        <v>0</v>
      </c>
      <c r="H47" s="276">
        <f t="shared" si="16"/>
        <v>0</v>
      </c>
      <c r="I47" s="276"/>
      <c r="J47" s="278" t="str">
        <f t="shared" si="6"/>
        <v>1931-33</v>
      </c>
      <c r="K47" s="275">
        <f t="shared" si="7"/>
        <v>1111686</v>
      </c>
      <c r="L47" s="275">
        <f t="shared" si="8"/>
        <v>0</v>
      </c>
      <c r="M47" s="275">
        <f t="shared" si="9"/>
        <v>0</v>
      </c>
      <c r="N47" s="289">
        <f t="shared" si="10"/>
        <v>0</v>
      </c>
      <c r="O47" s="289">
        <f t="shared" si="11"/>
        <v>0</v>
      </c>
      <c r="P47" s="276">
        <f t="shared" si="12"/>
        <v>0</v>
      </c>
      <c r="Q47" s="278"/>
      <c r="R47" s="290">
        <f t="shared" si="17"/>
        <v>45.83106085297635</v>
      </c>
      <c r="S47" s="278"/>
      <c r="T47" s="278"/>
      <c r="U47" s="278"/>
      <c r="V47" s="278"/>
      <c r="W47" s="278"/>
      <c r="X47" s="278"/>
    </row>
    <row r="48" spans="1:24" x14ac:dyDescent="0.2">
      <c r="A48" s="278">
        <v>1934</v>
      </c>
      <c r="B48" s="287">
        <f t="shared" si="18"/>
        <v>370562</v>
      </c>
      <c r="C48" s="275">
        <f t="shared" si="13"/>
        <v>380602.5</v>
      </c>
      <c r="D48" s="275">
        <v>20081</v>
      </c>
      <c r="E48" s="275">
        <v>0</v>
      </c>
      <c r="F48" s="288">
        <f t="shared" si="14"/>
        <v>5.2761082756944584E-2</v>
      </c>
      <c r="G48" s="288">
        <f t="shared" si="15"/>
        <v>0</v>
      </c>
      <c r="H48" s="276">
        <f t="shared" si="16"/>
        <v>0</v>
      </c>
      <c r="I48" s="276"/>
      <c r="J48" s="278" t="str">
        <f t="shared" ref="J48:J79" si="19">A46 &amp; "-" &amp; RIGHT(A46+2,2)</f>
        <v>1932-34</v>
      </c>
      <c r="K48" s="275">
        <f t="shared" ref="K48:K79" si="20">SUM(C46:C48)</f>
        <v>1121726.5</v>
      </c>
      <c r="L48" s="275">
        <f t="shared" ref="L48:L79" si="21">SUM(D46:D48)</f>
        <v>20081</v>
      </c>
      <c r="M48" s="275">
        <f t="shared" ref="M48:M79" si="22">SUM(E46:E48)</f>
        <v>0</v>
      </c>
      <c r="N48" s="289">
        <f t="shared" ref="N48:N79" si="23">IF(K48=0,0,L48/K48)</f>
        <v>1.790186823615204E-2</v>
      </c>
      <c r="O48" s="289">
        <f t="shared" ref="O48:O79" si="24">IF(K48=0,0,M48/K48)</f>
        <v>0</v>
      </c>
      <c r="P48" s="276">
        <f t="shared" ref="P48:P79" si="25">IF(N48*O48&lt;=0,0,1/(SQRT(N48*O48)))</f>
        <v>0</v>
      </c>
      <c r="Q48" s="278"/>
      <c r="R48" s="290">
        <f t="shared" si="17"/>
        <v>45.83106085297635</v>
      </c>
      <c r="S48" s="278"/>
      <c r="T48" s="278"/>
      <c r="U48" s="278"/>
      <c r="V48" s="278"/>
      <c r="W48" s="278"/>
      <c r="X48" s="278"/>
    </row>
    <row r="49" spans="1:24" x14ac:dyDescent="0.2">
      <c r="A49" s="278">
        <v>1935</v>
      </c>
      <c r="B49" s="287">
        <f t="shared" si="18"/>
        <v>390643</v>
      </c>
      <c r="C49" s="275">
        <f t="shared" si="13"/>
        <v>391643</v>
      </c>
      <c r="D49" s="275">
        <v>2000</v>
      </c>
      <c r="E49" s="275">
        <v>0</v>
      </c>
      <c r="F49" s="288">
        <f t="shared" si="14"/>
        <v>5.1066915532768367E-3</v>
      </c>
      <c r="G49" s="288">
        <f t="shared" si="15"/>
        <v>0</v>
      </c>
      <c r="H49" s="276">
        <f t="shared" si="16"/>
        <v>0</v>
      </c>
      <c r="I49" s="276"/>
      <c r="J49" s="278" t="str">
        <f t="shared" si="19"/>
        <v>1933-35</v>
      </c>
      <c r="K49" s="275">
        <f t="shared" si="20"/>
        <v>1142807.5</v>
      </c>
      <c r="L49" s="275">
        <f t="shared" si="21"/>
        <v>22081</v>
      </c>
      <c r="M49" s="275">
        <f t="shared" si="22"/>
        <v>0</v>
      </c>
      <c r="N49" s="289">
        <f t="shared" si="23"/>
        <v>1.9321714286964341E-2</v>
      </c>
      <c r="O49" s="289">
        <f t="shared" si="24"/>
        <v>0</v>
      </c>
      <c r="P49" s="276">
        <f t="shared" si="25"/>
        <v>0</v>
      </c>
      <c r="Q49" s="278"/>
      <c r="R49" s="290">
        <f t="shared" si="17"/>
        <v>45.83106085297635</v>
      </c>
      <c r="S49" s="278"/>
      <c r="T49" s="278"/>
      <c r="U49" s="278"/>
      <c r="V49" s="278"/>
      <c r="W49" s="278"/>
      <c r="X49" s="278"/>
    </row>
    <row r="50" spans="1:24" x14ac:dyDescent="0.2">
      <c r="A50" s="278">
        <v>1936</v>
      </c>
      <c r="B50" s="287">
        <f t="shared" si="18"/>
        <v>392643</v>
      </c>
      <c r="C50" s="275">
        <f t="shared" si="13"/>
        <v>393472.5</v>
      </c>
      <c r="D50" s="275">
        <v>1659</v>
      </c>
      <c r="E50" s="275">
        <v>0</v>
      </c>
      <c r="F50" s="288">
        <f t="shared" si="14"/>
        <v>4.2163048243524012E-3</v>
      </c>
      <c r="G50" s="288">
        <f t="shared" si="15"/>
        <v>0</v>
      </c>
      <c r="H50" s="276">
        <f t="shared" si="16"/>
        <v>0</v>
      </c>
      <c r="I50" s="276"/>
      <c r="J50" s="278" t="str">
        <f t="shared" si="19"/>
        <v>1934-36</v>
      </c>
      <c r="K50" s="275">
        <f t="shared" si="20"/>
        <v>1165718</v>
      </c>
      <c r="L50" s="275">
        <f t="shared" si="21"/>
        <v>23740</v>
      </c>
      <c r="M50" s="275">
        <f t="shared" si="22"/>
        <v>0</v>
      </c>
      <c r="N50" s="289">
        <f t="shared" si="23"/>
        <v>2.0365131189532974E-2</v>
      </c>
      <c r="O50" s="289">
        <f t="shared" si="24"/>
        <v>0</v>
      </c>
      <c r="P50" s="276">
        <f t="shared" si="25"/>
        <v>0</v>
      </c>
      <c r="Q50" s="278"/>
      <c r="R50" s="290">
        <f t="shared" si="17"/>
        <v>45.83106085297635</v>
      </c>
      <c r="S50" s="278"/>
      <c r="T50" s="278"/>
      <c r="U50" s="278"/>
      <c r="V50" s="278"/>
      <c r="W50" s="278"/>
      <c r="X50" s="278"/>
    </row>
    <row r="51" spans="1:24" x14ac:dyDescent="0.2">
      <c r="A51" s="278">
        <v>1937</v>
      </c>
      <c r="B51" s="287">
        <f t="shared" si="18"/>
        <v>394302</v>
      </c>
      <c r="C51" s="275">
        <f t="shared" si="13"/>
        <v>394302</v>
      </c>
      <c r="D51" s="275">
        <v>0</v>
      </c>
      <c r="E51" s="275">
        <v>0</v>
      </c>
      <c r="F51" s="288">
        <f t="shared" si="14"/>
        <v>0</v>
      </c>
      <c r="G51" s="288">
        <f t="shared" si="15"/>
        <v>0</v>
      </c>
      <c r="H51" s="276">
        <f t="shared" si="16"/>
        <v>0</v>
      </c>
      <c r="I51" s="276"/>
      <c r="J51" s="278" t="str">
        <f t="shared" si="19"/>
        <v>1935-37</v>
      </c>
      <c r="K51" s="275">
        <f t="shared" si="20"/>
        <v>1179417.5</v>
      </c>
      <c r="L51" s="275">
        <f t="shared" si="21"/>
        <v>3659</v>
      </c>
      <c r="M51" s="275">
        <f t="shared" si="22"/>
        <v>0</v>
      </c>
      <c r="N51" s="289">
        <f t="shared" si="23"/>
        <v>3.1023789285812699E-3</v>
      </c>
      <c r="O51" s="289">
        <f t="shared" si="24"/>
        <v>0</v>
      </c>
      <c r="P51" s="276">
        <f t="shared" si="25"/>
        <v>0</v>
      </c>
      <c r="Q51" s="278"/>
      <c r="R51" s="290">
        <f t="shared" si="17"/>
        <v>45.83106085297635</v>
      </c>
      <c r="S51" s="278"/>
      <c r="T51" s="278"/>
      <c r="U51" s="278"/>
      <c r="V51" s="278"/>
      <c r="W51" s="278"/>
      <c r="X51" s="278"/>
    </row>
    <row r="52" spans="1:24" x14ac:dyDescent="0.2">
      <c r="A52" s="278">
        <v>1938</v>
      </c>
      <c r="B52" s="287">
        <f t="shared" si="18"/>
        <v>394302</v>
      </c>
      <c r="C52" s="275">
        <f t="shared" si="13"/>
        <v>394302</v>
      </c>
      <c r="D52" s="275">
        <v>0</v>
      </c>
      <c r="E52" s="275">
        <v>0</v>
      </c>
      <c r="F52" s="288">
        <f t="shared" si="14"/>
        <v>0</v>
      </c>
      <c r="G52" s="288">
        <f t="shared" si="15"/>
        <v>0</v>
      </c>
      <c r="H52" s="276">
        <f t="shared" si="16"/>
        <v>0</v>
      </c>
      <c r="I52" s="276"/>
      <c r="J52" s="278" t="str">
        <f t="shared" si="19"/>
        <v>1936-38</v>
      </c>
      <c r="K52" s="275">
        <f t="shared" si="20"/>
        <v>1182076.5</v>
      </c>
      <c r="L52" s="275">
        <f t="shared" si="21"/>
        <v>1659</v>
      </c>
      <c r="M52" s="275">
        <f t="shared" si="22"/>
        <v>0</v>
      </c>
      <c r="N52" s="289">
        <f t="shared" si="23"/>
        <v>1.4034624662617014E-3</v>
      </c>
      <c r="O52" s="289">
        <f t="shared" si="24"/>
        <v>0</v>
      </c>
      <c r="P52" s="276">
        <f t="shared" si="25"/>
        <v>0</v>
      </c>
      <c r="Q52" s="278"/>
      <c r="R52" s="290">
        <f t="shared" si="17"/>
        <v>45.83106085297635</v>
      </c>
      <c r="S52" s="278"/>
      <c r="T52" s="278"/>
      <c r="U52" s="278"/>
      <c r="V52" s="278"/>
      <c r="W52" s="278"/>
      <c r="X52" s="278"/>
    </row>
    <row r="53" spans="1:24" x14ac:dyDescent="0.2">
      <c r="A53" s="278">
        <v>1939</v>
      </c>
      <c r="B53" s="287">
        <f t="shared" si="18"/>
        <v>394302</v>
      </c>
      <c r="C53" s="275">
        <f t="shared" si="13"/>
        <v>380552</v>
      </c>
      <c r="D53" s="275">
        <v>0</v>
      </c>
      <c r="E53" s="275">
        <v>27500</v>
      </c>
      <c r="F53" s="288">
        <f t="shared" si="14"/>
        <v>0</v>
      </c>
      <c r="G53" s="288">
        <f t="shared" si="15"/>
        <v>7.2263448884777898E-2</v>
      </c>
      <c r="H53" s="276">
        <f t="shared" si="16"/>
        <v>0</v>
      </c>
      <c r="I53" s="276"/>
      <c r="J53" s="278" t="str">
        <f t="shared" si="19"/>
        <v>1937-39</v>
      </c>
      <c r="K53" s="275">
        <f t="shared" si="20"/>
        <v>1169156</v>
      </c>
      <c r="L53" s="275">
        <f t="shared" si="21"/>
        <v>0</v>
      </c>
      <c r="M53" s="275">
        <f t="shared" si="22"/>
        <v>27500</v>
      </c>
      <c r="N53" s="289">
        <f t="shared" si="23"/>
        <v>0</v>
      </c>
      <c r="O53" s="289">
        <f t="shared" si="24"/>
        <v>2.3521240963566881E-2</v>
      </c>
      <c r="P53" s="276">
        <f t="shared" si="25"/>
        <v>0</v>
      </c>
      <c r="Q53" s="278"/>
      <c r="R53" s="290">
        <f t="shared" si="17"/>
        <v>45.83106085297635</v>
      </c>
      <c r="S53" s="278"/>
      <c r="T53" s="278"/>
      <c r="U53" s="278"/>
      <c r="V53" s="278"/>
      <c r="W53" s="278"/>
      <c r="X53" s="278"/>
    </row>
    <row r="54" spans="1:24" x14ac:dyDescent="0.2">
      <c r="A54" s="278">
        <v>1940</v>
      </c>
      <c r="B54" s="287">
        <f t="shared" si="18"/>
        <v>366802</v>
      </c>
      <c r="C54" s="275">
        <f t="shared" si="13"/>
        <v>366802</v>
      </c>
      <c r="D54" s="275">
        <v>0</v>
      </c>
      <c r="E54" s="275">
        <v>0</v>
      </c>
      <c r="F54" s="288">
        <f t="shared" si="14"/>
        <v>0</v>
      </c>
      <c r="G54" s="288">
        <f t="shared" si="15"/>
        <v>0</v>
      </c>
      <c r="H54" s="276">
        <f t="shared" si="16"/>
        <v>0</v>
      </c>
      <c r="I54" s="276"/>
      <c r="J54" s="278" t="str">
        <f t="shared" si="19"/>
        <v>1938-40</v>
      </c>
      <c r="K54" s="275">
        <f t="shared" si="20"/>
        <v>1141656</v>
      </c>
      <c r="L54" s="275">
        <f t="shared" si="21"/>
        <v>0</v>
      </c>
      <c r="M54" s="275">
        <f t="shared" si="22"/>
        <v>27500</v>
      </c>
      <c r="N54" s="289">
        <f t="shared" si="23"/>
        <v>0</v>
      </c>
      <c r="O54" s="289">
        <f t="shared" si="24"/>
        <v>2.4087816294925967E-2</v>
      </c>
      <c r="P54" s="276">
        <f t="shared" si="25"/>
        <v>0</v>
      </c>
      <c r="Q54" s="278"/>
      <c r="R54" s="290">
        <f t="shared" si="17"/>
        <v>45.83106085297635</v>
      </c>
      <c r="S54" s="278"/>
      <c r="T54" s="278"/>
      <c r="U54" s="278"/>
      <c r="V54" s="278"/>
      <c r="W54" s="278"/>
      <c r="X54" s="278"/>
    </row>
    <row r="55" spans="1:24" x14ac:dyDescent="0.2">
      <c r="A55" s="278">
        <v>1941</v>
      </c>
      <c r="B55" s="287">
        <f t="shared" si="18"/>
        <v>366802</v>
      </c>
      <c r="C55" s="275">
        <f t="shared" si="13"/>
        <v>396500.47999999998</v>
      </c>
      <c r="D55" s="275">
        <v>60596.959999999999</v>
      </c>
      <c r="E55" s="275">
        <v>1200</v>
      </c>
      <c r="F55" s="288">
        <f t="shared" si="14"/>
        <v>0.15282947450656303</v>
      </c>
      <c r="G55" s="288">
        <f t="shared" si="15"/>
        <v>3.0264780511741122E-3</v>
      </c>
      <c r="H55" s="276">
        <f t="shared" si="16"/>
        <v>46.497293652108873</v>
      </c>
      <c r="I55" s="276"/>
      <c r="J55" s="278" t="str">
        <f t="shared" si="19"/>
        <v>1939-41</v>
      </c>
      <c r="K55" s="275">
        <f t="shared" si="20"/>
        <v>1143854.48</v>
      </c>
      <c r="L55" s="275">
        <f t="shared" si="21"/>
        <v>60596.959999999999</v>
      </c>
      <c r="M55" s="275">
        <f t="shared" si="22"/>
        <v>28700</v>
      </c>
      <c r="N55" s="289">
        <f t="shared" si="23"/>
        <v>5.2976109338663431E-2</v>
      </c>
      <c r="O55" s="289">
        <f t="shared" si="24"/>
        <v>2.5090604182448104E-2</v>
      </c>
      <c r="P55" s="276">
        <f t="shared" si="25"/>
        <v>27.428648593372785</v>
      </c>
      <c r="Q55" s="278"/>
      <c r="R55" s="290">
        <f t="shared" si="17"/>
        <v>45.83106085297635</v>
      </c>
      <c r="S55" s="278"/>
      <c r="T55" s="278"/>
      <c r="U55" s="278"/>
      <c r="V55" s="278"/>
      <c r="W55" s="278"/>
      <c r="X55" s="278"/>
    </row>
    <row r="56" spans="1:24" x14ac:dyDescent="0.2">
      <c r="A56" s="278">
        <v>1942</v>
      </c>
      <c r="B56" s="287">
        <f t="shared" si="18"/>
        <v>426198.96</v>
      </c>
      <c r="C56" s="275">
        <f t="shared" si="13"/>
        <v>425712.84</v>
      </c>
      <c r="D56" s="275">
        <v>1027.76</v>
      </c>
      <c r="E56" s="275">
        <v>2000</v>
      </c>
      <c r="F56" s="288">
        <f t="shared" si="14"/>
        <v>2.4142095408726688E-3</v>
      </c>
      <c r="G56" s="288">
        <f t="shared" si="15"/>
        <v>4.6980025314716841E-3</v>
      </c>
      <c r="H56" s="276">
        <f t="shared" si="16"/>
        <v>296.93124266264783</v>
      </c>
      <c r="I56" s="276"/>
      <c r="J56" s="278" t="str">
        <f t="shared" si="19"/>
        <v>1940-42</v>
      </c>
      <c r="K56" s="275">
        <f t="shared" si="20"/>
        <v>1189015.32</v>
      </c>
      <c r="L56" s="275">
        <f t="shared" si="21"/>
        <v>61624.72</v>
      </c>
      <c r="M56" s="275">
        <f t="shared" si="22"/>
        <v>3200</v>
      </c>
      <c r="N56" s="289">
        <f t="shared" si="23"/>
        <v>5.1828365003741078E-2</v>
      </c>
      <c r="O56" s="289">
        <f t="shared" si="24"/>
        <v>2.6913025813662347E-3</v>
      </c>
      <c r="P56" s="276">
        <f t="shared" si="25"/>
        <v>84.671057065562394</v>
      </c>
      <c r="Q56" s="278"/>
      <c r="R56" s="290">
        <f t="shared" si="17"/>
        <v>45.83106085297635</v>
      </c>
      <c r="S56" s="278"/>
      <c r="T56" s="278"/>
      <c r="U56" s="278"/>
      <c r="V56" s="278"/>
      <c r="W56" s="278"/>
      <c r="X56" s="278"/>
    </row>
    <row r="57" spans="1:24" x14ac:dyDescent="0.2">
      <c r="A57" s="278">
        <v>1943</v>
      </c>
      <c r="B57" s="287">
        <f t="shared" si="18"/>
        <v>425226.72000000003</v>
      </c>
      <c r="C57" s="275">
        <f t="shared" si="13"/>
        <v>425226.72000000003</v>
      </c>
      <c r="D57" s="275">
        <v>0</v>
      </c>
      <c r="E57" s="275">
        <v>0</v>
      </c>
      <c r="F57" s="288">
        <f t="shared" si="14"/>
        <v>0</v>
      </c>
      <c r="G57" s="288">
        <f t="shared" si="15"/>
        <v>0</v>
      </c>
      <c r="H57" s="276">
        <f t="shared" si="16"/>
        <v>0</v>
      </c>
      <c r="I57" s="276"/>
      <c r="J57" s="278" t="str">
        <f t="shared" si="19"/>
        <v>1941-43</v>
      </c>
      <c r="K57" s="275">
        <f t="shared" si="20"/>
        <v>1247440.04</v>
      </c>
      <c r="L57" s="275">
        <f t="shared" si="21"/>
        <v>61624.72</v>
      </c>
      <c r="M57" s="275">
        <f t="shared" si="22"/>
        <v>3200</v>
      </c>
      <c r="N57" s="289">
        <f t="shared" si="23"/>
        <v>4.940094755977209E-2</v>
      </c>
      <c r="O57" s="289">
        <f t="shared" si="24"/>
        <v>2.5652535571970255E-3</v>
      </c>
      <c r="P57" s="276">
        <f t="shared" si="25"/>
        <v>88.831544081961383</v>
      </c>
      <c r="Q57" s="278"/>
      <c r="R57" s="290">
        <f t="shared" si="17"/>
        <v>45.83106085297635</v>
      </c>
      <c r="S57" s="278"/>
      <c r="T57" s="278"/>
      <c r="U57" s="278"/>
      <c r="V57" s="278"/>
      <c r="W57" s="278"/>
      <c r="X57" s="278"/>
    </row>
    <row r="58" spans="1:24" x14ac:dyDescent="0.2">
      <c r="A58" s="278">
        <v>1944</v>
      </c>
      <c r="B58" s="287">
        <f t="shared" si="18"/>
        <v>425226.72000000003</v>
      </c>
      <c r="C58" s="275">
        <f t="shared" si="13"/>
        <v>422565.72000000003</v>
      </c>
      <c r="D58" s="275">
        <v>0</v>
      </c>
      <c r="E58" s="275">
        <v>5322</v>
      </c>
      <c r="F58" s="288">
        <f t="shared" si="14"/>
        <v>0</v>
      </c>
      <c r="G58" s="288">
        <f t="shared" si="15"/>
        <v>1.2594490627398739E-2</v>
      </c>
      <c r="H58" s="276">
        <f t="shared" si="16"/>
        <v>0</v>
      </c>
      <c r="I58" s="276"/>
      <c r="J58" s="278" t="str">
        <f t="shared" si="19"/>
        <v>1942-44</v>
      </c>
      <c r="K58" s="275">
        <f t="shared" si="20"/>
        <v>1273505.28</v>
      </c>
      <c r="L58" s="275">
        <f t="shared" si="21"/>
        <v>1027.76</v>
      </c>
      <c r="M58" s="275">
        <f t="shared" si="22"/>
        <v>7322</v>
      </c>
      <c r="N58" s="289">
        <f t="shared" si="23"/>
        <v>8.0703238230782988E-4</v>
      </c>
      <c r="O58" s="289">
        <f t="shared" si="24"/>
        <v>5.7494853888630914E-3</v>
      </c>
      <c r="P58" s="276">
        <f t="shared" si="25"/>
        <v>464.23730038870161</v>
      </c>
      <c r="Q58" s="278"/>
      <c r="R58" s="290">
        <f t="shared" si="17"/>
        <v>45.83106085297635</v>
      </c>
      <c r="S58" s="278"/>
      <c r="T58" s="278"/>
      <c r="U58" s="278"/>
      <c r="V58" s="278"/>
      <c r="W58" s="278"/>
      <c r="X58" s="278"/>
    </row>
    <row r="59" spans="1:24" x14ac:dyDescent="0.2">
      <c r="A59" s="278">
        <v>1945</v>
      </c>
      <c r="B59" s="287">
        <f t="shared" si="18"/>
        <v>419904.72000000003</v>
      </c>
      <c r="C59" s="275">
        <f t="shared" si="13"/>
        <v>419904.72000000003</v>
      </c>
      <c r="D59" s="275">
        <v>0</v>
      </c>
      <c r="E59" s="275">
        <v>0</v>
      </c>
      <c r="F59" s="288">
        <f t="shared" si="14"/>
        <v>0</v>
      </c>
      <c r="G59" s="288">
        <f t="shared" si="15"/>
        <v>0</v>
      </c>
      <c r="H59" s="276">
        <f t="shared" si="16"/>
        <v>0</v>
      </c>
      <c r="I59" s="276"/>
      <c r="J59" s="278" t="str">
        <f t="shared" si="19"/>
        <v>1943-45</v>
      </c>
      <c r="K59" s="275">
        <f t="shared" si="20"/>
        <v>1267697.1600000001</v>
      </c>
      <c r="L59" s="275">
        <f t="shared" si="21"/>
        <v>0</v>
      </c>
      <c r="M59" s="275">
        <f t="shared" si="22"/>
        <v>5322</v>
      </c>
      <c r="N59" s="289">
        <f t="shared" si="23"/>
        <v>0</v>
      </c>
      <c r="O59" s="289">
        <f t="shared" si="24"/>
        <v>4.1981635424662459E-3</v>
      </c>
      <c r="P59" s="276">
        <f t="shared" si="25"/>
        <v>0</v>
      </c>
      <c r="Q59" s="278"/>
      <c r="R59" s="290">
        <f t="shared" si="17"/>
        <v>45.83106085297635</v>
      </c>
      <c r="S59" s="278"/>
      <c r="T59" s="278"/>
      <c r="U59" s="278"/>
      <c r="V59" s="278"/>
      <c r="W59" s="278"/>
      <c r="X59" s="278"/>
    </row>
    <row r="60" spans="1:24" x14ac:dyDescent="0.2">
      <c r="A60" s="278">
        <v>1946</v>
      </c>
      <c r="B60" s="287">
        <f t="shared" si="18"/>
        <v>419904.72000000003</v>
      </c>
      <c r="C60" s="275">
        <f t="shared" si="13"/>
        <v>421998.54500000004</v>
      </c>
      <c r="D60" s="275">
        <v>5687.65</v>
      </c>
      <c r="E60" s="275">
        <v>1500</v>
      </c>
      <c r="F60" s="288">
        <f t="shared" si="14"/>
        <v>1.3477890071872166E-2</v>
      </c>
      <c r="G60" s="288">
        <f t="shared" si="15"/>
        <v>3.5545146251629847E-3</v>
      </c>
      <c r="H60" s="276">
        <f t="shared" si="16"/>
        <v>144.47705894624636</v>
      </c>
      <c r="I60" s="276"/>
      <c r="J60" s="278" t="str">
        <f t="shared" si="19"/>
        <v>1944-46</v>
      </c>
      <c r="K60" s="275">
        <f t="shared" si="20"/>
        <v>1264468.9850000001</v>
      </c>
      <c r="L60" s="275">
        <f t="shared" si="21"/>
        <v>5687.65</v>
      </c>
      <c r="M60" s="275">
        <f t="shared" si="22"/>
        <v>6822</v>
      </c>
      <c r="N60" s="289">
        <f t="shared" si="23"/>
        <v>4.4980541772639835E-3</v>
      </c>
      <c r="O60" s="289">
        <f t="shared" si="24"/>
        <v>5.3951501230376162E-3</v>
      </c>
      <c r="P60" s="276">
        <f t="shared" si="25"/>
        <v>202.99525767295498</v>
      </c>
      <c r="Q60" s="278"/>
      <c r="R60" s="290">
        <f t="shared" si="17"/>
        <v>45.83106085297635</v>
      </c>
      <c r="S60" s="278"/>
      <c r="T60" s="278"/>
      <c r="U60" s="278"/>
      <c r="V60" s="278"/>
      <c r="W60" s="278"/>
      <c r="X60" s="278"/>
    </row>
    <row r="61" spans="1:24" x14ac:dyDescent="0.2">
      <c r="A61" s="278">
        <v>1947</v>
      </c>
      <c r="B61" s="287">
        <f t="shared" si="18"/>
        <v>424092.37000000005</v>
      </c>
      <c r="C61" s="275">
        <f t="shared" si="13"/>
        <v>426746.56500000006</v>
      </c>
      <c r="D61" s="275">
        <v>5308.39</v>
      </c>
      <c r="E61" s="275">
        <v>0</v>
      </c>
      <c r="F61" s="288">
        <f t="shared" si="14"/>
        <v>1.243920967471642E-2</v>
      </c>
      <c r="G61" s="288">
        <f t="shared" si="15"/>
        <v>0</v>
      </c>
      <c r="H61" s="276">
        <f t="shared" si="16"/>
        <v>0</v>
      </c>
      <c r="I61" s="276"/>
      <c r="J61" s="278" t="str">
        <f t="shared" si="19"/>
        <v>1945-47</v>
      </c>
      <c r="K61" s="275">
        <f t="shared" si="20"/>
        <v>1268649.83</v>
      </c>
      <c r="L61" s="275">
        <f t="shared" si="21"/>
        <v>10996.04</v>
      </c>
      <c r="M61" s="275">
        <f t="shared" si="22"/>
        <v>1500</v>
      </c>
      <c r="N61" s="289">
        <f t="shared" si="23"/>
        <v>8.6675138718144158E-3</v>
      </c>
      <c r="O61" s="289">
        <f t="shared" si="24"/>
        <v>1.1823593591621731E-3</v>
      </c>
      <c r="P61" s="276">
        <f t="shared" si="25"/>
        <v>312.37623099373894</v>
      </c>
      <c r="Q61" s="278"/>
      <c r="R61" s="290">
        <f t="shared" si="17"/>
        <v>45.83106085297635</v>
      </c>
      <c r="S61" s="278"/>
      <c r="T61" s="278"/>
      <c r="U61" s="278"/>
      <c r="V61" s="278"/>
      <c r="W61" s="278"/>
      <c r="X61" s="278"/>
    </row>
    <row r="62" spans="1:24" x14ac:dyDescent="0.2">
      <c r="A62" s="278">
        <v>1948</v>
      </c>
      <c r="B62" s="287">
        <f t="shared" si="18"/>
        <v>429400.76000000007</v>
      </c>
      <c r="C62" s="275">
        <f t="shared" si="13"/>
        <v>425087.76000000007</v>
      </c>
      <c r="D62" s="275">
        <v>200</v>
      </c>
      <c r="E62" s="275">
        <v>8826</v>
      </c>
      <c r="F62" s="288">
        <f t="shared" si="14"/>
        <v>4.7049108165335077E-4</v>
      </c>
      <c r="G62" s="288">
        <f t="shared" si="15"/>
        <v>2.076277143336237E-2</v>
      </c>
      <c r="H62" s="276">
        <f t="shared" si="16"/>
        <v>319.94965091330101</v>
      </c>
      <c r="I62" s="276"/>
      <c r="J62" s="278" t="str">
        <f t="shared" si="19"/>
        <v>1946-48</v>
      </c>
      <c r="K62" s="275">
        <f t="shared" si="20"/>
        <v>1273832.8700000001</v>
      </c>
      <c r="L62" s="275">
        <f t="shared" si="21"/>
        <v>11196.04</v>
      </c>
      <c r="M62" s="275">
        <f t="shared" si="22"/>
        <v>10326</v>
      </c>
      <c r="N62" s="289">
        <f t="shared" si="23"/>
        <v>8.7892534913155441E-3</v>
      </c>
      <c r="O62" s="289">
        <f t="shared" si="24"/>
        <v>8.1062439533374567E-3</v>
      </c>
      <c r="P62" s="276">
        <f t="shared" si="25"/>
        <v>118.47157719120283</v>
      </c>
      <c r="Q62" s="278"/>
      <c r="R62" s="290">
        <f t="shared" si="17"/>
        <v>45.83106085297635</v>
      </c>
      <c r="S62" s="278"/>
      <c r="T62" s="278"/>
      <c r="U62" s="278"/>
      <c r="V62" s="278"/>
      <c r="W62" s="278"/>
      <c r="X62" s="278"/>
    </row>
    <row r="63" spans="1:24" x14ac:dyDescent="0.2">
      <c r="A63" s="278">
        <v>1949</v>
      </c>
      <c r="B63" s="287">
        <f t="shared" si="18"/>
        <v>420774.76000000007</v>
      </c>
      <c r="C63" s="275">
        <f t="shared" si="13"/>
        <v>420742.86000000004</v>
      </c>
      <c r="D63" s="275">
        <v>5299.2</v>
      </c>
      <c r="E63" s="275">
        <v>5363</v>
      </c>
      <c r="F63" s="288">
        <f t="shared" si="14"/>
        <v>1.2594866137478837E-2</v>
      </c>
      <c r="G63" s="288">
        <f t="shared" si="15"/>
        <v>1.2746502697633418E-2</v>
      </c>
      <c r="H63" s="276">
        <f t="shared" si="16"/>
        <v>78.923747935928546</v>
      </c>
      <c r="I63" s="276"/>
      <c r="J63" s="278" t="str">
        <f t="shared" si="19"/>
        <v>1947-49</v>
      </c>
      <c r="K63" s="275">
        <f t="shared" si="20"/>
        <v>1272577.1850000003</v>
      </c>
      <c r="L63" s="275">
        <f t="shared" si="21"/>
        <v>10807.59</v>
      </c>
      <c r="M63" s="275">
        <f t="shared" si="22"/>
        <v>14189</v>
      </c>
      <c r="N63" s="289">
        <f t="shared" si="23"/>
        <v>8.4926793654563262E-3</v>
      </c>
      <c r="O63" s="289">
        <f t="shared" si="24"/>
        <v>1.114981485386287E-2</v>
      </c>
      <c r="P63" s="276">
        <f t="shared" si="25"/>
        <v>102.76466435470161</v>
      </c>
      <c r="Q63" s="278"/>
      <c r="R63" s="290">
        <f t="shared" si="17"/>
        <v>45.83106085297635</v>
      </c>
      <c r="S63" s="278"/>
      <c r="T63" s="278"/>
      <c r="U63" s="278"/>
      <c r="V63" s="278"/>
      <c r="W63" s="278"/>
      <c r="X63" s="278"/>
    </row>
    <row r="64" spans="1:24" x14ac:dyDescent="0.2">
      <c r="A64" s="278">
        <v>1950</v>
      </c>
      <c r="B64" s="287">
        <f t="shared" si="18"/>
        <v>420710.96000000008</v>
      </c>
      <c r="C64" s="275">
        <f t="shared" si="13"/>
        <v>421373.83000000007</v>
      </c>
      <c r="D64" s="275">
        <v>10071.74</v>
      </c>
      <c r="E64" s="275">
        <v>8746</v>
      </c>
      <c r="F64" s="288">
        <f t="shared" si="14"/>
        <v>2.3902148835393974E-2</v>
      </c>
      <c r="G64" s="288">
        <f t="shared" si="15"/>
        <v>2.0755916426988354E-2</v>
      </c>
      <c r="H64" s="276">
        <f t="shared" si="16"/>
        <v>44.896301943473013</v>
      </c>
      <c r="I64" s="276"/>
      <c r="J64" s="278" t="str">
        <f t="shared" si="19"/>
        <v>1948-50</v>
      </c>
      <c r="K64" s="275">
        <f t="shared" si="20"/>
        <v>1267204.4500000002</v>
      </c>
      <c r="L64" s="275">
        <f t="shared" si="21"/>
        <v>15570.939999999999</v>
      </c>
      <c r="M64" s="275">
        <f t="shared" si="22"/>
        <v>22935</v>
      </c>
      <c r="N64" s="289">
        <f t="shared" si="23"/>
        <v>1.2287630460893659E-2</v>
      </c>
      <c r="O64" s="289">
        <f t="shared" si="24"/>
        <v>1.8098894775819323E-2</v>
      </c>
      <c r="P64" s="276">
        <f t="shared" si="25"/>
        <v>67.05634864239137</v>
      </c>
      <c r="Q64" s="278"/>
      <c r="R64" s="290">
        <f t="shared" si="17"/>
        <v>45.83106085297635</v>
      </c>
      <c r="S64" s="278"/>
      <c r="T64" s="278"/>
      <c r="U64" s="278"/>
      <c r="V64" s="278"/>
      <c r="W64" s="278"/>
      <c r="X64" s="278"/>
    </row>
    <row r="65" spans="1:24" x14ac:dyDescent="0.2">
      <c r="A65" s="278">
        <v>1951</v>
      </c>
      <c r="B65" s="287">
        <f t="shared" si="18"/>
        <v>422036.70000000007</v>
      </c>
      <c r="C65" s="275">
        <f t="shared" si="13"/>
        <v>419827.67000000004</v>
      </c>
      <c r="D65" s="275">
        <v>9343.94</v>
      </c>
      <c r="E65" s="275">
        <v>13762</v>
      </c>
      <c r="F65" s="288">
        <f t="shared" si="14"/>
        <v>2.2256608288824791E-2</v>
      </c>
      <c r="G65" s="288">
        <f t="shared" si="15"/>
        <v>3.2780116660724147E-2</v>
      </c>
      <c r="H65" s="276">
        <f t="shared" si="16"/>
        <v>37.022459046390836</v>
      </c>
      <c r="I65" s="276"/>
      <c r="J65" s="278" t="str">
        <f t="shared" si="19"/>
        <v>1949-51</v>
      </c>
      <c r="K65" s="275">
        <f t="shared" si="20"/>
        <v>1261944.3600000003</v>
      </c>
      <c r="L65" s="275">
        <f t="shared" si="21"/>
        <v>24714.879999999997</v>
      </c>
      <c r="M65" s="275">
        <f t="shared" si="22"/>
        <v>27871</v>
      </c>
      <c r="N65" s="289">
        <f t="shared" si="23"/>
        <v>1.9584762041331197E-2</v>
      </c>
      <c r="O65" s="289">
        <f t="shared" si="24"/>
        <v>2.2085759787380796E-2</v>
      </c>
      <c r="P65" s="276">
        <f t="shared" si="25"/>
        <v>48.082238493116634</v>
      </c>
      <c r="Q65" s="278"/>
      <c r="R65" s="290">
        <f t="shared" si="17"/>
        <v>45.83106085297635</v>
      </c>
      <c r="S65" s="278"/>
      <c r="T65" s="278"/>
      <c r="U65" s="278"/>
      <c r="V65" s="278"/>
      <c r="W65" s="278"/>
      <c r="X65" s="278"/>
    </row>
    <row r="66" spans="1:24" x14ac:dyDescent="0.2">
      <c r="A66" s="278">
        <v>1952</v>
      </c>
      <c r="B66" s="287">
        <f t="shared" si="18"/>
        <v>417618.64000000007</v>
      </c>
      <c r="C66" s="275">
        <f t="shared" si="13"/>
        <v>419557.4150000001</v>
      </c>
      <c r="D66" s="275">
        <v>13997.55</v>
      </c>
      <c r="E66" s="275">
        <v>10120</v>
      </c>
      <c r="F66" s="288">
        <f t="shared" si="14"/>
        <v>3.3362656693840094E-2</v>
      </c>
      <c r="G66" s="288">
        <f t="shared" si="15"/>
        <v>2.4120655810599839E-2</v>
      </c>
      <c r="H66" s="276">
        <f t="shared" si="16"/>
        <v>35.251299463013162</v>
      </c>
      <c r="I66" s="276"/>
      <c r="J66" s="278" t="str">
        <f t="shared" si="19"/>
        <v>1950-52</v>
      </c>
      <c r="K66" s="275">
        <f t="shared" si="20"/>
        <v>1260758.9150000003</v>
      </c>
      <c r="L66" s="275">
        <f t="shared" si="21"/>
        <v>33413.229999999996</v>
      </c>
      <c r="M66" s="275">
        <f t="shared" si="22"/>
        <v>32628</v>
      </c>
      <c r="N66" s="289">
        <f t="shared" si="23"/>
        <v>2.6502473710447637E-2</v>
      </c>
      <c r="O66" s="289">
        <f t="shared" si="24"/>
        <v>2.5879650432612641E-2</v>
      </c>
      <c r="P66" s="276">
        <f t="shared" si="25"/>
        <v>38.183663219685918</v>
      </c>
      <c r="Q66" s="278"/>
      <c r="R66" s="290">
        <f t="shared" si="17"/>
        <v>45.83106085297635</v>
      </c>
      <c r="S66" s="278"/>
      <c r="T66" s="278"/>
      <c r="U66" s="278"/>
      <c r="V66" s="278"/>
      <c r="W66" s="278"/>
      <c r="X66" s="278"/>
    </row>
    <row r="67" spans="1:24" x14ac:dyDescent="0.2">
      <c r="A67" s="278">
        <v>1953</v>
      </c>
      <c r="B67" s="287">
        <f t="shared" si="18"/>
        <v>421496.19000000006</v>
      </c>
      <c r="C67" s="275">
        <f t="shared" si="13"/>
        <v>417360.10500000004</v>
      </c>
      <c r="D67" s="275">
        <v>1187.83</v>
      </c>
      <c r="E67" s="275">
        <v>9460</v>
      </c>
      <c r="F67" s="288">
        <f t="shared" si="14"/>
        <v>2.8460554465309994E-3</v>
      </c>
      <c r="G67" s="288">
        <f t="shared" si="15"/>
        <v>2.2666277602168036E-2</v>
      </c>
      <c r="H67" s="276">
        <f t="shared" si="16"/>
        <v>124.50540918557174</v>
      </c>
      <c r="I67" s="276"/>
      <c r="J67" s="278" t="str">
        <f t="shared" si="19"/>
        <v>1951-53</v>
      </c>
      <c r="K67" s="275">
        <f t="shared" si="20"/>
        <v>1256745.1900000002</v>
      </c>
      <c r="L67" s="275">
        <f t="shared" si="21"/>
        <v>24529.32</v>
      </c>
      <c r="M67" s="275">
        <f t="shared" si="22"/>
        <v>33342</v>
      </c>
      <c r="N67" s="289">
        <f t="shared" si="23"/>
        <v>1.9518133186569028E-2</v>
      </c>
      <c r="O67" s="289">
        <f t="shared" si="24"/>
        <v>2.6530437725407165E-2</v>
      </c>
      <c r="P67" s="276">
        <f t="shared" si="25"/>
        <v>43.944917519233648</v>
      </c>
      <c r="Q67" s="278"/>
      <c r="R67" s="290">
        <f t="shared" si="17"/>
        <v>45.83106085297635</v>
      </c>
      <c r="S67" s="278"/>
      <c r="T67" s="278"/>
      <c r="U67" s="278"/>
      <c r="V67" s="278"/>
      <c r="W67" s="278"/>
      <c r="X67" s="278"/>
    </row>
    <row r="68" spans="1:24" x14ac:dyDescent="0.2">
      <c r="A68" s="278">
        <v>1954</v>
      </c>
      <c r="B68" s="287">
        <f t="shared" si="18"/>
        <v>413224.02000000008</v>
      </c>
      <c r="C68" s="275">
        <f t="shared" si="13"/>
        <v>416006.02000000008</v>
      </c>
      <c r="D68" s="275">
        <v>6647</v>
      </c>
      <c r="E68" s="275">
        <v>1083</v>
      </c>
      <c r="F68" s="288">
        <f t="shared" si="14"/>
        <v>1.5978134162577741E-2</v>
      </c>
      <c r="G68" s="288">
        <f t="shared" si="15"/>
        <v>2.6033277114595596E-3</v>
      </c>
      <c r="H68" s="276">
        <f t="shared" si="16"/>
        <v>155.05027741955286</v>
      </c>
      <c r="I68" s="276"/>
      <c r="J68" s="278" t="str">
        <f t="shared" si="19"/>
        <v>1952-54</v>
      </c>
      <c r="K68" s="275">
        <f t="shared" si="20"/>
        <v>1252923.5400000003</v>
      </c>
      <c r="L68" s="275">
        <f t="shared" si="21"/>
        <v>21832.379999999997</v>
      </c>
      <c r="M68" s="275">
        <f t="shared" si="22"/>
        <v>20663</v>
      </c>
      <c r="N68" s="289">
        <f t="shared" si="23"/>
        <v>1.7425149502738206E-2</v>
      </c>
      <c r="O68" s="289">
        <f t="shared" si="24"/>
        <v>1.6491828384036903E-2</v>
      </c>
      <c r="P68" s="276">
        <f t="shared" si="25"/>
        <v>58.989856558990205</v>
      </c>
      <c r="Q68" s="278"/>
      <c r="R68" s="290">
        <f t="shared" si="17"/>
        <v>45.83106085297635</v>
      </c>
      <c r="S68" s="278"/>
      <c r="T68" s="278"/>
      <c r="U68" s="278"/>
      <c r="V68" s="278"/>
      <c r="W68" s="278"/>
      <c r="X68" s="278"/>
    </row>
    <row r="69" spans="1:24" x14ac:dyDescent="0.2">
      <c r="A69" s="278">
        <v>1955</v>
      </c>
      <c r="B69" s="287">
        <f t="shared" si="18"/>
        <v>418788.02000000008</v>
      </c>
      <c r="C69" s="275">
        <f t="shared" si="13"/>
        <v>427122.88500000007</v>
      </c>
      <c r="D69" s="275">
        <v>16669.73</v>
      </c>
      <c r="E69" s="275">
        <v>0</v>
      </c>
      <c r="F69" s="288">
        <f t="shared" si="14"/>
        <v>3.9027948596104832E-2</v>
      </c>
      <c r="G69" s="288">
        <f t="shared" si="15"/>
        <v>0</v>
      </c>
      <c r="H69" s="276">
        <f t="shared" si="16"/>
        <v>0</v>
      </c>
      <c r="I69" s="276"/>
      <c r="J69" s="278" t="str">
        <f t="shared" si="19"/>
        <v>1953-55</v>
      </c>
      <c r="K69" s="275">
        <f t="shared" si="20"/>
        <v>1260489.0100000002</v>
      </c>
      <c r="L69" s="275">
        <f t="shared" si="21"/>
        <v>24504.559999999998</v>
      </c>
      <c r="M69" s="275">
        <f t="shared" si="22"/>
        <v>10543</v>
      </c>
      <c r="N69" s="289">
        <f t="shared" si="23"/>
        <v>1.9440518565092442E-2</v>
      </c>
      <c r="O69" s="289">
        <f t="shared" si="24"/>
        <v>8.3642141393997539E-3</v>
      </c>
      <c r="P69" s="276">
        <f t="shared" si="25"/>
        <v>78.421204017025772</v>
      </c>
      <c r="Q69" s="278"/>
      <c r="R69" s="290">
        <f t="shared" si="17"/>
        <v>45.83106085297635</v>
      </c>
      <c r="S69" s="278"/>
      <c r="T69" s="278"/>
      <c r="U69" s="278"/>
      <c r="V69" s="278"/>
      <c r="W69" s="278"/>
      <c r="X69" s="278"/>
    </row>
    <row r="70" spans="1:24" x14ac:dyDescent="0.2">
      <c r="A70" s="278">
        <v>1956</v>
      </c>
      <c r="B70" s="287">
        <f t="shared" si="18"/>
        <v>435457.75000000006</v>
      </c>
      <c r="C70" s="275">
        <f t="shared" si="13"/>
        <v>578338.125</v>
      </c>
      <c r="D70" s="275">
        <v>311639.75</v>
      </c>
      <c r="E70" s="275">
        <v>25879</v>
      </c>
      <c r="F70" s="288">
        <f t="shared" si="14"/>
        <v>0.5388538927811477</v>
      </c>
      <c r="G70" s="288">
        <f t="shared" si="15"/>
        <v>4.4747179688352727E-2</v>
      </c>
      <c r="H70" s="276">
        <f t="shared" si="16"/>
        <v>6.4399375177012104</v>
      </c>
      <c r="I70" s="276"/>
      <c r="J70" s="278" t="str">
        <f t="shared" si="19"/>
        <v>1954-56</v>
      </c>
      <c r="K70" s="275">
        <f t="shared" si="20"/>
        <v>1421467.0300000003</v>
      </c>
      <c r="L70" s="275">
        <f t="shared" si="21"/>
        <v>334956.48</v>
      </c>
      <c r="M70" s="275">
        <f t="shared" si="22"/>
        <v>26962</v>
      </c>
      <c r="N70" s="289">
        <f t="shared" si="23"/>
        <v>0.23564139929436134</v>
      </c>
      <c r="O70" s="289">
        <f t="shared" si="24"/>
        <v>1.8967728009843463E-2</v>
      </c>
      <c r="P70" s="276">
        <f t="shared" si="25"/>
        <v>14.95775952425668</v>
      </c>
      <c r="Q70" s="278"/>
      <c r="R70" s="290">
        <f t="shared" si="17"/>
        <v>45.83106085297635</v>
      </c>
      <c r="S70" s="278"/>
      <c r="T70" s="278"/>
      <c r="U70" s="278"/>
      <c r="V70" s="278"/>
      <c r="W70" s="278"/>
      <c r="X70" s="278"/>
    </row>
    <row r="71" spans="1:24" x14ac:dyDescent="0.2">
      <c r="A71" s="278">
        <v>1957</v>
      </c>
      <c r="B71" s="287">
        <f t="shared" si="18"/>
        <v>721218.5</v>
      </c>
      <c r="C71" s="275">
        <f t="shared" si="13"/>
        <v>726286.40500000003</v>
      </c>
      <c r="D71" s="275">
        <v>12574.81</v>
      </c>
      <c r="E71" s="275">
        <v>2439</v>
      </c>
      <c r="F71" s="288">
        <f t="shared" si="14"/>
        <v>1.7313844667104845E-2</v>
      </c>
      <c r="G71" s="288">
        <f t="shared" si="15"/>
        <v>3.3581793397330631E-3</v>
      </c>
      <c r="H71" s="276">
        <f t="shared" si="16"/>
        <v>131.14486755603377</v>
      </c>
      <c r="I71" s="276"/>
      <c r="J71" s="278" t="str">
        <f t="shared" si="19"/>
        <v>1955-57</v>
      </c>
      <c r="K71" s="275">
        <f t="shared" si="20"/>
        <v>1731747.415</v>
      </c>
      <c r="L71" s="275">
        <f t="shared" si="21"/>
        <v>340884.29</v>
      </c>
      <c r="M71" s="275">
        <f t="shared" si="22"/>
        <v>28318</v>
      </c>
      <c r="N71" s="289">
        <f t="shared" si="23"/>
        <v>0.19684411655379891</v>
      </c>
      <c r="O71" s="289">
        <f t="shared" si="24"/>
        <v>1.6352269248226366E-2</v>
      </c>
      <c r="P71" s="276">
        <f t="shared" si="25"/>
        <v>17.625837665108818</v>
      </c>
      <c r="Q71" s="278"/>
      <c r="R71" s="290">
        <f t="shared" si="17"/>
        <v>45.83106085297635</v>
      </c>
      <c r="S71" s="278"/>
      <c r="T71" s="278"/>
      <c r="U71" s="278"/>
      <c r="V71" s="278"/>
      <c r="W71" s="278"/>
      <c r="X71" s="278"/>
    </row>
    <row r="72" spans="1:24" x14ac:dyDescent="0.2">
      <c r="A72" s="278">
        <v>1958</v>
      </c>
      <c r="B72" s="287">
        <f t="shared" si="18"/>
        <v>731354.31</v>
      </c>
      <c r="C72" s="275">
        <f t="shared" si="13"/>
        <v>893301.78</v>
      </c>
      <c r="D72" s="275">
        <v>333514.94</v>
      </c>
      <c r="E72" s="275">
        <v>9620</v>
      </c>
      <c r="F72" s="288">
        <f t="shared" si="14"/>
        <v>0.37335080648781421</v>
      </c>
      <c r="G72" s="288">
        <f t="shared" si="15"/>
        <v>1.0769037088451788E-2</v>
      </c>
      <c r="H72" s="276">
        <f t="shared" si="16"/>
        <v>15.77077431066412</v>
      </c>
      <c r="I72" s="276"/>
      <c r="J72" s="278" t="str">
        <f t="shared" si="19"/>
        <v>1956-58</v>
      </c>
      <c r="K72" s="275">
        <f t="shared" si="20"/>
        <v>2197926.31</v>
      </c>
      <c r="L72" s="275">
        <f t="shared" si="21"/>
        <v>657729.5</v>
      </c>
      <c r="M72" s="275">
        <f t="shared" si="22"/>
        <v>37938</v>
      </c>
      <c r="N72" s="289">
        <f t="shared" si="23"/>
        <v>0.29925002353695834</v>
      </c>
      <c r="O72" s="289">
        <f t="shared" si="24"/>
        <v>1.7260815263638207E-2</v>
      </c>
      <c r="P72" s="276">
        <f t="shared" si="25"/>
        <v>13.914008077443617</v>
      </c>
      <c r="Q72" s="278"/>
      <c r="R72" s="290">
        <f t="shared" si="17"/>
        <v>45.83106085297635</v>
      </c>
      <c r="S72" s="278"/>
      <c r="T72" s="278"/>
      <c r="U72" s="278"/>
      <c r="V72" s="278"/>
      <c r="W72" s="278"/>
      <c r="X72" s="278"/>
    </row>
    <row r="73" spans="1:24" x14ac:dyDescent="0.2">
      <c r="A73" s="278">
        <v>1959</v>
      </c>
      <c r="B73" s="287">
        <f t="shared" si="18"/>
        <v>1055249.25</v>
      </c>
      <c r="C73" s="275">
        <f t="shared" si="13"/>
        <v>1060557.25</v>
      </c>
      <c r="D73" s="275">
        <v>26243</v>
      </c>
      <c r="E73" s="275">
        <v>15627</v>
      </c>
      <c r="F73" s="288">
        <f t="shared" si="14"/>
        <v>2.4744538779023953E-2</v>
      </c>
      <c r="G73" s="288">
        <f t="shared" si="15"/>
        <v>1.4734706683679735E-2</v>
      </c>
      <c r="H73" s="276">
        <f t="shared" si="16"/>
        <v>52.37084374541584</v>
      </c>
      <c r="I73" s="276"/>
      <c r="J73" s="278" t="str">
        <f t="shared" si="19"/>
        <v>1957-59</v>
      </c>
      <c r="K73" s="275">
        <f t="shared" si="20"/>
        <v>2680145.4350000001</v>
      </c>
      <c r="L73" s="275">
        <f t="shared" si="21"/>
        <v>372332.75</v>
      </c>
      <c r="M73" s="275">
        <f t="shared" si="22"/>
        <v>27686</v>
      </c>
      <c r="N73" s="289">
        <f t="shared" si="23"/>
        <v>0.13892259171375898</v>
      </c>
      <c r="O73" s="289">
        <f t="shared" si="24"/>
        <v>1.0330036436996561E-2</v>
      </c>
      <c r="P73" s="276">
        <f t="shared" si="25"/>
        <v>26.39749005185524</v>
      </c>
      <c r="Q73" s="278"/>
      <c r="R73" s="290">
        <f t="shared" si="17"/>
        <v>45.83106085297635</v>
      </c>
      <c r="S73" s="278"/>
      <c r="T73" s="278"/>
      <c r="U73" s="278"/>
      <c r="V73" s="278"/>
      <c r="W73" s="278"/>
      <c r="X73" s="278"/>
    </row>
    <row r="74" spans="1:24" x14ac:dyDescent="0.2">
      <c r="A74" s="278">
        <v>1960</v>
      </c>
      <c r="B74" s="287">
        <f t="shared" si="18"/>
        <v>1065865.25</v>
      </c>
      <c r="C74" s="275">
        <f t="shared" si="13"/>
        <v>1166646.75</v>
      </c>
      <c r="D74" s="275">
        <v>213603</v>
      </c>
      <c r="E74" s="275">
        <v>12040</v>
      </c>
      <c r="F74" s="288">
        <f t="shared" si="14"/>
        <v>0.18309141134623655</v>
      </c>
      <c r="G74" s="288">
        <f t="shared" si="15"/>
        <v>1.0320176180150504E-2</v>
      </c>
      <c r="H74" s="276">
        <f t="shared" si="16"/>
        <v>23.005011680141148</v>
      </c>
      <c r="I74" s="276"/>
      <c r="J74" s="278" t="str">
        <f t="shared" si="19"/>
        <v>1958-60</v>
      </c>
      <c r="K74" s="275">
        <f t="shared" si="20"/>
        <v>3120505.7800000003</v>
      </c>
      <c r="L74" s="275">
        <f t="shared" si="21"/>
        <v>573360.93999999994</v>
      </c>
      <c r="M74" s="275">
        <f t="shared" si="22"/>
        <v>37287</v>
      </c>
      <c r="N74" s="289">
        <f t="shared" si="23"/>
        <v>0.18373974618947828</v>
      </c>
      <c r="O74" s="289">
        <f t="shared" si="24"/>
        <v>1.1949024494356168E-2</v>
      </c>
      <c r="P74" s="276">
        <f t="shared" si="25"/>
        <v>21.341857620695183</v>
      </c>
      <c r="Q74" s="278"/>
      <c r="R74" s="290">
        <f t="shared" si="17"/>
        <v>45.83106085297635</v>
      </c>
      <c r="S74" s="278"/>
      <c r="T74" s="278"/>
      <c r="U74" s="278"/>
      <c r="V74" s="278"/>
      <c r="W74" s="278"/>
      <c r="X74" s="278"/>
    </row>
    <row r="75" spans="1:24" x14ac:dyDescent="0.2">
      <c r="A75" s="278">
        <v>1961</v>
      </c>
      <c r="B75" s="287">
        <f t="shared" si="18"/>
        <v>1267428.25</v>
      </c>
      <c r="C75" s="275">
        <f t="shared" si="13"/>
        <v>1291934.75</v>
      </c>
      <c r="D75" s="275">
        <v>56551</v>
      </c>
      <c r="E75" s="275">
        <v>7538</v>
      </c>
      <c r="F75" s="288">
        <f t="shared" si="14"/>
        <v>4.3772334477418462E-2</v>
      </c>
      <c r="G75" s="288">
        <f t="shared" si="15"/>
        <v>5.8346599934710327E-3</v>
      </c>
      <c r="H75" s="276">
        <f t="shared" si="16"/>
        <v>62.57377681431921</v>
      </c>
      <c r="I75" s="276"/>
      <c r="J75" s="278" t="str">
        <f t="shared" si="19"/>
        <v>1959-61</v>
      </c>
      <c r="K75" s="275">
        <f t="shared" si="20"/>
        <v>3519138.75</v>
      </c>
      <c r="L75" s="275">
        <f t="shared" si="21"/>
        <v>296397</v>
      </c>
      <c r="M75" s="275">
        <f t="shared" si="22"/>
        <v>35205</v>
      </c>
      <c r="N75" s="289">
        <f t="shared" si="23"/>
        <v>8.4224300619007986E-2</v>
      </c>
      <c r="O75" s="289">
        <f t="shared" si="24"/>
        <v>1.0003868133929075E-2</v>
      </c>
      <c r="P75" s="276">
        <f t="shared" si="25"/>
        <v>34.450641566858707</v>
      </c>
      <c r="Q75" s="278"/>
      <c r="R75" s="290">
        <f t="shared" si="17"/>
        <v>45.83106085297635</v>
      </c>
      <c r="S75" s="278"/>
      <c r="T75" s="278"/>
      <c r="U75" s="278"/>
      <c r="V75" s="278"/>
      <c r="W75" s="278"/>
      <c r="X75" s="278"/>
    </row>
    <row r="76" spans="1:24" x14ac:dyDescent="0.2">
      <c r="A76" s="278">
        <v>1962</v>
      </c>
      <c r="B76" s="287">
        <f t="shared" si="18"/>
        <v>1316441.25</v>
      </c>
      <c r="C76" s="275">
        <f t="shared" si="13"/>
        <v>1578191.75</v>
      </c>
      <c r="D76" s="275">
        <v>524897</v>
      </c>
      <c r="E76" s="275">
        <v>1396</v>
      </c>
      <c r="F76" s="288">
        <f t="shared" si="14"/>
        <v>0.33259393226456796</v>
      </c>
      <c r="G76" s="288">
        <f t="shared" si="15"/>
        <v>8.8455664528724095E-4</v>
      </c>
      <c r="H76" s="276">
        <f t="shared" si="16"/>
        <v>58.301538361327218</v>
      </c>
      <c r="I76" s="276"/>
      <c r="J76" s="278" t="str">
        <f t="shared" si="19"/>
        <v>1960-62</v>
      </c>
      <c r="K76" s="275">
        <f t="shared" si="20"/>
        <v>4036773.25</v>
      </c>
      <c r="L76" s="275">
        <f t="shared" si="21"/>
        <v>795051</v>
      </c>
      <c r="M76" s="275">
        <f t="shared" si="22"/>
        <v>20974</v>
      </c>
      <c r="N76" s="289">
        <f t="shared" si="23"/>
        <v>0.19695210772613994</v>
      </c>
      <c r="O76" s="289">
        <f t="shared" si="24"/>
        <v>5.1957339937287782E-3</v>
      </c>
      <c r="P76" s="276">
        <f t="shared" si="25"/>
        <v>31.260522260789319</v>
      </c>
      <c r="Q76" s="278"/>
      <c r="R76" s="290">
        <f t="shared" si="17"/>
        <v>45.83106085297635</v>
      </c>
      <c r="S76" s="278"/>
      <c r="T76" s="278"/>
      <c r="U76" s="278"/>
      <c r="V76" s="278"/>
      <c r="W76" s="278"/>
      <c r="X76" s="278"/>
    </row>
    <row r="77" spans="1:24" x14ac:dyDescent="0.2">
      <c r="A77" s="278">
        <v>1963</v>
      </c>
      <c r="B77" s="287">
        <f t="shared" si="18"/>
        <v>1839942.25</v>
      </c>
      <c r="C77" s="275">
        <f t="shared" si="13"/>
        <v>1889100.25</v>
      </c>
      <c r="D77" s="275">
        <v>117922</v>
      </c>
      <c r="E77" s="275">
        <v>19606</v>
      </c>
      <c r="F77" s="288">
        <f t="shared" si="14"/>
        <v>6.242230924483759E-2</v>
      </c>
      <c r="G77" s="288">
        <f t="shared" si="15"/>
        <v>1.037848573679454E-2</v>
      </c>
      <c r="H77" s="276">
        <f t="shared" si="16"/>
        <v>39.288286503677007</v>
      </c>
      <c r="I77" s="276"/>
      <c r="J77" s="278" t="str">
        <f t="shared" si="19"/>
        <v>1961-63</v>
      </c>
      <c r="K77" s="275">
        <f t="shared" si="20"/>
        <v>4759226.75</v>
      </c>
      <c r="L77" s="275">
        <f t="shared" si="21"/>
        <v>699370</v>
      </c>
      <c r="M77" s="275">
        <f t="shared" si="22"/>
        <v>28540</v>
      </c>
      <c r="N77" s="289">
        <f t="shared" si="23"/>
        <v>0.14695034230087903</v>
      </c>
      <c r="O77" s="289">
        <f t="shared" si="24"/>
        <v>5.9967724798991769E-3</v>
      </c>
      <c r="P77" s="276">
        <f t="shared" si="25"/>
        <v>33.686501751646894</v>
      </c>
      <c r="Q77" s="278"/>
      <c r="R77" s="290">
        <f t="shared" si="17"/>
        <v>45.83106085297635</v>
      </c>
      <c r="S77" s="278"/>
      <c r="T77" s="278"/>
      <c r="U77" s="278"/>
      <c r="V77" s="278"/>
      <c r="W77" s="278"/>
      <c r="X77" s="278"/>
    </row>
    <row r="78" spans="1:24" x14ac:dyDescent="0.2">
      <c r="A78" s="278">
        <v>1964</v>
      </c>
      <c r="B78" s="287">
        <f t="shared" si="18"/>
        <v>1938258.25</v>
      </c>
      <c r="C78" s="275">
        <f t="shared" ref="C78:C109" si="26">(B78+B78+D78-E78)/2</f>
        <v>1956710.25</v>
      </c>
      <c r="D78" s="275">
        <v>39048</v>
      </c>
      <c r="E78" s="275">
        <v>2144</v>
      </c>
      <c r="F78" s="288">
        <f t="shared" ref="F78:F109" si="27">IF(C78=0,0,D78/C78)</f>
        <v>1.9955943911470795E-2</v>
      </c>
      <c r="G78" s="288">
        <f t="shared" ref="G78:G109" si="28">IF(C78=0,0,E78/C78)</f>
        <v>1.0957166499230022E-3</v>
      </c>
      <c r="H78" s="276">
        <f t="shared" ref="H78:H109" si="29">IF(F78*G78&lt;=0,0,1/(SQRT(F78*G78)))</f>
        <v>213.85269722415526</v>
      </c>
      <c r="I78" s="276"/>
      <c r="J78" s="278" t="str">
        <f t="shared" si="19"/>
        <v>1962-64</v>
      </c>
      <c r="K78" s="275">
        <f t="shared" si="20"/>
        <v>5424002.25</v>
      </c>
      <c r="L78" s="275">
        <f t="shared" si="21"/>
        <v>681867</v>
      </c>
      <c r="M78" s="275">
        <f t="shared" si="22"/>
        <v>23146</v>
      </c>
      <c r="N78" s="289">
        <f t="shared" si="23"/>
        <v>0.12571289032927668</v>
      </c>
      <c r="O78" s="289">
        <f t="shared" si="24"/>
        <v>4.2673286132947309E-3</v>
      </c>
      <c r="P78" s="276">
        <f t="shared" si="25"/>
        <v>43.174970581257213</v>
      </c>
      <c r="Q78" s="278"/>
      <c r="R78" s="290">
        <f t="shared" ref="R78:R109" si="30">+$H$127</f>
        <v>45.83106085297635</v>
      </c>
      <c r="S78" s="278"/>
      <c r="T78" s="278"/>
      <c r="U78" s="278"/>
      <c r="V78" s="278"/>
      <c r="W78" s="278"/>
      <c r="X78" s="278"/>
    </row>
    <row r="79" spans="1:24" x14ac:dyDescent="0.2">
      <c r="A79" s="278">
        <v>1965</v>
      </c>
      <c r="B79" s="287">
        <f t="shared" ref="B79:B110" si="31">+B78+D78-E78</f>
        <v>1975162.25</v>
      </c>
      <c r="C79" s="275">
        <f t="shared" si="26"/>
        <v>2030683.25</v>
      </c>
      <c r="D79" s="275">
        <v>114475</v>
      </c>
      <c r="E79" s="275">
        <v>3433</v>
      </c>
      <c r="F79" s="288">
        <f t="shared" si="27"/>
        <v>5.637265191407867E-2</v>
      </c>
      <c r="G79" s="288">
        <f t="shared" si="28"/>
        <v>1.6905640010572796E-3</v>
      </c>
      <c r="H79" s="276">
        <f t="shared" si="29"/>
        <v>102.43537431567786</v>
      </c>
      <c r="I79" s="276"/>
      <c r="J79" s="278" t="str">
        <f t="shared" si="19"/>
        <v>1963-65</v>
      </c>
      <c r="K79" s="275">
        <f t="shared" si="20"/>
        <v>5876493.75</v>
      </c>
      <c r="L79" s="275">
        <f t="shared" si="21"/>
        <v>271445</v>
      </c>
      <c r="M79" s="275">
        <f t="shared" si="22"/>
        <v>25183</v>
      </c>
      <c r="N79" s="289">
        <f t="shared" si="23"/>
        <v>4.6191659780119736E-2</v>
      </c>
      <c r="O79" s="289">
        <f t="shared" si="24"/>
        <v>4.2853785048269644E-3</v>
      </c>
      <c r="P79" s="276">
        <f t="shared" si="25"/>
        <v>71.076105390985205</v>
      </c>
      <c r="Q79" s="278"/>
      <c r="R79" s="290">
        <f t="shared" si="30"/>
        <v>45.83106085297635</v>
      </c>
      <c r="S79" s="278"/>
      <c r="T79" s="278"/>
      <c r="U79" s="278"/>
      <c r="V79" s="278"/>
      <c r="W79" s="278"/>
      <c r="X79" s="278"/>
    </row>
    <row r="80" spans="1:24" x14ac:dyDescent="0.2">
      <c r="A80" s="278">
        <v>1966</v>
      </c>
      <c r="B80" s="287">
        <f t="shared" si="31"/>
        <v>2086204.25</v>
      </c>
      <c r="C80" s="275">
        <f t="shared" si="26"/>
        <v>2376403.75</v>
      </c>
      <c r="D80" s="275">
        <v>580399</v>
      </c>
      <c r="E80" s="275">
        <v>0</v>
      </c>
      <c r="F80" s="288">
        <f t="shared" si="27"/>
        <v>0.24423417106625925</v>
      </c>
      <c r="G80" s="288">
        <f t="shared" si="28"/>
        <v>0</v>
      </c>
      <c r="H80" s="276">
        <f t="shared" si="29"/>
        <v>0</v>
      </c>
      <c r="I80" s="276"/>
      <c r="J80" s="278" t="str">
        <f t="shared" ref="J80:J111" si="32">A78 &amp; "-" &amp; RIGHT(A78+2,2)</f>
        <v>1964-66</v>
      </c>
      <c r="K80" s="275">
        <f t="shared" ref="K80:K111" si="33">SUM(C78:C80)</f>
        <v>6363797.25</v>
      </c>
      <c r="L80" s="275">
        <f t="shared" ref="L80:L111" si="34">SUM(D78:D80)</f>
        <v>733922</v>
      </c>
      <c r="M80" s="275">
        <f t="shared" ref="M80:M111" si="35">SUM(E78:E80)</f>
        <v>5577</v>
      </c>
      <c r="N80" s="289">
        <f t="shared" ref="N80:N111" si="36">IF(K80=0,0,L80/K80)</f>
        <v>0.11532768426901092</v>
      </c>
      <c r="O80" s="289">
        <f t="shared" ref="O80:O111" si="37">IF(K80=0,0,M80/K80)</f>
        <v>8.763635579370477E-4</v>
      </c>
      <c r="P80" s="276">
        <f t="shared" ref="P80:P111" si="38">IF(N80*O80&lt;=0,0,1/(SQRT(N80*O80)))</f>
        <v>99.469757514265524</v>
      </c>
      <c r="Q80" s="278"/>
      <c r="R80" s="290">
        <f t="shared" si="30"/>
        <v>45.83106085297635</v>
      </c>
      <c r="S80" s="278"/>
      <c r="T80" s="278"/>
      <c r="U80" s="278"/>
      <c r="V80" s="278"/>
      <c r="W80" s="278"/>
      <c r="X80" s="278"/>
    </row>
    <row r="81" spans="1:24" x14ac:dyDescent="0.2">
      <c r="A81" s="278">
        <v>1967</v>
      </c>
      <c r="B81" s="287">
        <f t="shared" si="31"/>
        <v>2666603.25</v>
      </c>
      <c r="C81" s="275">
        <f t="shared" si="26"/>
        <v>2820585.25</v>
      </c>
      <c r="D81" s="275">
        <v>346553</v>
      </c>
      <c r="E81" s="275">
        <v>38589</v>
      </c>
      <c r="F81" s="288">
        <f t="shared" si="27"/>
        <v>0.12286563577541221</v>
      </c>
      <c r="G81" s="288">
        <f t="shared" si="28"/>
        <v>1.3681203218374627E-2</v>
      </c>
      <c r="H81" s="276">
        <f t="shared" si="29"/>
        <v>24.390608591933002</v>
      </c>
      <c r="I81" s="276"/>
      <c r="J81" s="278" t="str">
        <f t="shared" si="32"/>
        <v>1965-67</v>
      </c>
      <c r="K81" s="275">
        <f t="shared" si="33"/>
        <v>7227672.25</v>
      </c>
      <c r="L81" s="275">
        <f t="shared" si="34"/>
        <v>1041427</v>
      </c>
      <c r="M81" s="275">
        <f t="shared" si="35"/>
        <v>42022</v>
      </c>
      <c r="N81" s="289">
        <f t="shared" si="36"/>
        <v>0.1440888523964268</v>
      </c>
      <c r="O81" s="289">
        <f t="shared" si="37"/>
        <v>5.8140433802874774E-3</v>
      </c>
      <c r="P81" s="276">
        <f t="shared" si="38"/>
        <v>34.549810912800844</v>
      </c>
      <c r="Q81" s="278"/>
      <c r="R81" s="290">
        <f t="shared" si="30"/>
        <v>45.83106085297635</v>
      </c>
      <c r="S81" s="278"/>
      <c r="T81" s="278"/>
      <c r="U81" s="278"/>
      <c r="V81" s="278"/>
      <c r="W81" s="278"/>
      <c r="X81" s="278"/>
    </row>
    <row r="82" spans="1:24" x14ac:dyDescent="0.2">
      <c r="A82" s="278">
        <v>1968</v>
      </c>
      <c r="B82" s="287">
        <f t="shared" si="31"/>
        <v>2974567.25</v>
      </c>
      <c r="C82" s="275">
        <f t="shared" si="26"/>
        <v>2983780.75</v>
      </c>
      <c r="D82" s="275">
        <v>28288</v>
      </c>
      <c r="E82" s="275">
        <v>9861</v>
      </c>
      <c r="F82" s="288">
        <f t="shared" si="27"/>
        <v>9.4805893496028495E-3</v>
      </c>
      <c r="G82" s="288">
        <f t="shared" si="28"/>
        <v>3.3048674906827522E-3</v>
      </c>
      <c r="H82" s="276">
        <f t="shared" si="29"/>
        <v>178.65094042518868</v>
      </c>
      <c r="I82" s="276"/>
      <c r="J82" s="278" t="str">
        <f t="shared" si="32"/>
        <v>1966-68</v>
      </c>
      <c r="K82" s="275">
        <f t="shared" si="33"/>
        <v>8180769.75</v>
      </c>
      <c r="L82" s="275">
        <f t="shared" si="34"/>
        <v>955240</v>
      </c>
      <c r="M82" s="275">
        <f t="shared" si="35"/>
        <v>48450</v>
      </c>
      <c r="N82" s="289">
        <f t="shared" si="36"/>
        <v>0.11676651821181008</v>
      </c>
      <c r="O82" s="289">
        <f t="shared" si="37"/>
        <v>5.9224255761507038E-3</v>
      </c>
      <c r="P82" s="276">
        <f t="shared" si="38"/>
        <v>38.026909299098129</v>
      </c>
      <c r="Q82" s="278"/>
      <c r="R82" s="290">
        <f t="shared" si="30"/>
        <v>45.83106085297635</v>
      </c>
      <c r="S82" s="278"/>
      <c r="T82" s="278"/>
      <c r="U82" s="278"/>
      <c r="V82" s="278"/>
      <c r="W82" s="278"/>
      <c r="X82" s="278"/>
    </row>
    <row r="83" spans="1:24" x14ac:dyDescent="0.2">
      <c r="A83" s="278">
        <v>1969</v>
      </c>
      <c r="B83" s="287">
        <f t="shared" si="31"/>
        <v>2992994.25</v>
      </c>
      <c r="C83" s="275">
        <f t="shared" si="26"/>
        <v>3378702.75</v>
      </c>
      <c r="D83" s="275">
        <v>814347</v>
      </c>
      <c r="E83" s="275">
        <v>42930</v>
      </c>
      <c r="F83" s="288">
        <f t="shared" si="27"/>
        <v>0.24102357036291516</v>
      </c>
      <c r="G83" s="288">
        <f t="shared" si="28"/>
        <v>1.2706060040351286E-2</v>
      </c>
      <c r="H83" s="276">
        <f t="shared" si="29"/>
        <v>18.070276197764592</v>
      </c>
      <c r="I83" s="276"/>
      <c r="J83" s="278" t="str">
        <f t="shared" si="32"/>
        <v>1967-69</v>
      </c>
      <c r="K83" s="275">
        <f t="shared" si="33"/>
        <v>9183068.75</v>
      </c>
      <c r="L83" s="275">
        <f t="shared" si="34"/>
        <v>1189188</v>
      </c>
      <c r="M83" s="275">
        <f t="shared" si="35"/>
        <v>91380</v>
      </c>
      <c r="N83" s="289">
        <f t="shared" si="36"/>
        <v>0.12949788707614762</v>
      </c>
      <c r="O83" s="289">
        <f t="shared" si="37"/>
        <v>9.9509219072328077E-3</v>
      </c>
      <c r="P83" s="276">
        <f t="shared" si="38"/>
        <v>27.857170339392187</v>
      </c>
      <c r="Q83" s="278"/>
      <c r="R83" s="290">
        <f t="shared" si="30"/>
        <v>45.83106085297635</v>
      </c>
      <c r="S83" s="278"/>
      <c r="T83" s="278"/>
      <c r="U83" s="278"/>
      <c r="V83" s="278"/>
      <c r="W83" s="278"/>
      <c r="X83" s="278"/>
    </row>
    <row r="84" spans="1:24" x14ac:dyDescent="0.2">
      <c r="A84" s="278">
        <v>1970</v>
      </c>
      <c r="B84" s="287">
        <f t="shared" si="31"/>
        <v>3764411.25</v>
      </c>
      <c r="C84" s="275">
        <f t="shared" si="26"/>
        <v>4335225.25</v>
      </c>
      <c r="D84" s="275">
        <v>1141963</v>
      </c>
      <c r="E84" s="275">
        <v>335</v>
      </c>
      <c r="F84" s="288">
        <f t="shared" si="27"/>
        <v>0.26341491713723525</v>
      </c>
      <c r="G84" s="288">
        <f t="shared" si="28"/>
        <v>7.7273954796235785E-5</v>
      </c>
      <c r="H84" s="276">
        <f t="shared" si="29"/>
        <v>221.6477094454284</v>
      </c>
      <c r="I84" s="276"/>
      <c r="J84" s="278" t="str">
        <f t="shared" si="32"/>
        <v>1968-70</v>
      </c>
      <c r="K84" s="275">
        <f t="shared" si="33"/>
        <v>10697708.75</v>
      </c>
      <c r="L84" s="275">
        <f t="shared" si="34"/>
        <v>1984598</v>
      </c>
      <c r="M84" s="275">
        <f t="shared" si="35"/>
        <v>53126</v>
      </c>
      <c r="N84" s="289">
        <f t="shared" si="36"/>
        <v>0.18551617419945182</v>
      </c>
      <c r="O84" s="289">
        <f t="shared" si="37"/>
        <v>4.9661101495215038E-3</v>
      </c>
      <c r="P84" s="276">
        <f t="shared" si="38"/>
        <v>32.94586664548855</v>
      </c>
      <c r="Q84" s="278"/>
      <c r="R84" s="290">
        <f t="shared" si="30"/>
        <v>45.83106085297635</v>
      </c>
      <c r="S84" s="278"/>
      <c r="T84" s="278"/>
      <c r="U84" s="278"/>
      <c r="V84" s="278"/>
      <c r="W84" s="278"/>
      <c r="X84" s="278"/>
    </row>
    <row r="85" spans="1:24" x14ac:dyDescent="0.2">
      <c r="A85" s="278">
        <v>1971</v>
      </c>
      <c r="B85" s="287">
        <f t="shared" si="31"/>
        <v>4906039.25</v>
      </c>
      <c r="C85" s="275">
        <f t="shared" si="26"/>
        <v>5003229.75</v>
      </c>
      <c r="D85" s="275">
        <v>195881</v>
      </c>
      <c r="E85" s="275">
        <v>1500</v>
      </c>
      <c r="F85" s="288">
        <f t="shared" si="27"/>
        <v>3.9150910469382301E-2</v>
      </c>
      <c r="G85" s="288">
        <f t="shared" si="28"/>
        <v>2.9980634009461589E-4</v>
      </c>
      <c r="H85" s="276">
        <f t="shared" si="29"/>
        <v>291.88290536902974</v>
      </c>
      <c r="I85" s="276"/>
      <c r="J85" s="278" t="str">
        <f t="shared" si="32"/>
        <v>1969-71</v>
      </c>
      <c r="K85" s="275">
        <f t="shared" si="33"/>
        <v>12717157.75</v>
      </c>
      <c r="L85" s="275">
        <f t="shared" si="34"/>
        <v>2152191</v>
      </c>
      <c r="M85" s="275">
        <f t="shared" si="35"/>
        <v>44765</v>
      </c>
      <c r="N85" s="289">
        <f t="shared" si="36"/>
        <v>0.16923522081811088</v>
      </c>
      <c r="O85" s="289">
        <f t="shared" si="37"/>
        <v>3.52004755150576E-3</v>
      </c>
      <c r="P85" s="276">
        <f t="shared" si="38"/>
        <v>40.971357973242114</v>
      </c>
      <c r="Q85" s="278"/>
      <c r="R85" s="290">
        <f t="shared" si="30"/>
        <v>45.83106085297635</v>
      </c>
      <c r="S85" s="278"/>
      <c r="T85" s="278"/>
      <c r="U85" s="278"/>
      <c r="V85" s="278"/>
      <c r="W85" s="278"/>
      <c r="X85" s="278"/>
    </row>
    <row r="86" spans="1:24" x14ac:dyDescent="0.2">
      <c r="A86" s="278">
        <v>1972</v>
      </c>
      <c r="B86" s="287">
        <f t="shared" si="31"/>
        <v>5100420.25</v>
      </c>
      <c r="C86" s="275">
        <f t="shared" si="26"/>
        <v>5466704.25</v>
      </c>
      <c r="D86" s="275">
        <v>735856</v>
      </c>
      <c r="E86" s="275">
        <v>3288</v>
      </c>
      <c r="F86" s="288">
        <f t="shared" si="27"/>
        <v>0.13460687945575253</v>
      </c>
      <c r="G86" s="288">
        <f t="shared" si="28"/>
        <v>6.0145927960159908E-4</v>
      </c>
      <c r="H86" s="276">
        <f t="shared" si="29"/>
        <v>111.13817398096822</v>
      </c>
      <c r="I86" s="276"/>
      <c r="J86" s="278" t="str">
        <f t="shared" si="32"/>
        <v>1970-72</v>
      </c>
      <c r="K86" s="275">
        <f t="shared" si="33"/>
        <v>14805159.25</v>
      </c>
      <c r="L86" s="275">
        <f t="shared" si="34"/>
        <v>2073700</v>
      </c>
      <c r="M86" s="275">
        <f t="shared" si="35"/>
        <v>5123</v>
      </c>
      <c r="N86" s="289">
        <f t="shared" si="36"/>
        <v>0.14006603812789112</v>
      </c>
      <c r="O86" s="289">
        <f t="shared" si="37"/>
        <v>3.4602802398089709E-4</v>
      </c>
      <c r="P86" s="276">
        <f t="shared" si="38"/>
        <v>143.64084173153196</v>
      </c>
      <c r="Q86" s="278"/>
      <c r="R86" s="290">
        <f t="shared" si="30"/>
        <v>45.83106085297635</v>
      </c>
      <c r="S86" s="278"/>
      <c r="T86" s="278"/>
      <c r="U86" s="278"/>
      <c r="V86" s="278"/>
      <c r="W86" s="278"/>
      <c r="X86" s="278"/>
    </row>
    <row r="87" spans="1:24" x14ac:dyDescent="0.2">
      <c r="A87" s="278">
        <v>1973</v>
      </c>
      <c r="B87" s="287">
        <f t="shared" si="31"/>
        <v>5832988.25</v>
      </c>
      <c r="C87" s="275">
        <f t="shared" si="26"/>
        <v>5965259.71</v>
      </c>
      <c r="D87" s="275">
        <v>266035.92</v>
      </c>
      <c r="E87" s="275">
        <v>1493</v>
      </c>
      <c r="F87" s="288">
        <f t="shared" si="27"/>
        <v>4.4597541923283669E-2</v>
      </c>
      <c r="G87" s="288">
        <f t="shared" si="28"/>
        <v>2.5028248099528261E-4</v>
      </c>
      <c r="H87" s="276">
        <f t="shared" si="29"/>
        <v>299.31557292275193</v>
      </c>
      <c r="I87" s="276"/>
      <c r="J87" s="278" t="str">
        <f t="shared" si="32"/>
        <v>1971-73</v>
      </c>
      <c r="K87" s="275">
        <f t="shared" si="33"/>
        <v>16435193.710000001</v>
      </c>
      <c r="L87" s="275">
        <f t="shared" si="34"/>
        <v>1197772.92</v>
      </c>
      <c r="M87" s="275">
        <f t="shared" si="35"/>
        <v>6281</v>
      </c>
      <c r="N87" s="289">
        <f t="shared" si="36"/>
        <v>7.287853986602022E-2</v>
      </c>
      <c r="O87" s="289">
        <f t="shared" si="37"/>
        <v>3.8216768909625466E-4</v>
      </c>
      <c r="P87" s="276">
        <f t="shared" si="38"/>
        <v>189.48427982146455</v>
      </c>
      <c r="Q87" s="278"/>
      <c r="R87" s="290">
        <f t="shared" si="30"/>
        <v>45.83106085297635</v>
      </c>
      <c r="S87" s="278"/>
      <c r="T87" s="278"/>
      <c r="U87" s="278"/>
      <c r="V87" s="278"/>
      <c r="W87" s="278"/>
      <c r="X87" s="278"/>
    </row>
    <row r="88" spans="1:24" x14ac:dyDescent="0.2">
      <c r="A88" s="278">
        <v>1974</v>
      </c>
      <c r="B88" s="287">
        <f t="shared" si="31"/>
        <v>6097531.1699999999</v>
      </c>
      <c r="C88" s="275">
        <f t="shared" si="26"/>
        <v>6240561.6699999999</v>
      </c>
      <c r="D88" s="275">
        <v>286420</v>
      </c>
      <c r="E88" s="275">
        <v>359</v>
      </c>
      <c r="F88" s="288">
        <f t="shared" si="27"/>
        <v>4.5896509824892094E-2</v>
      </c>
      <c r="G88" s="288">
        <f t="shared" si="28"/>
        <v>5.7526873218128141E-5</v>
      </c>
      <c r="H88" s="276">
        <f t="shared" si="29"/>
        <v>615.42450470929566</v>
      </c>
      <c r="I88" s="276"/>
      <c r="J88" s="278" t="str">
        <f t="shared" si="32"/>
        <v>1972-74</v>
      </c>
      <c r="K88" s="275">
        <f t="shared" si="33"/>
        <v>17672525.630000003</v>
      </c>
      <c r="L88" s="275">
        <f t="shared" si="34"/>
        <v>1288311.92</v>
      </c>
      <c r="M88" s="275">
        <f t="shared" si="35"/>
        <v>5140</v>
      </c>
      <c r="N88" s="289">
        <f t="shared" si="36"/>
        <v>7.2899139996890169E-2</v>
      </c>
      <c r="O88" s="289">
        <f t="shared" si="37"/>
        <v>2.9084693991189304E-4</v>
      </c>
      <c r="P88" s="276">
        <f t="shared" si="38"/>
        <v>217.17335877376777</v>
      </c>
      <c r="Q88" s="278"/>
      <c r="R88" s="290">
        <f t="shared" si="30"/>
        <v>45.83106085297635</v>
      </c>
      <c r="S88" s="278"/>
      <c r="T88" s="278"/>
      <c r="U88" s="278"/>
      <c r="V88" s="278"/>
      <c r="W88" s="278"/>
      <c r="X88" s="278"/>
    </row>
    <row r="89" spans="1:24" x14ac:dyDescent="0.2">
      <c r="A89" s="278">
        <v>1975</v>
      </c>
      <c r="B89" s="287">
        <f t="shared" si="31"/>
        <v>6383592.1699999999</v>
      </c>
      <c r="C89" s="275">
        <f t="shared" si="26"/>
        <v>6471329.1699999999</v>
      </c>
      <c r="D89" s="275">
        <v>182838</v>
      </c>
      <c r="E89" s="275">
        <v>7364</v>
      </c>
      <c r="F89" s="288">
        <f t="shared" si="27"/>
        <v>2.8253546558503994E-2</v>
      </c>
      <c r="G89" s="288">
        <f t="shared" si="28"/>
        <v>1.1379424236582297E-3</v>
      </c>
      <c r="H89" s="276">
        <f t="shared" si="29"/>
        <v>176.3613319885194</v>
      </c>
      <c r="I89" s="276"/>
      <c r="J89" s="278" t="str">
        <f t="shared" si="32"/>
        <v>1973-75</v>
      </c>
      <c r="K89" s="275">
        <f t="shared" si="33"/>
        <v>18677150.549999997</v>
      </c>
      <c r="L89" s="275">
        <f t="shared" si="34"/>
        <v>735293.91999999993</v>
      </c>
      <c r="M89" s="275">
        <f t="shared" si="35"/>
        <v>9216</v>
      </c>
      <c r="N89" s="289">
        <f t="shared" si="36"/>
        <v>3.9368634847781962E-2</v>
      </c>
      <c r="O89" s="289">
        <f t="shared" si="37"/>
        <v>4.934371533456425E-4</v>
      </c>
      <c r="P89" s="276">
        <f t="shared" si="38"/>
        <v>226.88662713905106</v>
      </c>
      <c r="Q89" s="278"/>
      <c r="R89" s="290">
        <f t="shared" si="30"/>
        <v>45.83106085297635</v>
      </c>
      <c r="S89" s="278"/>
      <c r="T89" s="278"/>
      <c r="U89" s="278"/>
      <c r="V89" s="278"/>
      <c r="W89" s="278"/>
      <c r="X89" s="278"/>
    </row>
    <row r="90" spans="1:24" x14ac:dyDescent="0.2">
      <c r="A90" s="278">
        <v>1976</v>
      </c>
      <c r="B90" s="287">
        <f t="shared" si="31"/>
        <v>6559066.1699999999</v>
      </c>
      <c r="C90" s="275">
        <f t="shared" si="26"/>
        <v>6622343.1699999999</v>
      </c>
      <c r="D90" s="275">
        <v>128554</v>
      </c>
      <c r="E90" s="275">
        <v>2000</v>
      </c>
      <c r="F90" s="288">
        <f t="shared" si="27"/>
        <v>1.9412162236225522E-2</v>
      </c>
      <c r="G90" s="288">
        <f t="shared" si="28"/>
        <v>3.0200790696867494E-4</v>
      </c>
      <c r="H90" s="276">
        <f t="shared" si="29"/>
        <v>413.00364741450812</v>
      </c>
      <c r="I90" s="276"/>
      <c r="J90" s="278" t="str">
        <f t="shared" si="32"/>
        <v>1974-76</v>
      </c>
      <c r="K90" s="275">
        <f t="shared" si="33"/>
        <v>19334234.009999998</v>
      </c>
      <c r="L90" s="275">
        <f t="shared" si="34"/>
        <v>597812</v>
      </c>
      <c r="M90" s="275">
        <f t="shared" si="35"/>
        <v>9723</v>
      </c>
      <c r="N90" s="289">
        <f t="shared" si="36"/>
        <v>3.0919869889378674E-2</v>
      </c>
      <c r="O90" s="289">
        <f t="shared" si="37"/>
        <v>5.028903650887383E-4</v>
      </c>
      <c r="P90" s="276">
        <f t="shared" si="38"/>
        <v>253.59723473451433</v>
      </c>
      <c r="Q90" s="278"/>
      <c r="R90" s="290">
        <f t="shared" si="30"/>
        <v>45.83106085297635</v>
      </c>
      <c r="S90" s="278"/>
      <c r="T90" s="278"/>
      <c r="U90" s="278"/>
      <c r="V90" s="278"/>
      <c r="W90" s="278"/>
      <c r="X90" s="278"/>
    </row>
    <row r="91" spans="1:24" x14ac:dyDescent="0.2">
      <c r="A91" s="278">
        <v>1977</v>
      </c>
      <c r="B91" s="287">
        <f t="shared" si="31"/>
        <v>6685620.1699999999</v>
      </c>
      <c r="C91" s="275">
        <f t="shared" si="26"/>
        <v>6793499.1699999999</v>
      </c>
      <c r="D91" s="275">
        <v>219152</v>
      </c>
      <c r="E91" s="275">
        <v>3394</v>
      </c>
      <c r="F91" s="288">
        <f t="shared" si="27"/>
        <v>3.2259075112244399E-2</v>
      </c>
      <c r="G91" s="288">
        <f t="shared" si="28"/>
        <v>4.9959526233371132E-4</v>
      </c>
      <c r="H91" s="276">
        <f t="shared" si="29"/>
        <v>249.09493019859991</v>
      </c>
      <c r="I91" s="276"/>
      <c r="J91" s="278" t="str">
        <f t="shared" si="32"/>
        <v>1975-77</v>
      </c>
      <c r="K91" s="275">
        <f t="shared" si="33"/>
        <v>19887171.509999998</v>
      </c>
      <c r="L91" s="275">
        <f t="shared" si="34"/>
        <v>530544</v>
      </c>
      <c r="M91" s="275">
        <f t="shared" si="35"/>
        <v>12758</v>
      </c>
      <c r="N91" s="289">
        <f t="shared" si="36"/>
        <v>2.6677700231690717E-2</v>
      </c>
      <c r="O91" s="289">
        <f t="shared" si="37"/>
        <v>6.4151908146338509E-4</v>
      </c>
      <c r="P91" s="276">
        <f t="shared" si="38"/>
        <v>241.72469257466608</v>
      </c>
      <c r="Q91" s="278"/>
      <c r="R91" s="290">
        <f t="shared" si="30"/>
        <v>45.83106085297635</v>
      </c>
      <c r="S91" s="278"/>
      <c r="T91" s="278"/>
      <c r="U91" s="278"/>
      <c r="V91" s="278"/>
      <c r="W91" s="278"/>
      <c r="X91" s="278"/>
    </row>
    <row r="92" spans="1:24" x14ac:dyDescent="0.2">
      <c r="A92" s="278">
        <v>1978</v>
      </c>
      <c r="B92" s="287">
        <f t="shared" si="31"/>
        <v>6901378.1699999999</v>
      </c>
      <c r="C92" s="275">
        <f t="shared" si="26"/>
        <v>6924535.6699999999</v>
      </c>
      <c r="D92" s="275">
        <v>70049</v>
      </c>
      <c r="E92" s="275">
        <v>23734</v>
      </c>
      <c r="F92" s="288">
        <f t="shared" si="27"/>
        <v>1.011605735579957E-2</v>
      </c>
      <c r="G92" s="288">
        <f t="shared" si="28"/>
        <v>3.427522238469457E-3</v>
      </c>
      <c r="H92" s="276">
        <f t="shared" si="29"/>
        <v>169.8260145822972</v>
      </c>
      <c r="I92" s="276"/>
      <c r="J92" s="278" t="str">
        <f t="shared" si="32"/>
        <v>1976-78</v>
      </c>
      <c r="K92" s="275">
        <f t="shared" si="33"/>
        <v>20340378.009999998</v>
      </c>
      <c r="L92" s="275">
        <f t="shared" si="34"/>
        <v>417755</v>
      </c>
      <c r="M92" s="275">
        <f t="shared" si="35"/>
        <v>29128</v>
      </c>
      <c r="N92" s="289">
        <f t="shared" si="36"/>
        <v>2.0538212209950963E-2</v>
      </c>
      <c r="O92" s="289">
        <f t="shared" si="37"/>
        <v>1.432028450291323E-3</v>
      </c>
      <c r="P92" s="276">
        <f t="shared" si="38"/>
        <v>184.39233267663943</v>
      </c>
      <c r="Q92" s="278"/>
      <c r="R92" s="290">
        <f t="shared" si="30"/>
        <v>45.83106085297635</v>
      </c>
      <c r="S92" s="278"/>
      <c r="T92" s="278"/>
      <c r="U92" s="278"/>
      <c r="V92" s="278"/>
      <c r="W92" s="278"/>
      <c r="X92" s="278"/>
    </row>
    <row r="93" spans="1:24" x14ac:dyDescent="0.2">
      <c r="A93" s="278">
        <v>1979</v>
      </c>
      <c r="B93" s="287">
        <f t="shared" si="31"/>
        <v>6947693.1699999999</v>
      </c>
      <c r="C93" s="275">
        <f t="shared" si="26"/>
        <v>7064267.1699999999</v>
      </c>
      <c r="D93" s="275">
        <v>261516</v>
      </c>
      <c r="E93" s="275">
        <v>28368</v>
      </c>
      <c r="F93" s="288">
        <f t="shared" si="27"/>
        <v>3.7019551173062444E-2</v>
      </c>
      <c r="G93" s="288">
        <f t="shared" si="28"/>
        <v>4.0157031603321987E-3</v>
      </c>
      <c r="H93" s="276">
        <f t="shared" si="29"/>
        <v>82.016951761657637</v>
      </c>
      <c r="I93" s="276"/>
      <c r="J93" s="278" t="str">
        <f t="shared" si="32"/>
        <v>1977-79</v>
      </c>
      <c r="K93" s="275">
        <f t="shared" si="33"/>
        <v>20782302.009999998</v>
      </c>
      <c r="L93" s="275">
        <f t="shared" si="34"/>
        <v>550717</v>
      </c>
      <c r="M93" s="275">
        <f t="shared" si="35"/>
        <v>55496</v>
      </c>
      <c r="N93" s="289">
        <f t="shared" si="36"/>
        <v>2.6499326192786863E-2</v>
      </c>
      <c r="O93" s="289">
        <f t="shared" si="37"/>
        <v>2.6703490293470142E-3</v>
      </c>
      <c r="P93" s="276">
        <f t="shared" si="38"/>
        <v>118.87720062134954</v>
      </c>
      <c r="Q93" s="278"/>
      <c r="R93" s="290">
        <f t="shared" si="30"/>
        <v>45.83106085297635</v>
      </c>
      <c r="S93" s="278"/>
      <c r="T93" s="278"/>
      <c r="U93" s="278"/>
      <c r="V93" s="278"/>
      <c r="W93" s="278"/>
      <c r="X93" s="278"/>
    </row>
    <row r="94" spans="1:24" x14ac:dyDescent="0.2">
      <c r="A94" s="278">
        <v>1980</v>
      </c>
      <c r="B94" s="287">
        <f t="shared" si="31"/>
        <v>7180841.1699999999</v>
      </c>
      <c r="C94" s="275">
        <f t="shared" si="26"/>
        <v>7268068.1699999999</v>
      </c>
      <c r="D94" s="275">
        <v>186928</v>
      </c>
      <c r="E94" s="275">
        <v>12474</v>
      </c>
      <c r="F94" s="288">
        <f t="shared" si="27"/>
        <v>2.5719076325064243E-2</v>
      </c>
      <c r="G94" s="288">
        <f t="shared" si="28"/>
        <v>1.7162744911348293E-3</v>
      </c>
      <c r="H94" s="276">
        <f t="shared" si="29"/>
        <v>150.51470873988768</v>
      </c>
      <c r="I94" s="276"/>
      <c r="J94" s="278" t="str">
        <f t="shared" si="32"/>
        <v>1978-80</v>
      </c>
      <c r="K94" s="275">
        <f t="shared" si="33"/>
        <v>21256871.009999998</v>
      </c>
      <c r="L94" s="275">
        <f t="shared" si="34"/>
        <v>518493</v>
      </c>
      <c r="M94" s="275">
        <f t="shared" si="35"/>
        <v>64576</v>
      </c>
      <c r="N94" s="289">
        <f t="shared" si="36"/>
        <v>2.4391783708716218E-2</v>
      </c>
      <c r="O94" s="289">
        <f t="shared" si="37"/>
        <v>3.0378883124247743E-3</v>
      </c>
      <c r="P94" s="276">
        <f t="shared" si="38"/>
        <v>116.16955301318814</v>
      </c>
      <c r="Q94" s="278"/>
      <c r="R94" s="290">
        <f t="shared" si="30"/>
        <v>45.83106085297635</v>
      </c>
      <c r="S94" s="278"/>
      <c r="T94" s="278"/>
      <c r="U94" s="278"/>
      <c r="V94" s="278"/>
      <c r="W94" s="278"/>
      <c r="X94" s="278"/>
    </row>
    <row r="95" spans="1:24" x14ac:dyDescent="0.2">
      <c r="A95" s="278">
        <v>1981</v>
      </c>
      <c r="B95" s="287">
        <f t="shared" si="31"/>
        <v>7355295.1699999999</v>
      </c>
      <c r="C95" s="275">
        <f t="shared" si="26"/>
        <v>8327647.6699999999</v>
      </c>
      <c r="D95" s="275">
        <v>1956595</v>
      </c>
      <c r="E95" s="275">
        <v>11890</v>
      </c>
      <c r="F95" s="288">
        <f t="shared" si="27"/>
        <v>0.23495170275377417</v>
      </c>
      <c r="G95" s="288">
        <f t="shared" si="28"/>
        <v>1.4277741411699277E-3</v>
      </c>
      <c r="H95" s="276">
        <f t="shared" si="29"/>
        <v>54.598529441859299</v>
      </c>
      <c r="I95" s="276"/>
      <c r="J95" s="278" t="str">
        <f t="shared" si="32"/>
        <v>1979-81</v>
      </c>
      <c r="K95" s="275">
        <f t="shared" si="33"/>
        <v>22659983.009999998</v>
      </c>
      <c r="L95" s="275">
        <f t="shared" si="34"/>
        <v>2405039</v>
      </c>
      <c r="M95" s="275">
        <f t="shared" si="35"/>
        <v>52732</v>
      </c>
      <c r="N95" s="289">
        <f t="shared" si="36"/>
        <v>0.10613595777801954</v>
      </c>
      <c r="O95" s="289">
        <f t="shared" si="37"/>
        <v>2.3270979495760885E-3</v>
      </c>
      <c r="P95" s="276">
        <f t="shared" si="38"/>
        <v>63.629922835787262</v>
      </c>
      <c r="Q95" s="278"/>
      <c r="R95" s="290">
        <f t="shared" si="30"/>
        <v>45.83106085297635</v>
      </c>
      <c r="S95" s="278"/>
      <c r="T95" s="278"/>
      <c r="U95" s="278"/>
      <c r="V95" s="278"/>
      <c r="W95" s="278"/>
      <c r="X95" s="278"/>
    </row>
    <row r="96" spans="1:24" x14ac:dyDescent="0.2">
      <c r="A96" s="278">
        <v>1982</v>
      </c>
      <c r="B96" s="287">
        <f t="shared" si="31"/>
        <v>9300000.1699999999</v>
      </c>
      <c r="C96" s="275">
        <f t="shared" si="26"/>
        <v>9441955.1699999999</v>
      </c>
      <c r="D96" s="275">
        <v>289346</v>
      </c>
      <c r="E96" s="275">
        <v>5436</v>
      </c>
      <c r="F96" s="288">
        <f t="shared" si="27"/>
        <v>3.06447123281565E-2</v>
      </c>
      <c r="G96" s="288">
        <f t="shared" si="28"/>
        <v>5.7572821540943623E-4</v>
      </c>
      <c r="H96" s="276">
        <f t="shared" si="29"/>
        <v>238.07482216226313</v>
      </c>
      <c r="I96" s="276"/>
      <c r="J96" s="278" t="str">
        <f t="shared" si="32"/>
        <v>1980-82</v>
      </c>
      <c r="K96" s="275">
        <f t="shared" si="33"/>
        <v>25037671.009999998</v>
      </c>
      <c r="L96" s="275">
        <f t="shared" si="34"/>
        <v>2432869</v>
      </c>
      <c r="M96" s="275">
        <f t="shared" si="35"/>
        <v>29800</v>
      </c>
      <c r="N96" s="289">
        <f t="shared" si="36"/>
        <v>9.7168342815444647E-2</v>
      </c>
      <c r="O96" s="289">
        <f t="shared" si="37"/>
        <v>1.1902065486880922E-3</v>
      </c>
      <c r="P96" s="276">
        <f t="shared" si="38"/>
        <v>92.987898792766742</v>
      </c>
      <c r="Q96" s="278"/>
      <c r="R96" s="290">
        <f t="shared" si="30"/>
        <v>45.83106085297635</v>
      </c>
      <c r="S96" s="278"/>
      <c r="T96" s="278"/>
      <c r="U96" s="278"/>
      <c r="V96" s="278"/>
      <c r="W96" s="278"/>
      <c r="X96" s="278"/>
    </row>
    <row r="97" spans="1:24" x14ac:dyDescent="0.2">
      <c r="A97" s="278">
        <v>1983</v>
      </c>
      <c r="B97" s="287">
        <f t="shared" si="31"/>
        <v>9583910.1699999999</v>
      </c>
      <c r="C97" s="275">
        <f t="shared" si="26"/>
        <v>9860751.6699999999</v>
      </c>
      <c r="D97" s="275">
        <v>689797</v>
      </c>
      <c r="E97" s="275">
        <v>136114</v>
      </c>
      <c r="F97" s="288">
        <f t="shared" si="27"/>
        <v>6.9953794911863959E-2</v>
      </c>
      <c r="G97" s="288">
        <f t="shared" si="28"/>
        <v>1.3803613005903839E-2</v>
      </c>
      <c r="H97" s="276">
        <f t="shared" si="29"/>
        <v>32.180884213956112</v>
      </c>
      <c r="I97" s="276"/>
      <c r="J97" s="278" t="str">
        <f t="shared" si="32"/>
        <v>1981-83</v>
      </c>
      <c r="K97" s="275">
        <f t="shared" si="33"/>
        <v>27630354.509999998</v>
      </c>
      <c r="L97" s="275">
        <f t="shared" si="34"/>
        <v>2935738</v>
      </c>
      <c r="M97" s="275">
        <f t="shared" si="35"/>
        <v>153440</v>
      </c>
      <c r="N97" s="289">
        <f t="shared" si="36"/>
        <v>0.10625046446427228</v>
      </c>
      <c r="O97" s="289">
        <f t="shared" si="37"/>
        <v>5.5533127504559122E-3</v>
      </c>
      <c r="P97" s="276">
        <f t="shared" si="38"/>
        <v>41.167881148132068</v>
      </c>
      <c r="Q97" s="278"/>
      <c r="R97" s="290">
        <f t="shared" si="30"/>
        <v>45.83106085297635</v>
      </c>
      <c r="S97" s="278"/>
      <c r="T97" s="278"/>
      <c r="U97" s="278"/>
      <c r="V97" s="278"/>
      <c r="W97" s="278"/>
      <c r="X97" s="278"/>
    </row>
    <row r="98" spans="1:24" x14ac:dyDescent="0.2">
      <c r="A98" s="278">
        <v>1984</v>
      </c>
      <c r="B98" s="287">
        <f t="shared" si="31"/>
        <v>10137593.17</v>
      </c>
      <c r="C98" s="275">
        <f t="shared" si="26"/>
        <v>10354874.67</v>
      </c>
      <c r="D98" s="275">
        <v>445517</v>
      </c>
      <c r="E98" s="275">
        <v>10954</v>
      </c>
      <c r="F98" s="288">
        <f t="shared" si="27"/>
        <v>4.3024856813646012E-2</v>
      </c>
      <c r="G98" s="288">
        <f t="shared" si="28"/>
        <v>1.0578592546113357E-3</v>
      </c>
      <c r="H98" s="276">
        <f t="shared" si="29"/>
        <v>148.22666529845927</v>
      </c>
      <c r="I98" s="276"/>
      <c r="J98" s="278" t="str">
        <f t="shared" si="32"/>
        <v>1982-84</v>
      </c>
      <c r="K98" s="275">
        <f t="shared" si="33"/>
        <v>29657581.509999998</v>
      </c>
      <c r="L98" s="275">
        <f t="shared" si="34"/>
        <v>1424660</v>
      </c>
      <c r="M98" s="275">
        <f t="shared" si="35"/>
        <v>152504</v>
      </c>
      <c r="N98" s="289">
        <f t="shared" si="36"/>
        <v>4.8036958088427763E-2</v>
      </c>
      <c r="O98" s="289">
        <f t="shared" si="37"/>
        <v>5.1421590107938644E-3</v>
      </c>
      <c r="P98" s="276">
        <f t="shared" si="38"/>
        <v>63.626714752540032</v>
      </c>
      <c r="Q98" s="278"/>
      <c r="R98" s="290">
        <f t="shared" si="30"/>
        <v>45.83106085297635</v>
      </c>
      <c r="S98" s="278"/>
      <c r="T98" s="278"/>
      <c r="U98" s="278"/>
      <c r="V98" s="278"/>
      <c r="W98" s="278"/>
      <c r="X98" s="278"/>
    </row>
    <row r="99" spans="1:24" x14ac:dyDescent="0.2">
      <c r="A99" s="278">
        <v>1985</v>
      </c>
      <c r="B99" s="287">
        <f t="shared" si="31"/>
        <v>10572156.17</v>
      </c>
      <c r="C99" s="275">
        <f t="shared" si="26"/>
        <v>11256908.67</v>
      </c>
      <c r="D99" s="275">
        <v>1372285</v>
      </c>
      <c r="E99" s="275">
        <v>2780</v>
      </c>
      <c r="F99" s="288">
        <f t="shared" si="27"/>
        <v>0.12190602591075299</v>
      </c>
      <c r="G99" s="288">
        <f t="shared" si="28"/>
        <v>2.4695945232360136E-4</v>
      </c>
      <c r="H99" s="276">
        <f t="shared" si="29"/>
        <v>182.25295832007475</v>
      </c>
      <c r="I99" s="276"/>
      <c r="J99" s="278" t="str">
        <f t="shared" si="32"/>
        <v>1983-85</v>
      </c>
      <c r="K99" s="275">
        <f t="shared" si="33"/>
        <v>31472535.009999998</v>
      </c>
      <c r="L99" s="275">
        <f t="shared" si="34"/>
        <v>2507599</v>
      </c>
      <c r="M99" s="275">
        <f t="shared" si="35"/>
        <v>149848</v>
      </c>
      <c r="N99" s="289">
        <f t="shared" si="36"/>
        <v>7.9675787133233547E-2</v>
      </c>
      <c r="O99" s="289">
        <f t="shared" si="37"/>
        <v>4.7612307032905898E-3</v>
      </c>
      <c r="P99" s="276">
        <f t="shared" si="38"/>
        <v>51.342522950337703</v>
      </c>
      <c r="Q99" s="278"/>
      <c r="R99" s="290">
        <f t="shared" si="30"/>
        <v>45.83106085297635</v>
      </c>
      <c r="S99" s="278"/>
      <c r="T99" s="278"/>
      <c r="U99" s="278"/>
      <c r="V99" s="278"/>
      <c r="W99" s="278"/>
      <c r="X99" s="278"/>
    </row>
    <row r="100" spans="1:24" x14ac:dyDescent="0.2">
      <c r="A100" s="278">
        <v>1986</v>
      </c>
      <c r="B100" s="287">
        <f t="shared" si="31"/>
        <v>11941661.17</v>
      </c>
      <c r="C100" s="275">
        <f t="shared" si="26"/>
        <v>12952735.17</v>
      </c>
      <c r="D100" s="275">
        <v>2127611</v>
      </c>
      <c r="E100" s="275">
        <v>105463</v>
      </c>
      <c r="F100" s="288">
        <f t="shared" si="27"/>
        <v>0.16425959243942451</v>
      </c>
      <c r="G100" s="288">
        <f t="shared" si="28"/>
        <v>8.1421413018822643E-3</v>
      </c>
      <c r="H100" s="276">
        <f t="shared" si="29"/>
        <v>27.344205675245195</v>
      </c>
      <c r="I100" s="276"/>
      <c r="J100" s="278" t="str">
        <f t="shared" si="32"/>
        <v>1984-86</v>
      </c>
      <c r="K100" s="275">
        <f t="shared" si="33"/>
        <v>34564518.509999998</v>
      </c>
      <c r="L100" s="275">
        <f t="shared" si="34"/>
        <v>3945413</v>
      </c>
      <c r="M100" s="275">
        <f t="shared" si="35"/>
        <v>119197</v>
      </c>
      <c r="N100" s="289">
        <f t="shared" si="36"/>
        <v>0.11414633184774545</v>
      </c>
      <c r="O100" s="289">
        <f t="shared" si="37"/>
        <v>3.4485363933397378E-3</v>
      </c>
      <c r="P100" s="276">
        <f t="shared" si="38"/>
        <v>50.402446037529614</v>
      </c>
      <c r="Q100" s="278"/>
      <c r="R100" s="290">
        <f t="shared" si="30"/>
        <v>45.83106085297635</v>
      </c>
      <c r="S100" s="278"/>
      <c r="T100" s="278"/>
      <c r="U100" s="278"/>
      <c r="V100" s="278"/>
      <c r="W100" s="278"/>
      <c r="X100" s="278"/>
    </row>
    <row r="101" spans="1:24" x14ac:dyDescent="0.2">
      <c r="A101" s="278">
        <v>1987</v>
      </c>
      <c r="B101" s="287">
        <f t="shared" si="31"/>
        <v>13963809.17</v>
      </c>
      <c r="C101" s="275">
        <f t="shared" si="26"/>
        <v>13916195.67</v>
      </c>
      <c r="D101" s="275">
        <v>0</v>
      </c>
      <c r="E101" s="275">
        <v>95227</v>
      </c>
      <c r="F101" s="288">
        <f t="shared" si="27"/>
        <v>0</v>
      </c>
      <c r="G101" s="288">
        <f t="shared" si="28"/>
        <v>6.8428902739048657E-3</v>
      </c>
      <c r="H101" s="276">
        <f t="shared" si="29"/>
        <v>0</v>
      </c>
      <c r="I101" s="276"/>
      <c r="J101" s="278" t="str">
        <f t="shared" si="32"/>
        <v>1985-87</v>
      </c>
      <c r="K101" s="275">
        <f t="shared" si="33"/>
        <v>38125839.509999998</v>
      </c>
      <c r="L101" s="275">
        <f t="shared" si="34"/>
        <v>3499896</v>
      </c>
      <c r="M101" s="275">
        <f t="shared" si="35"/>
        <v>203470</v>
      </c>
      <c r="N101" s="289">
        <f t="shared" si="36"/>
        <v>9.1798529422073838E-2</v>
      </c>
      <c r="O101" s="289">
        <f t="shared" si="37"/>
        <v>5.3368005167894602E-3</v>
      </c>
      <c r="P101" s="276">
        <f t="shared" si="38"/>
        <v>45.17952422334595</v>
      </c>
      <c r="Q101" s="278"/>
      <c r="R101" s="290">
        <f t="shared" si="30"/>
        <v>45.83106085297635</v>
      </c>
      <c r="S101" s="278"/>
      <c r="T101" s="278"/>
      <c r="U101" s="278"/>
      <c r="V101" s="278"/>
      <c r="W101" s="278"/>
      <c r="X101" s="278"/>
    </row>
    <row r="102" spans="1:24" x14ac:dyDescent="0.2">
      <c r="A102" s="278">
        <v>1988</v>
      </c>
      <c r="B102" s="287">
        <f t="shared" si="31"/>
        <v>13868582.17</v>
      </c>
      <c r="C102" s="275">
        <f t="shared" si="26"/>
        <v>14238990.17</v>
      </c>
      <c r="D102" s="275">
        <v>845758</v>
      </c>
      <c r="E102" s="275">
        <v>104942</v>
      </c>
      <c r="F102" s="288">
        <f t="shared" si="27"/>
        <v>5.9397330140863493E-2</v>
      </c>
      <c r="G102" s="288">
        <f t="shared" si="28"/>
        <v>7.3700451188667407E-3</v>
      </c>
      <c r="H102" s="276">
        <f t="shared" si="29"/>
        <v>47.79488979805938</v>
      </c>
      <c r="I102" s="276"/>
      <c r="J102" s="278" t="str">
        <f t="shared" si="32"/>
        <v>1986-88</v>
      </c>
      <c r="K102" s="275">
        <f t="shared" si="33"/>
        <v>41107921.009999998</v>
      </c>
      <c r="L102" s="275">
        <f t="shared" si="34"/>
        <v>2973369</v>
      </c>
      <c r="M102" s="275">
        <f t="shared" si="35"/>
        <v>305632</v>
      </c>
      <c r="N102" s="289">
        <f t="shared" si="36"/>
        <v>7.2330804549242275E-2</v>
      </c>
      <c r="O102" s="289">
        <f t="shared" si="37"/>
        <v>7.4348688158092776E-3</v>
      </c>
      <c r="P102" s="276">
        <f t="shared" si="38"/>
        <v>43.122278198338734</v>
      </c>
      <c r="Q102" s="278"/>
      <c r="R102" s="290">
        <f t="shared" si="30"/>
        <v>45.83106085297635</v>
      </c>
      <c r="S102" s="278"/>
      <c r="T102" s="278"/>
      <c r="U102" s="278"/>
      <c r="V102" s="278"/>
      <c r="W102" s="278"/>
      <c r="X102" s="278"/>
    </row>
    <row r="103" spans="1:24" x14ac:dyDescent="0.2">
      <c r="A103" s="278">
        <v>1989</v>
      </c>
      <c r="B103" s="287">
        <f t="shared" si="31"/>
        <v>14609398.17</v>
      </c>
      <c r="C103" s="275">
        <f t="shared" si="26"/>
        <v>17860110.170000002</v>
      </c>
      <c r="D103" s="275">
        <v>6515974</v>
      </c>
      <c r="E103" s="275">
        <v>14550</v>
      </c>
      <c r="F103" s="288">
        <f t="shared" si="27"/>
        <v>0.36483391972267992</v>
      </c>
      <c r="G103" s="288">
        <f t="shared" si="28"/>
        <v>8.1466462756987562E-4</v>
      </c>
      <c r="H103" s="276">
        <f t="shared" si="29"/>
        <v>58.00467068569138</v>
      </c>
      <c r="I103" s="276"/>
      <c r="J103" s="278" t="str">
        <f t="shared" si="32"/>
        <v>1987-89</v>
      </c>
      <c r="K103" s="275">
        <f t="shared" si="33"/>
        <v>46015296.010000005</v>
      </c>
      <c r="L103" s="275">
        <f t="shared" si="34"/>
        <v>7361732</v>
      </c>
      <c r="M103" s="275">
        <f t="shared" si="35"/>
        <v>214719</v>
      </c>
      <c r="N103" s="289">
        <f t="shared" si="36"/>
        <v>0.15998445383031232</v>
      </c>
      <c r="O103" s="289">
        <f t="shared" si="37"/>
        <v>4.6662527163432227E-3</v>
      </c>
      <c r="P103" s="276">
        <f t="shared" si="38"/>
        <v>36.599654073532797</v>
      </c>
      <c r="Q103" s="278"/>
      <c r="R103" s="290">
        <f t="shared" si="30"/>
        <v>45.83106085297635</v>
      </c>
      <c r="S103" s="278"/>
      <c r="T103" s="278"/>
      <c r="U103" s="278"/>
      <c r="V103" s="278"/>
      <c r="W103" s="278"/>
      <c r="X103" s="278"/>
    </row>
    <row r="104" spans="1:24" x14ac:dyDescent="0.2">
      <c r="A104" s="278">
        <v>1990</v>
      </c>
      <c r="B104" s="287">
        <f t="shared" si="31"/>
        <v>21110822.170000002</v>
      </c>
      <c r="C104" s="275">
        <f t="shared" si="26"/>
        <v>21586488.170000002</v>
      </c>
      <c r="D104" s="275">
        <v>1020504</v>
      </c>
      <c r="E104" s="275">
        <v>69172</v>
      </c>
      <c r="F104" s="288">
        <f t="shared" si="27"/>
        <v>4.727512840269469E-2</v>
      </c>
      <c r="G104" s="288">
        <f t="shared" si="28"/>
        <v>3.2044119198662594E-3</v>
      </c>
      <c r="H104" s="276">
        <f t="shared" si="29"/>
        <v>81.247400030556079</v>
      </c>
      <c r="I104" s="276"/>
      <c r="J104" s="278" t="str">
        <f t="shared" si="32"/>
        <v>1988-90</v>
      </c>
      <c r="K104" s="275">
        <f t="shared" si="33"/>
        <v>53685588.510000005</v>
      </c>
      <c r="L104" s="275">
        <f t="shared" si="34"/>
        <v>8382236</v>
      </c>
      <c r="M104" s="275">
        <f t="shared" si="35"/>
        <v>188664</v>
      </c>
      <c r="N104" s="289">
        <f t="shared" si="36"/>
        <v>0.15613568245486667</v>
      </c>
      <c r="O104" s="289">
        <f t="shared" si="37"/>
        <v>3.514239207135777E-3</v>
      </c>
      <c r="P104" s="276">
        <f t="shared" si="38"/>
        <v>42.690698154058545</v>
      </c>
      <c r="Q104" s="278"/>
      <c r="R104" s="290">
        <f t="shared" si="30"/>
        <v>45.83106085297635</v>
      </c>
      <c r="S104" s="278"/>
      <c r="T104" s="278"/>
      <c r="U104" s="278"/>
      <c r="V104" s="278"/>
      <c r="W104" s="278"/>
      <c r="X104" s="278"/>
    </row>
    <row r="105" spans="1:24" x14ac:dyDescent="0.2">
      <c r="A105" s="278">
        <v>1991</v>
      </c>
      <c r="B105" s="287">
        <f t="shared" si="31"/>
        <v>22062154.170000002</v>
      </c>
      <c r="C105" s="275">
        <f t="shared" si="26"/>
        <v>22507118.170000002</v>
      </c>
      <c r="D105" s="275">
        <v>901885</v>
      </c>
      <c r="E105" s="275">
        <v>11957</v>
      </c>
      <c r="F105" s="288">
        <f t="shared" si="27"/>
        <v>4.00711007596758E-2</v>
      </c>
      <c r="G105" s="288">
        <f t="shared" si="28"/>
        <v>5.312541530055866E-4</v>
      </c>
      <c r="H105" s="276">
        <f t="shared" si="29"/>
        <v>216.73706830115529</v>
      </c>
      <c r="I105" s="276"/>
      <c r="J105" s="278" t="str">
        <f t="shared" si="32"/>
        <v>1989-91</v>
      </c>
      <c r="K105" s="275">
        <f t="shared" si="33"/>
        <v>61953716.510000005</v>
      </c>
      <c r="L105" s="275">
        <f t="shared" si="34"/>
        <v>8438363</v>
      </c>
      <c r="M105" s="275">
        <f t="shared" si="35"/>
        <v>95679</v>
      </c>
      <c r="N105" s="289">
        <f t="shared" si="36"/>
        <v>0.13620430662360597</v>
      </c>
      <c r="O105" s="289">
        <f t="shared" si="37"/>
        <v>1.5443625562730585E-3</v>
      </c>
      <c r="P105" s="276">
        <f t="shared" si="38"/>
        <v>68.949313817953978</v>
      </c>
      <c r="Q105" s="278"/>
      <c r="R105" s="290">
        <f t="shared" si="30"/>
        <v>45.83106085297635</v>
      </c>
      <c r="S105" s="278"/>
      <c r="T105" s="278"/>
      <c r="U105" s="278"/>
      <c r="V105" s="278"/>
      <c r="W105" s="278"/>
      <c r="X105" s="278"/>
    </row>
    <row r="106" spans="1:24" x14ac:dyDescent="0.2">
      <c r="A106" s="278">
        <v>1992</v>
      </c>
      <c r="B106" s="287">
        <f t="shared" si="31"/>
        <v>22952082.170000002</v>
      </c>
      <c r="C106" s="275">
        <f t="shared" si="26"/>
        <v>23513400.670000002</v>
      </c>
      <c r="D106" s="275">
        <v>1140720</v>
      </c>
      <c r="E106" s="275">
        <v>18083</v>
      </c>
      <c r="F106" s="288">
        <f t="shared" si="27"/>
        <v>4.8513612131630468E-2</v>
      </c>
      <c r="G106" s="288">
        <f t="shared" si="28"/>
        <v>7.6905081718237056E-4</v>
      </c>
      <c r="H106" s="276">
        <f t="shared" si="29"/>
        <v>163.71583036182233</v>
      </c>
      <c r="I106" s="276"/>
      <c r="J106" s="278" t="str">
        <f t="shared" si="32"/>
        <v>1990-92</v>
      </c>
      <c r="K106" s="275">
        <f t="shared" si="33"/>
        <v>67607007.010000005</v>
      </c>
      <c r="L106" s="275">
        <f t="shared" si="34"/>
        <v>3063109</v>
      </c>
      <c r="M106" s="275">
        <f t="shared" si="35"/>
        <v>99212</v>
      </c>
      <c r="N106" s="289">
        <f t="shared" si="36"/>
        <v>4.5307567003327394E-2</v>
      </c>
      <c r="O106" s="289">
        <f t="shared" si="37"/>
        <v>1.4674810258251069E-3</v>
      </c>
      <c r="P106" s="276">
        <f t="shared" si="38"/>
        <v>122.63893826330531</v>
      </c>
      <c r="Q106" s="278"/>
      <c r="R106" s="290">
        <f t="shared" si="30"/>
        <v>45.83106085297635</v>
      </c>
      <c r="S106" s="278"/>
      <c r="T106" s="278"/>
      <c r="U106" s="278"/>
      <c r="V106" s="278"/>
      <c r="W106" s="278"/>
      <c r="X106" s="278"/>
    </row>
    <row r="107" spans="1:24" x14ac:dyDescent="0.2">
      <c r="A107" s="278">
        <v>1993</v>
      </c>
      <c r="B107" s="287">
        <f t="shared" si="31"/>
        <v>24074719.170000002</v>
      </c>
      <c r="C107" s="275">
        <f t="shared" si="26"/>
        <v>24071665.170000002</v>
      </c>
      <c r="D107" s="275">
        <v>0</v>
      </c>
      <c r="E107" s="275">
        <v>6108</v>
      </c>
      <c r="F107" s="288">
        <f t="shared" si="27"/>
        <v>0</v>
      </c>
      <c r="G107" s="288">
        <f t="shared" si="28"/>
        <v>2.5374231308319581E-4</v>
      </c>
      <c r="H107" s="276">
        <f t="shared" si="29"/>
        <v>0</v>
      </c>
      <c r="I107" s="276"/>
      <c r="J107" s="278" t="str">
        <f t="shared" si="32"/>
        <v>1991-93</v>
      </c>
      <c r="K107" s="275">
        <f t="shared" si="33"/>
        <v>70092184.010000005</v>
      </c>
      <c r="L107" s="275">
        <f t="shared" si="34"/>
        <v>2042605</v>
      </c>
      <c r="M107" s="275">
        <f t="shared" si="35"/>
        <v>36148</v>
      </c>
      <c r="N107" s="289">
        <f t="shared" si="36"/>
        <v>2.9141694310860437E-2</v>
      </c>
      <c r="O107" s="289">
        <f t="shared" si="37"/>
        <v>5.1572083978497214E-4</v>
      </c>
      <c r="P107" s="276">
        <f t="shared" si="38"/>
        <v>257.94983849175242</v>
      </c>
      <c r="Q107" s="278"/>
      <c r="R107" s="290">
        <f t="shared" si="30"/>
        <v>45.83106085297635</v>
      </c>
      <c r="S107" s="278"/>
      <c r="T107" s="278"/>
      <c r="U107" s="278"/>
      <c r="V107" s="278"/>
      <c r="W107" s="278"/>
      <c r="X107" s="278"/>
    </row>
    <row r="108" spans="1:24" x14ac:dyDescent="0.2">
      <c r="A108" s="278">
        <v>1994</v>
      </c>
      <c r="B108" s="287">
        <f t="shared" si="31"/>
        <v>24068611.170000002</v>
      </c>
      <c r="C108" s="275">
        <f t="shared" si="26"/>
        <v>24929621.170000002</v>
      </c>
      <c r="D108" s="275">
        <v>1871938</v>
      </c>
      <c r="E108" s="275">
        <v>149918</v>
      </c>
      <c r="F108" s="288">
        <f t="shared" si="27"/>
        <v>7.5088906776195508E-2</v>
      </c>
      <c r="G108" s="288">
        <f t="shared" si="28"/>
        <v>6.0136493441949879E-3</v>
      </c>
      <c r="H108" s="276">
        <f t="shared" si="29"/>
        <v>47.059039513456682</v>
      </c>
      <c r="I108" s="276"/>
      <c r="J108" s="278" t="str">
        <f t="shared" si="32"/>
        <v>1992-94</v>
      </c>
      <c r="K108" s="275">
        <f t="shared" si="33"/>
        <v>72514687.010000005</v>
      </c>
      <c r="L108" s="275">
        <f t="shared" si="34"/>
        <v>3012658</v>
      </c>
      <c r="M108" s="275">
        <f t="shared" si="35"/>
        <v>174109</v>
      </c>
      <c r="N108" s="289">
        <f t="shared" si="36"/>
        <v>4.1545487186403288E-2</v>
      </c>
      <c r="O108" s="289">
        <f t="shared" si="37"/>
        <v>2.4010170515662548E-3</v>
      </c>
      <c r="P108" s="276">
        <f t="shared" si="38"/>
        <v>100.12452062013388</v>
      </c>
      <c r="Q108" s="278"/>
      <c r="R108" s="290">
        <f t="shared" si="30"/>
        <v>45.83106085297635</v>
      </c>
      <c r="S108" s="278"/>
      <c r="T108" s="278"/>
      <c r="U108" s="278"/>
      <c r="V108" s="278"/>
      <c r="W108" s="278"/>
      <c r="X108" s="278"/>
    </row>
    <row r="109" spans="1:24" x14ac:dyDescent="0.2">
      <c r="A109" s="278">
        <v>1995</v>
      </c>
      <c r="B109" s="287">
        <f t="shared" si="31"/>
        <v>25790631.170000002</v>
      </c>
      <c r="C109" s="275">
        <f t="shared" si="26"/>
        <v>29251636.170000002</v>
      </c>
      <c r="D109" s="275">
        <v>6952634</v>
      </c>
      <c r="E109" s="275">
        <v>30624</v>
      </c>
      <c r="F109" s="288">
        <f t="shared" si="27"/>
        <v>0.23768359347811482</v>
      </c>
      <c r="G109" s="288">
        <f t="shared" si="28"/>
        <v>1.0469157971890637E-3</v>
      </c>
      <c r="H109" s="276">
        <f t="shared" si="29"/>
        <v>63.393469481472671</v>
      </c>
      <c r="I109" s="276"/>
      <c r="J109" s="278" t="str">
        <f t="shared" si="32"/>
        <v>1993-95</v>
      </c>
      <c r="K109" s="275">
        <f t="shared" si="33"/>
        <v>78252922.510000005</v>
      </c>
      <c r="L109" s="275">
        <f t="shared" si="34"/>
        <v>8824572</v>
      </c>
      <c r="M109" s="275">
        <f t="shared" si="35"/>
        <v>186650</v>
      </c>
      <c r="N109" s="289">
        <f t="shared" si="36"/>
        <v>0.11276987129614617</v>
      </c>
      <c r="O109" s="289">
        <f t="shared" si="37"/>
        <v>2.385214430504469E-3</v>
      </c>
      <c r="P109" s="276">
        <f t="shared" si="38"/>
        <v>60.973306032688924</v>
      </c>
      <c r="Q109" s="278"/>
      <c r="R109" s="290">
        <f t="shared" si="30"/>
        <v>45.83106085297635</v>
      </c>
      <c r="S109" s="278"/>
      <c r="T109" s="278"/>
      <c r="U109" s="278"/>
      <c r="V109" s="278"/>
      <c r="W109" s="278"/>
      <c r="X109" s="278"/>
    </row>
    <row r="110" spans="1:24" x14ac:dyDescent="0.2">
      <c r="A110" s="278">
        <v>1996</v>
      </c>
      <c r="B110" s="287">
        <f t="shared" si="31"/>
        <v>32712641.170000002</v>
      </c>
      <c r="C110" s="275">
        <f t="shared" ref="C110:C141" si="39">(B110+B110+D110-E110)/2</f>
        <v>32970036.670000002</v>
      </c>
      <c r="D110" s="275">
        <v>1222445</v>
      </c>
      <c r="E110" s="275">
        <v>707654</v>
      </c>
      <c r="F110" s="288">
        <f t="shared" ref="F110:F125" si="40">IF(C110=0,0,D110/C110)</f>
        <v>3.7077453453739209E-2</v>
      </c>
      <c r="G110" s="288">
        <f t="shared" ref="G110:G125" si="41">IF(C110=0,0,E110/C110)</f>
        <v>2.146354907284366E-2</v>
      </c>
      <c r="H110" s="276">
        <f t="shared" ref="H110:H141" si="42">IF(F110*G110&lt;=0,0,1/(SQRT(F110*G110)))</f>
        <v>35.448207806441026</v>
      </c>
      <c r="I110" s="276"/>
      <c r="J110" s="278" t="str">
        <f t="shared" si="32"/>
        <v>1994-96</v>
      </c>
      <c r="K110" s="275">
        <f t="shared" si="33"/>
        <v>87151294.010000005</v>
      </c>
      <c r="L110" s="275">
        <f t="shared" si="34"/>
        <v>10047017</v>
      </c>
      <c r="M110" s="275">
        <f t="shared" si="35"/>
        <v>888196</v>
      </c>
      <c r="N110" s="289">
        <f t="shared" si="36"/>
        <v>0.11528247645809109</v>
      </c>
      <c r="O110" s="289">
        <f t="shared" si="37"/>
        <v>1.0191426416434914E-2</v>
      </c>
      <c r="P110" s="276">
        <f t="shared" si="38"/>
        <v>29.174328233239425</v>
      </c>
      <c r="Q110" s="278"/>
      <c r="R110" s="290">
        <f t="shared" ref="R110:R125" si="43">+$H$127</f>
        <v>45.83106085297635</v>
      </c>
      <c r="S110" s="278"/>
      <c r="T110" s="278"/>
      <c r="U110" s="278"/>
      <c r="V110" s="278"/>
      <c r="W110" s="278"/>
      <c r="X110" s="278"/>
    </row>
    <row r="111" spans="1:24" x14ac:dyDescent="0.2">
      <c r="A111" s="278">
        <v>1997</v>
      </c>
      <c r="B111" s="287">
        <f t="shared" ref="B111:B125" si="44">+B110+D110-E110</f>
        <v>33227432.170000002</v>
      </c>
      <c r="C111" s="275">
        <f t="shared" si="39"/>
        <v>33366145.670000002</v>
      </c>
      <c r="D111" s="275">
        <v>318764</v>
      </c>
      <c r="E111" s="275">
        <v>41337</v>
      </c>
      <c r="F111" s="288">
        <f t="shared" si="40"/>
        <v>9.5535158046919835E-3</v>
      </c>
      <c r="G111" s="288">
        <f t="shared" si="41"/>
        <v>1.238890473260947E-3</v>
      </c>
      <c r="H111" s="276">
        <f t="shared" si="42"/>
        <v>290.67115084743227</v>
      </c>
      <c r="I111" s="276"/>
      <c r="J111" s="278" t="str">
        <f t="shared" si="32"/>
        <v>1995-97</v>
      </c>
      <c r="K111" s="275">
        <f t="shared" si="33"/>
        <v>95587818.510000005</v>
      </c>
      <c r="L111" s="275">
        <f t="shared" si="34"/>
        <v>8493843</v>
      </c>
      <c r="M111" s="275">
        <f t="shared" si="35"/>
        <v>779615</v>
      </c>
      <c r="N111" s="289">
        <f t="shared" si="36"/>
        <v>8.8859052674284109E-2</v>
      </c>
      <c r="O111" s="289">
        <f t="shared" si="37"/>
        <v>8.1560078695429149E-3</v>
      </c>
      <c r="P111" s="276">
        <f t="shared" si="38"/>
        <v>37.145853575820283</v>
      </c>
      <c r="Q111" s="278"/>
      <c r="R111" s="290">
        <f t="shared" si="43"/>
        <v>45.83106085297635</v>
      </c>
      <c r="S111" s="278"/>
      <c r="T111" s="278"/>
      <c r="U111" s="278"/>
      <c r="V111" s="278"/>
      <c r="W111" s="278"/>
      <c r="X111" s="278"/>
    </row>
    <row r="112" spans="1:24" x14ac:dyDescent="0.2">
      <c r="A112" s="278">
        <v>1998</v>
      </c>
      <c r="B112" s="287">
        <f t="shared" si="44"/>
        <v>33504859.170000002</v>
      </c>
      <c r="C112" s="275">
        <f t="shared" si="39"/>
        <v>33507076.170000002</v>
      </c>
      <c r="D112" s="275">
        <v>283521</v>
      </c>
      <c r="E112" s="275">
        <v>279087</v>
      </c>
      <c r="F112" s="288">
        <f t="shared" si="40"/>
        <v>8.4615261135152636E-3</v>
      </c>
      <c r="G112" s="288">
        <f t="shared" si="41"/>
        <v>8.3291958565419634E-3</v>
      </c>
      <c r="H112" s="276">
        <f t="shared" si="42"/>
        <v>119.11710044634071</v>
      </c>
      <c r="I112" s="276"/>
      <c r="J112" s="278" t="str">
        <f t="shared" ref="J112:J143" si="45">A110 &amp; "-" &amp; RIGHT(A110+2,2)</f>
        <v>1996-98</v>
      </c>
      <c r="K112" s="275">
        <f t="shared" ref="K112:K143" si="46">SUM(C110:C112)</f>
        <v>99843258.510000005</v>
      </c>
      <c r="L112" s="275">
        <f t="shared" ref="L112:L143" si="47">SUM(D110:D112)</f>
        <v>1824730</v>
      </c>
      <c r="M112" s="275">
        <f t="shared" ref="M112:M143" si="48">SUM(E110:E112)</f>
        <v>1028078</v>
      </c>
      <c r="N112" s="289">
        <f t="shared" ref="N112:N125" si="49">IF(K112=0,0,L112/K112)</f>
        <v>1.827594599005641E-2</v>
      </c>
      <c r="O112" s="289">
        <f t="shared" ref="O112:O125" si="50">IF(K112=0,0,M112/K112)</f>
        <v>1.029691954511912E-2</v>
      </c>
      <c r="P112" s="276">
        <f t="shared" ref="P112:P143" si="51">IF(N112*O112&lt;=0,0,1/(SQRT(N112*O112)))</f>
        <v>72.896454750069452</v>
      </c>
      <c r="Q112" s="278"/>
      <c r="R112" s="290">
        <f t="shared" si="43"/>
        <v>45.83106085297635</v>
      </c>
      <c r="S112" s="278"/>
      <c r="T112" s="278"/>
      <c r="U112" s="278"/>
      <c r="V112" s="278"/>
      <c r="W112" s="278"/>
      <c r="X112" s="278"/>
    </row>
    <row r="113" spans="1:24" x14ac:dyDescent="0.2">
      <c r="A113" s="278">
        <v>1999</v>
      </c>
      <c r="B113" s="287">
        <f t="shared" si="44"/>
        <v>33509293.170000002</v>
      </c>
      <c r="C113" s="275">
        <f t="shared" si="39"/>
        <v>33849280.670000002</v>
      </c>
      <c r="D113" s="275">
        <v>861704</v>
      </c>
      <c r="E113" s="275">
        <v>181729</v>
      </c>
      <c r="F113" s="288">
        <f t="shared" si="40"/>
        <v>2.5457084550801475E-2</v>
      </c>
      <c r="G113" s="288">
        <f t="shared" si="41"/>
        <v>5.3687699237007147E-3</v>
      </c>
      <c r="H113" s="276">
        <f t="shared" si="42"/>
        <v>85.537838387322665</v>
      </c>
      <c r="I113" s="276"/>
      <c r="J113" s="278" t="str">
        <f t="shared" si="45"/>
        <v>1997-99</v>
      </c>
      <c r="K113" s="275">
        <f t="shared" si="46"/>
        <v>100722502.51000001</v>
      </c>
      <c r="L113" s="275">
        <f t="shared" si="47"/>
        <v>1463989</v>
      </c>
      <c r="M113" s="275">
        <f t="shared" si="48"/>
        <v>502153</v>
      </c>
      <c r="N113" s="289">
        <f t="shared" si="49"/>
        <v>1.4534875162128256E-2</v>
      </c>
      <c r="O113" s="289">
        <f t="shared" si="50"/>
        <v>4.9855095682332243E-3</v>
      </c>
      <c r="P113" s="276">
        <f t="shared" si="51"/>
        <v>117.47340847664375</v>
      </c>
      <c r="Q113" s="278"/>
      <c r="R113" s="290">
        <f t="shared" si="43"/>
        <v>45.83106085297635</v>
      </c>
      <c r="S113" s="278"/>
      <c r="T113" s="278"/>
      <c r="U113" s="278"/>
      <c r="V113" s="278"/>
      <c r="W113" s="278"/>
      <c r="X113" s="278"/>
    </row>
    <row r="114" spans="1:24" x14ac:dyDescent="0.2">
      <c r="A114" s="278">
        <v>2000</v>
      </c>
      <c r="B114" s="287">
        <f t="shared" si="44"/>
        <v>34189268.170000002</v>
      </c>
      <c r="C114" s="275">
        <f t="shared" si="39"/>
        <v>34484021.760000005</v>
      </c>
      <c r="D114" s="275">
        <v>621964.18000000005</v>
      </c>
      <c r="E114" s="275">
        <v>32457</v>
      </c>
      <c r="F114" s="288">
        <f t="shared" si="40"/>
        <v>1.8036300531553775E-2</v>
      </c>
      <c r="G114" s="288">
        <f t="shared" si="41"/>
        <v>9.4121852218666485E-4</v>
      </c>
      <c r="H114" s="276">
        <f t="shared" si="42"/>
        <v>242.70629234587713</v>
      </c>
      <c r="I114" s="276"/>
      <c r="J114" s="278" t="str">
        <f t="shared" si="45"/>
        <v>1998-00</v>
      </c>
      <c r="K114" s="275">
        <f t="shared" si="46"/>
        <v>101840378.60000001</v>
      </c>
      <c r="L114" s="275">
        <f t="shared" si="47"/>
        <v>1767189.1800000002</v>
      </c>
      <c r="M114" s="275">
        <f t="shared" si="48"/>
        <v>493273</v>
      </c>
      <c r="N114" s="289">
        <f t="shared" si="49"/>
        <v>1.7352539378717509E-2</v>
      </c>
      <c r="O114" s="289">
        <f t="shared" si="50"/>
        <v>4.8435896132852747E-3</v>
      </c>
      <c r="P114" s="276">
        <f t="shared" si="51"/>
        <v>109.07740845171824</v>
      </c>
      <c r="Q114" s="278"/>
      <c r="R114" s="290">
        <f t="shared" si="43"/>
        <v>45.83106085297635</v>
      </c>
      <c r="S114" s="278"/>
      <c r="T114" s="278"/>
      <c r="U114" s="278"/>
      <c r="V114" s="278"/>
      <c r="W114" s="278"/>
      <c r="X114" s="278"/>
    </row>
    <row r="115" spans="1:24" x14ac:dyDescent="0.2">
      <c r="A115" s="278">
        <v>2001</v>
      </c>
      <c r="B115" s="287">
        <f t="shared" si="44"/>
        <v>34778775.350000001</v>
      </c>
      <c r="C115" s="275">
        <f t="shared" si="39"/>
        <v>34994072.25</v>
      </c>
      <c r="D115" s="275">
        <v>1195005.8</v>
      </c>
      <c r="E115" s="275">
        <v>764412</v>
      </c>
      <c r="F115" s="288">
        <f t="shared" si="40"/>
        <v>3.4148806445354472E-2</v>
      </c>
      <c r="G115" s="288">
        <f t="shared" si="41"/>
        <v>2.1844042457790834E-2</v>
      </c>
      <c r="H115" s="276">
        <f t="shared" si="42"/>
        <v>36.613877949012213</v>
      </c>
      <c r="I115" s="276"/>
      <c r="J115" s="278" t="str">
        <f t="shared" si="45"/>
        <v>1999-01</v>
      </c>
      <c r="K115" s="275">
        <f t="shared" si="46"/>
        <v>103327374.68000001</v>
      </c>
      <c r="L115" s="275">
        <f t="shared" si="47"/>
        <v>2678673.9800000004</v>
      </c>
      <c r="M115" s="275">
        <f t="shared" si="48"/>
        <v>978598</v>
      </c>
      <c r="N115" s="289">
        <f t="shared" si="49"/>
        <v>2.5924146319363354E-2</v>
      </c>
      <c r="O115" s="289">
        <f t="shared" si="50"/>
        <v>9.4708493565298819E-3</v>
      </c>
      <c r="P115" s="276">
        <f t="shared" si="51"/>
        <v>63.819486225308054</v>
      </c>
      <c r="Q115" s="278"/>
      <c r="R115" s="290">
        <f t="shared" si="43"/>
        <v>45.83106085297635</v>
      </c>
      <c r="S115" s="278"/>
      <c r="T115" s="278"/>
      <c r="U115" s="278"/>
      <c r="V115" s="278"/>
      <c r="W115" s="278"/>
      <c r="X115" s="278"/>
    </row>
    <row r="116" spans="1:24" x14ac:dyDescent="0.2">
      <c r="A116" s="278">
        <v>2002</v>
      </c>
      <c r="B116" s="287">
        <f t="shared" si="44"/>
        <v>35209369.149999999</v>
      </c>
      <c r="C116" s="275">
        <f t="shared" si="39"/>
        <v>35253275.149999999</v>
      </c>
      <c r="D116" s="275">
        <v>87812</v>
      </c>
      <c r="E116" s="275">
        <v>0</v>
      </c>
      <c r="F116" s="288">
        <f t="shared" si="40"/>
        <v>2.4908891337433654E-3</v>
      </c>
      <c r="G116" s="288">
        <f t="shared" si="41"/>
        <v>0</v>
      </c>
      <c r="H116" s="276">
        <f t="shared" si="42"/>
        <v>0</v>
      </c>
      <c r="I116" s="276"/>
      <c r="J116" s="278" t="str">
        <f t="shared" si="45"/>
        <v>2000-02</v>
      </c>
      <c r="K116" s="275">
        <f t="shared" si="46"/>
        <v>104731369.16</v>
      </c>
      <c r="L116" s="275">
        <f t="shared" si="47"/>
        <v>1904781.98</v>
      </c>
      <c r="M116" s="275">
        <f t="shared" si="48"/>
        <v>796869</v>
      </c>
      <c r="N116" s="289">
        <f t="shared" si="49"/>
        <v>1.8187310977382815E-2</v>
      </c>
      <c r="O116" s="289">
        <f t="shared" si="50"/>
        <v>7.6086945715624979E-3</v>
      </c>
      <c r="P116" s="276">
        <f t="shared" si="51"/>
        <v>85.008172170888685</v>
      </c>
      <c r="Q116" s="278"/>
      <c r="R116" s="290">
        <f t="shared" si="43"/>
        <v>45.83106085297635</v>
      </c>
      <c r="S116" s="278"/>
      <c r="T116" s="278"/>
      <c r="U116" s="278"/>
      <c r="V116" s="278"/>
      <c r="W116" s="278"/>
      <c r="X116" s="278"/>
    </row>
    <row r="117" spans="1:24" x14ac:dyDescent="0.2">
      <c r="A117" s="278">
        <v>2003</v>
      </c>
      <c r="B117" s="287">
        <f t="shared" si="44"/>
        <v>35297181.149999999</v>
      </c>
      <c r="C117" s="275">
        <f t="shared" si="39"/>
        <v>36026391.779999994</v>
      </c>
      <c r="D117" s="275">
        <v>1756597.77</v>
      </c>
      <c r="E117" s="275">
        <v>298176.51</v>
      </c>
      <c r="F117" s="288">
        <f t="shared" si="40"/>
        <v>4.8758637299202774E-2</v>
      </c>
      <c r="G117" s="288">
        <f t="shared" si="41"/>
        <v>8.2766132068083573E-3</v>
      </c>
      <c r="H117" s="276">
        <f t="shared" si="42"/>
        <v>49.779197434412445</v>
      </c>
      <c r="I117" s="276"/>
      <c r="J117" s="278" t="str">
        <f t="shared" si="45"/>
        <v>2001-03</v>
      </c>
      <c r="K117" s="275">
        <f t="shared" si="46"/>
        <v>106273739.18000001</v>
      </c>
      <c r="L117" s="275">
        <f t="shared" si="47"/>
        <v>3039415.5700000003</v>
      </c>
      <c r="M117" s="275">
        <f t="shared" si="48"/>
        <v>1062588.51</v>
      </c>
      <c r="N117" s="289">
        <f t="shared" si="49"/>
        <v>2.8599874187658181E-2</v>
      </c>
      <c r="O117" s="289">
        <f t="shared" si="50"/>
        <v>9.9985990725352386E-3</v>
      </c>
      <c r="P117" s="276">
        <f t="shared" si="51"/>
        <v>59.135512032704142</v>
      </c>
      <c r="Q117" s="278"/>
      <c r="R117" s="290">
        <f t="shared" si="43"/>
        <v>45.83106085297635</v>
      </c>
      <c r="S117" s="278"/>
      <c r="T117" s="278"/>
      <c r="U117" s="278"/>
      <c r="V117" s="278"/>
      <c r="W117" s="278"/>
      <c r="X117" s="278"/>
    </row>
    <row r="118" spans="1:24" x14ac:dyDescent="0.2">
      <c r="A118" s="278">
        <v>2004</v>
      </c>
      <c r="B118" s="287">
        <f t="shared" si="44"/>
        <v>36755602.410000004</v>
      </c>
      <c r="C118" s="275">
        <f t="shared" si="39"/>
        <v>36862689.930000007</v>
      </c>
      <c r="D118" s="275">
        <v>323341.5</v>
      </c>
      <c r="E118" s="275">
        <v>109166.46</v>
      </c>
      <c r="F118" s="288">
        <f t="shared" si="40"/>
        <v>8.7715112655643336E-3</v>
      </c>
      <c r="G118" s="288">
        <f t="shared" si="41"/>
        <v>2.9614349958535426E-3</v>
      </c>
      <c r="H118" s="276">
        <f t="shared" si="42"/>
        <v>196.20572943966675</v>
      </c>
      <c r="I118" s="276"/>
      <c r="J118" s="278" t="str">
        <f t="shared" si="45"/>
        <v>2002-04</v>
      </c>
      <c r="K118" s="275">
        <f t="shared" si="46"/>
        <v>108142356.86</v>
      </c>
      <c r="L118" s="275">
        <f t="shared" si="47"/>
        <v>2167751.27</v>
      </c>
      <c r="M118" s="275">
        <f t="shared" si="48"/>
        <v>407342.97000000003</v>
      </c>
      <c r="N118" s="289">
        <f t="shared" si="49"/>
        <v>2.0045348861837262E-2</v>
      </c>
      <c r="O118" s="289">
        <f t="shared" si="50"/>
        <v>3.7667291691020023E-3</v>
      </c>
      <c r="P118" s="276">
        <f t="shared" si="51"/>
        <v>115.08295185378945</v>
      </c>
      <c r="Q118" s="278"/>
      <c r="R118" s="290">
        <f t="shared" si="43"/>
        <v>45.83106085297635</v>
      </c>
      <c r="S118" s="278"/>
      <c r="T118" s="278"/>
      <c r="U118" s="278"/>
      <c r="V118" s="278"/>
      <c r="W118" s="278"/>
      <c r="X118" s="278"/>
    </row>
    <row r="119" spans="1:24" x14ac:dyDescent="0.2">
      <c r="A119" s="278">
        <v>2005</v>
      </c>
      <c r="B119" s="287">
        <f t="shared" si="44"/>
        <v>36969777.450000003</v>
      </c>
      <c r="C119" s="275">
        <f t="shared" si="39"/>
        <v>37584273.050000004</v>
      </c>
      <c r="D119" s="275">
        <v>1228991.2</v>
      </c>
      <c r="E119" s="275">
        <v>0</v>
      </c>
      <c r="F119" s="288">
        <f t="shared" si="40"/>
        <v>3.2699613435785209E-2</v>
      </c>
      <c r="G119" s="288">
        <f t="shared" si="41"/>
        <v>0</v>
      </c>
      <c r="H119" s="276">
        <f t="shared" si="42"/>
        <v>0</v>
      </c>
      <c r="I119" s="276"/>
      <c r="J119" s="278" t="str">
        <f t="shared" si="45"/>
        <v>2003-05</v>
      </c>
      <c r="K119" s="275">
        <f t="shared" si="46"/>
        <v>110473354.76000002</v>
      </c>
      <c r="L119" s="275">
        <f t="shared" si="47"/>
        <v>3308930.4699999997</v>
      </c>
      <c r="M119" s="275">
        <f t="shared" si="48"/>
        <v>407342.97000000003</v>
      </c>
      <c r="N119" s="289">
        <f t="shared" si="49"/>
        <v>2.9952294625147844E-2</v>
      </c>
      <c r="O119" s="289">
        <f t="shared" si="50"/>
        <v>3.6872508387650591E-3</v>
      </c>
      <c r="P119" s="276">
        <f t="shared" si="51"/>
        <v>95.155437189135242</v>
      </c>
      <c r="Q119" s="278"/>
      <c r="R119" s="290">
        <f t="shared" si="43"/>
        <v>45.83106085297635</v>
      </c>
      <c r="S119" s="278"/>
      <c r="T119" s="278"/>
      <c r="U119" s="278"/>
      <c r="V119" s="278"/>
      <c r="W119" s="278"/>
      <c r="X119" s="278"/>
    </row>
    <row r="120" spans="1:24" x14ac:dyDescent="0.2">
      <c r="A120" s="278">
        <v>2006</v>
      </c>
      <c r="B120" s="287">
        <f t="shared" si="44"/>
        <v>38198768.650000006</v>
      </c>
      <c r="C120" s="275">
        <f t="shared" si="39"/>
        <v>38481723.330000006</v>
      </c>
      <c r="D120" s="275">
        <v>902547.1</v>
      </c>
      <c r="E120" s="275">
        <v>336637.74</v>
      </c>
      <c r="F120" s="288">
        <f t="shared" si="40"/>
        <v>2.3453915830645308E-2</v>
      </c>
      <c r="G120" s="288">
        <f t="shared" si="41"/>
        <v>8.7479902371617596E-3</v>
      </c>
      <c r="H120" s="276">
        <f t="shared" si="42"/>
        <v>69.813301108845366</v>
      </c>
      <c r="I120" s="276"/>
      <c r="J120" s="278" t="str">
        <f t="shared" si="45"/>
        <v>2004-06</v>
      </c>
      <c r="K120" s="275">
        <f t="shared" si="46"/>
        <v>112928686.31000003</v>
      </c>
      <c r="L120" s="275">
        <f t="shared" si="47"/>
        <v>2454879.7999999998</v>
      </c>
      <c r="M120" s="275">
        <f t="shared" si="48"/>
        <v>445804.2</v>
      </c>
      <c r="N120" s="289">
        <f t="shared" si="49"/>
        <v>2.1738318935731884E-2</v>
      </c>
      <c r="O120" s="289">
        <f t="shared" si="50"/>
        <v>3.9476612592147303E-3</v>
      </c>
      <c r="P120" s="276">
        <f t="shared" si="51"/>
        <v>107.94861684101484</v>
      </c>
      <c r="Q120" s="278"/>
      <c r="R120" s="290">
        <f t="shared" si="43"/>
        <v>45.83106085297635</v>
      </c>
      <c r="S120" s="278"/>
      <c r="T120" s="278"/>
      <c r="U120" s="278"/>
      <c r="V120" s="278"/>
      <c r="W120" s="278"/>
      <c r="X120" s="278"/>
    </row>
    <row r="121" spans="1:24" x14ac:dyDescent="0.2">
      <c r="A121" s="278">
        <v>2007</v>
      </c>
      <c r="B121" s="287">
        <f t="shared" si="44"/>
        <v>38764678.010000005</v>
      </c>
      <c r="C121" s="275">
        <f t="shared" si="39"/>
        <v>37975430.025000006</v>
      </c>
      <c r="D121" s="275">
        <v>1158446.0800000001</v>
      </c>
      <c r="E121" s="275">
        <v>2736942.05</v>
      </c>
      <c r="F121" s="288">
        <f t="shared" si="40"/>
        <v>3.0505147123742145E-2</v>
      </c>
      <c r="G121" s="288">
        <f t="shared" si="41"/>
        <v>7.2071390585918702E-2</v>
      </c>
      <c r="H121" s="276">
        <f t="shared" si="42"/>
        <v>21.327108933454568</v>
      </c>
      <c r="I121" s="276"/>
      <c r="J121" s="278" t="str">
        <f t="shared" si="45"/>
        <v>2005-07</v>
      </c>
      <c r="K121" s="275">
        <f t="shared" si="46"/>
        <v>114041426.40500002</v>
      </c>
      <c r="L121" s="275">
        <f t="shared" si="47"/>
        <v>3289984.38</v>
      </c>
      <c r="M121" s="275">
        <f t="shared" si="48"/>
        <v>3073579.79</v>
      </c>
      <c r="N121" s="289">
        <f t="shared" si="49"/>
        <v>2.8849028670652914E-2</v>
      </c>
      <c r="O121" s="289">
        <f t="shared" si="50"/>
        <v>2.695143236006773E-2</v>
      </c>
      <c r="P121" s="276">
        <f t="shared" si="51"/>
        <v>35.862740754455622</v>
      </c>
      <c r="Q121" s="278"/>
      <c r="R121" s="290">
        <f t="shared" si="43"/>
        <v>45.83106085297635</v>
      </c>
      <c r="S121" s="278"/>
      <c r="T121" s="278"/>
      <c r="U121" s="278"/>
      <c r="V121" s="278"/>
      <c r="W121" s="278"/>
      <c r="X121" s="278"/>
    </row>
    <row r="122" spans="1:24" x14ac:dyDescent="0.2">
      <c r="A122" s="278">
        <v>2008</v>
      </c>
      <c r="B122" s="287">
        <f t="shared" si="44"/>
        <v>37186182.040000007</v>
      </c>
      <c r="C122" s="275">
        <f t="shared" si="39"/>
        <v>39438498.875000007</v>
      </c>
      <c r="D122" s="275">
        <v>4504806.01</v>
      </c>
      <c r="E122" s="275">
        <v>172.34</v>
      </c>
      <c r="F122" s="288">
        <f t="shared" si="40"/>
        <v>0.11422356678122929</v>
      </c>
      <c r="G122" s="288">
        <f t="shared" si="41"/>
        <v>4.3698417768442504E-6</v>
      </c>
      <c r="H122" s="276">
        <f t="shared" si="42"/>
        <v>1415.4328969974276</v>
      </c>
      <c r="I122" s="276"/>
      <c r="J122" s="278" t="str">
        <f t="shared" si="45"/>
        <v>2006-08</v>
      </c>
      <c r="K122" s="275">
        <f t="shared" si="46"/>
        <v>115895652.23000002</v>
      </c>
      <c r="L122" s="275">
        <f t="shared" si="47"/>
        <v>6565799.1899999995</v>
      </c>
      <c r="M122" s="275">
        <f t="shared" si="48"/>
        <v>3073752.13</v>
      </c>
      <c r="N122" s="289">
        <f t="shared" si="49"/>
        <v>5.6652679057967441E-2</v>
      </c>
      <c r="O122" s="289">
        <f t="shared" si="50"/>
        <v>2.6521720796738809E-2</v>
      </c>
      <c r="P122" s="276">
        <f t="shared" si="51"/>
        <v>25.798171443143566</v>
      </c>
      <c r="Q122" s="278"/>
      <c r="R122" s="290">
        <f t="shared" si="43"/>
        <v>45.83106085297635</v>
      </c>
      <c r="S122" s="278"/>
      <c r="T122" s="278"/>
      <c r="U122" s="278"/>
      <c r="V122" s="278"/>
      <c r="W122" s="278"/>
      <c r="X122" s="278"/>
    </row>
    <row r="123" spans="1:24" x14ac:dyDescent="0.2">
      <c r="A123" s="278">
        <v>2009</v>
      </c>
      <c r="B123" s="287">
        <f t="shared" si="44"/>
        <v>41690815.710000001</v>
      </c>
      <c r="C123" s="275">
        <f t="shared" si="39"/>
        <v>42941305.354999997</v>
      </c>
      <c r="D123" s="275">
        <v>2812207.85</v>
      </c>
      <c r="E123" s="275">
        <v>311228.56</v>
      </c>
      <c r="F123" s="288">
        <f t="shared" si="40"/>
        <v>6.548957528773755E-2</v>
      </c>
      <c r="G123" s="288">
        <f t="shared" si="41"/>
        <v>7.247766629985811E-3</v>
      </c>
      <c r="H123" s="276">
        <f t="shared" si="42"/>
        <v>45.899907727241107</v>
      </c>
      <c r="I123" s="276"/>
      <c r="J123" s="278" t="str">
        <f t="shared" si="45"/>
        <v>2007-09</v>
      </c>
      <c r="K123" s="275">
        <f t="shared" si="46"/>
        <v>120355234.255</v>
      </c>
      <c r="L123" s="275">
        <f t="shared" si="47"/>
        <v>8475459.9399999995</v>
      </c>
      <c r="M123" s="275">
        <f t="shared" si="48"/>
        <v>3048342.9499999997</v>
      </c>
      <c r="N123" s="289">
        <f t="shared" si="49"/>
        <v>7.0420368440667944E-2</v>
      </c>
      <c r="O123" s="289">
        <f t="shared" si="50"/>
        <v>2.5327880161334658E-2</v>
      </c>
      <c r="P123" s="276">
        <f t="shared" si="51"/>
        <v>23.678349804409471</v>
      </c>
      <c r="Q123" s="278"/>
      <c r="R123" s="290">
        <f t="shared" si="43"/>
        <v>45.83106085297635</v>
      </c>
      <c r="S123" s="278"/>
      <c r="T123" s="278"/>
      <c r="U123" s="278"/>
      <c r="V123" s="278"/>
      <c r="W123" s="278"/>
      <c r="X123" s="278"/>
    </row>
    <row r="124" spans="1:24" x14ac:dyDescent="0.2">
      <c r="A124" s="278">
        <v>2010</v>
      </c>
      <c r="B124" s="287">
        <f t="shared" si="44"/>
        <v>44191795</v>
      </c>
      <c r="C124" s="275">
        <f t="shared" si="39"/>
        <v>44778594.289999999</v>
      </c>
      <c r="D124" s="275">
        <v>1405013.3</v>
      </c>
      <c r="E124" s="275">
        <v>231414.72</v>
      </c>
      <c r="F124" s="288">
        <f t="shared" si="40"/>
        <v>3.1376896087909778E-2</v>
      </c>
      <c r="G124" s="288">
        <f t="shared" si="41"/>
        <v>5.1679764331431857E-3</v>
      </c>
      <c r="H124" s="276">
        <f t="shared" si="42"/>
        <v>78.529846401924758</v>
      </c>
      <c r="I124" s="276"/>
      <c r="J124" s="278" t="str">
        <f t="shared" si="45"/>
        <v>2008-10</v>
      </c>
      <c r="K124" s="275">
        <f t="shared" si="46"/>
        <v>127158398.52000001</v>
      </c>
      <c r="L124" s="275">
        <f t="shared" si="47"/>
        <v>8722027.1600000001</v>
      </c>
      <c r="M124" s="275">
        <f t="shared" si="48"/>
        <v>542815.62</v>
      </c>
      <c r="N124" s="289">
        <f t="shared" si="49"/>
        <v>6.8591829257964129E-2</v>
      </c>
      <c r="O124" s="289">
        <f t="shared" si="50"/>
        <v>4.2688145361835751E-3</v>
      </c>
      <c r="P124" s="276">
        <f t="shared" si="51"/>
        <v>58.439994187536598</v>
      </c>
      <c r="Q124" s="278"/>
      <c r="R124" s="290">
        <f t="shared" si="43"/>
        <v>45.83106085297635</v>
      </c>
      <c r="S124" s="278"/>
      <c r="T124" s="278"/>
      <c r="U124" s="278"/>
      <c r="V124" s="278"/>
      <c r="W124" s="278"/>
      <c r="X124" s="278"/>
    </row>
    <row r="125" spans="1:24" x14ac:dyDescent="0.2">
      <c r="A125" s="278">
        <v>2011</v>
      </c>
      <c r="B125" s="287">
        <f t="shared" si="44"/>
        <v>45365393.579999998</v>
      </c>
      <c r="C125" s="275">
        <f t="shared" si="39"/>
        <v>49240601.549999997</v>
      </c>
      <c r="D125" s="275">
        <v>7910102.8499999996</v>
      </c>
      <c r="E125" s="275">
        <v>159686.91</v>
      </c>
      <c r="F125" s="288">
        <f t="shared" si="40"/>
        <v>0.16064188090732209</v>
      </c>
      <c r="G125" s="288">
        <f t="shared" si="41"/>
        <v>3.2429926721721783E-3</v>
      </c>
      <c r="H125" s="276">
        <f t="shared" si="42"/>
        <v>43.812458714730418</v>
      </c>
      <c r="I125" s="276"/>
      <c r="J125" s="278" t="str">
        <f t="shared" si="45"/>
        <v>2009-11</v>
      </c>
      <c r="K125" s="275">
        <f t="shared" si="46"/>
        <v>136960501.19499999</v>
      </c>
      <c r="L125" s="275">
        <f t="shared" si="47"/>
        <v>12127324</v>
      </c>
      <c r="M125" s="275">
        <f t="shared" si="48"/>
        <v>702330.19000000006</v>
      </c>
      <c r="N125" s="289">
        <f t="shared" si="49"/>
        <v>8.8546142093431035E-2</v>
      </c>
      <c r="O125" s="289">
        <f t="shared" si="50"/>
        <v>5.1279761965827269E-3</v>
      </c>
      <c r="P125" s="276">
        <f t="shared" si="51"/>
        <v>46.929094843221705</v>
      </c>
      <c r="Q125" s="278"/>
      <c r="R125" s="290">
        <f t="shared" si="43"/>
        <v>45.83106085297635</v>
      </c>
      <c r="S125" s="278"/>
      <c r="T125" s="278"/>
      <c r="U125" s="278"/>
      <c r="V125" s="278"/>
      <c r="W125" s="278"/>
      <c r="X125" s="278"/>
    </row>
    <row r="126" spans="1:24" x14ac:dyDescent="0.2">
      <c r="A126" s="278"/>
      <c r="B126" s="275"/>
      <c r="C126" s="275"/>
      <c r="D126" s="275"/>
      <c r="E126" s="275"/>
      <c r="F126" s="276"/>
      <c r="G126" s="276"/>
      <c r="H126" s="276"/>
      <c r="I126" s="276"/>
      <c r="J126" s="277"/>
      <c r="K126" s="275"/>
      <c r="L126" s="275"/>
      <c r="M126" s="275"/>
      <c r="N126" s="274"/>
      <c r="O126" s="274"/>
      <c r="P126" s="274"/>
      <c r="Q126" s="274"/>
      <c r="R126" s="274"/>
      <c r="S126" s="274"/>
      <c r="T126" s="274"/>
      <c r="U126" s="274"/>
      <c r="V126" s="274"/>
      <c r="W126" s="274"/>
      <c r="X126" s="274"/>
    </row>
    <row r="127" spans="1:24" x14ac:dyDescent="0.2">
      <c r="A127" s="287" t="str">
        <f>A14 &amp; "-" &amp; A125</f>
        <v>1900-2011</v>
      </c>
      <c r="B127" s="275">
        <f>SUM(B14:B125)</f>
        <v>938414643.66000009</v>
      </c>
      <c r="C127" s="275">
        <f>SUM(C14:C125)</f>
        <v>964972548.41999984</v>
      </c>
      <c r="D127" s="275">
        <f>SUM(D14:D125)</f>
        <v>60449421.810000002</v>
      </c>
      <c r="E127" s="275">
        <f>SUM(E14:E125)</f>
        <v>7333612.2899999991</v>
      </c>
      <c r="F127" s="289">
        <f>IF(C127=0,0,D127/C127)</f>
        <v>6.2643669925094778E-2</v>
      </c>
      <c r="G127" s="289">
        <f>IF(C127=0,0,E127/C127)</f>
        <v>7.599814421672106E-3</v>
      </c>
      <c r="H127" s="276">
        <f>IF(F127*G127=0,0,1/(SQRT(F127*G127)))</f>
        <v>45.83106085297635</v>
      </c>
      <c r="I127" s="276"/>
      <c r="J127" s="277"/>
      <c r="K127" s="275"/>
      <c r="L127" s="275"/>
      <c r="M127" s="275"/>
      <c r="N127" s="274"/>
      <c r="O127" s="274"/>
      <c r="P127" s="274"/>
      <c r="Q127" s="274"/>
      <c r="R127" s="274"/>
      <c r="S127" s="274"/>
      <c r="T127" s="274"/>
      <c r="U127" s="274"/>
      <c r="V127" s="274"/>
      <c r="W127" s="274"/>
      <c r="X127" s="274"/>
    </row>
    <row r="128" spans="1:24" x14ac:dyDescent="0.2">
      <c r="A128" s="278"/>
      <c r="B128" s="275"/>
      <c r="C128" s="275"/>
      <c r="D128" s="275"/>
      <c r="E128" s="275"/>
      <c r="F128" s="276"/>
      <c r="G128" s="276"/>
      <c r="H128" s="276"/>
      <c r="I128" s="276"/>
      <c r="J128" s="277"/>
      <c r="K128" s="275"/>
      <c r="L128" s="275"/>
      <c r="M128" s="275"/>
      <c r="N128" s="274"/>
      <c r="O128" s="274"/>
      <c r="P128" s="274"/>
      <c r="Q128" s="274"/>
      <c r="R128" s="274"/>
      <c r="S128" s="274"/>
      <c r="T128" s="274"/>
      <c r="U128" s="274"/>
      <c r="V128" s="274"/>
      <c r="W128" s="274"/>
      <c r="X128" s="274"/>
    </row>
    <row r="129" spans="1:25" x14ac:dyDescent="0.2">
      <c r="A129" s="289" t="s">
        <v>347</v>
      </c>
      <c r="B129" s="275"/>
      <c r="C129" s="275"/>
      <c r="D129" s="275"/>
      <c r="E129" s="275"/>
      <c r="F129" s="276"/>
      <c r="G129" s="276"/>
      <c r="H129" s="276"/>
      <c r="I129" s="276"/>
      <c r="J129" s="277"/>
      <c r="K129" s="275"/>
      <c r="L129" s="275"/>
      <c r="M129" s="275"/>
      <c r="N129" s="274"/>
      <c r="O129" s="274"/>
      <c r="P129" s="274"/>
      <c r="Q129" s="274"/>
      <c r="R129" s="274"/>
      <c r="S129" s="274"/>
      <c r="T129" s="274"/>
      <c r="U129" s="274"/>
      <c r="V129" s="274"/>
      <c r="W129" s="274"/>
      <c r="X129" s="274"/>
    </row>
    <row r="130" spans="1:25" x14ac:dyDescent="0.2">
      <c r="A130" s="278"/>
      <c r="B130" s="275"/>
      <c r="C130" s="275"/>
      <c r="D130" s="275"/>
      <c r="E130" s="275"/>
      <c r="F130" s="276"/>
      <c r="G130" s="276"/>
      <c r="H130" s="276"/>
      <c r="I130" s="276"/>
      <c r="J130" s="277"/>
      <c r="K130" s="275"/>
      <c r="L130" s="275"/>
      <c r="M130" s="275"/>
      <c r="N130" s="274"/>
      <c r="O130" s="274"/>
      <c r="P130" s="274"/>
      <c r="Q130" s="274"/>
      <c r="R130" s="274"/>
      <c r="S130" s="274"/>
      <c r="T130" s="274"/>
      <c r="U130" s="274"/>
      <c r="V130" s="274"/>
      <c r="W130" s="274"/>
      <c r="X130" s="274"/>
    </row>
    <row r="131" spans="1:25" x14ac:dyDescent="0.2">
      <c r="A131" s="276">
        <f>+$H$127</f>
        <v>45.83106085297635</v>
      </c>
      <c r="B131" s="274"/>
      <c r="C131" s="275">
        <f>+B125+D125-E125</f>
        <v>53115809.520000003</v>
      </c>
      <c r="D131" s="275"/>
      <c r="E131" s="275"/>
      <c r="F131" s="275"/>
      <c r="G131" s="276"/>
      <c r="H131" s="276"/>
      <c r="I131" s="276"/>
      <c r="J131" s="276"/>
      <c r="K131" s="277"/>
      <c r="L131" s="275"/>
      <c r="M131" s="275"/>
      <c r="N131" s="275"/>
      <c r="O131" s="274"/>
      <c r="P131" s="274"/>
      <c r="Q131" s="274"/>
      <c r="R131" s="274"/>
      <c r="S131" s="274"/>
      <c r="T131" s="274"/>
      <c r="U131" s="274"/>
      <c r="V131" s="274"/>
      <c r="W131" s="274"/>
      <c r="X131" s="274"/>
      <c r="Y131" s="274"/>
    </row>
    <row r="132" spans="1:25" x14ac:dyDescent="0.2">
      <c r="A132" s="278"/>
      <c r="B132" s="290"/>
      <c r="C132" s="275"/>
      <c r="D132" s="275"/>
      <c r="E132" s="275"/>
      <c r="F132" s="276"/>
      <c r="G132" s="276"/>
      <c r="H132" s="276"/>
      <c r="I132" s="276"/>
      <c r="J132" s="277"/>
      <c r="K132" s="275"/>
      <c r="L132" s="275"/>
      <c r="M132" s="275"/>
      <c r="N132" s="274"/>
      <c r="O132" s="274"/>
      <c r="P132" s="274"/>
      <c r="Q132" s="274"/>
      <c r="R132" s="274"/>
      <c r="S132" s="274"/>
      <c r="T132" s="274"/>
      <c r="U132" s="274"/>
      <c r="V132" s="274"/>
      <c r="W132" s="274"/>
      <c r="X132" s="274"/>
    </row>
  </sheetData>
  <mergeCells count="6">
    <mergeCell ref="Q7:R7"/>
    <mergeCell ref="A1:P1"/>
    <mergeCell ref="A2:P2"/>
    <mergeCell ref="A3:P3"/>
    <mergeCell ref="A5:P5"/>
    <mergeCell ref="K7:P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Spanos KU</vt:lpstr>
      <vt:lpstr>Adj. 1 Spanos no terminal NS</vt:lpstr>
      <vt:lpstr>Adjustment 2 SK Inter Rets</vt:lpstr>
      <vt:lpstr>SK Incremental Adjustments</vt:lpstr>
      <vt:lpstr>Spanos KU Prod No Term. NS</vt:lpstr>
      <vt:lpstr>SKM Prod NS Weighting</vt:lpstr>
      <vt:lpstr>SK Rates comp to Spanos</vt:lpstr>
      <vt:lpstr>Sheet1</vt:lpstr>
      <vt:lpstr>'SK Rates comp to Spanos'!Print_Area</vt:lpstr>
      <vt:lpstr>'Spanos KU'!Print_Area</vt:lpstr>
      <vt:lpstr>'Spanos KU Prod No Term. NS'!Print_Area</vt:lpstr>
      <vt:lpstr>'SK Rates comp to Spanos'!Print_Titles</vt:lpstr>
      <vt:lpstr>'Spanos KU'!Print_Titles</vt:lpstr>
      <vt:lpstr>'Spanos KU Prod No Term. NS'!Print_Titles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2012-08-13T19:37:46Z</dcterms:created>
  <dcterms:modified xsi:type="dcterms:W3CDTF">2012-10-09T15:42:37Z</dcterms:modified>
</cp:coreProperties>
</file>