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0" windowWidth="15480" windowHeight="10080" activeTab="0"/>
  </bookViews>
  <sheets>
    <sheet name="COS 1" sheetId="1" r:id="rId1"/>
    <sheet name="F 1-2" sheetId="2" r:id="rId2"/>
    <sheet name="F 2 B" sheetId="3" r:id="rId3"/>
    <sheet name="F 3-4" sheetId="4" r:id="rId4"/>
    <sheet name="F 3B 4B" sheetId="5" r:id="rId5"/>
    <sheet name="F 5" sheetId="6" r:id="rId6"/>
    <sheet name="F 5B" sheetId="7" r:id="rId7"/>
    <sheet name="F6" sheetId="8" r:id="rId8"/>
    <sheet name="F7-9" sheetId="9" r:id="rId9"/>
    <sheet name="Meters" sheetId="10" r:id="rId10"/>
    <sheet name="F10-11" sheetId="11" r:id="rId11"/>
    <sheet name="F12-13" sheetId="12" r:id="rId12"/>
    <sheet name="F 14-20" sheetId="13" r:id="rId13"/>
    <sheet name="SCH-D" sheetId="14" r:id="rId14"/>
    <sheet name="cust charge" sheetId="15" r:id="rId15"/>
    <sheet name="SCH-A" sheetId="16" r:id="rId16"/>
  </sheets>
  <definedNames>
    <definedName name="comp">'COS 1'!$V$318:$AK$318</definedName>
    <definedName name="CUST">'F 1-2'!$D$55:$M$72</definedName>
    <definedName name="ds">'COS 1'!$H$179</definedName>
    <definedName name="fact">#REF!</definedName>
    <definedName name="FACT3" localSheetId="3">'F 3-4'!$A$1:$FL$1352</definedName>
    <definedName name="FACT3A" localSheetId="1">'F 1-2'!$X$14:$BC$259</definedName>
    <definedName name="FACT3A" localSheetId="2">'F 2 B'!$W$14:$BB$265</definedName>
    <definedName name="FACT3A" localSheetId="3">'F 3-4'!$W$14:$BB$262</definedName>
    <definedName name="factor">'COS 1'!$W$318:$AK$323</definedName>
    <definedName name="Factors">'COS 1'!$I$324:$V$359</definedName>
    <definedName name="FIRE" localSheetId="1">'F 1-2'!$AA$72:$ES$906</definedName>
    <definedName name="FIRE" localSheetId="2">'F 2 B'!$Z$78:$ER$912</definedName>
    <definedName name="FIRE" localSheetId="3">'F 3-4'!$Z$77:$ER$909</definedName>
    <definedName name="func">'COS 1'!$AD$328:$AQ$349</definedName>
    <definedName name="_xlnm.Print_Area" localSheetId="0">'COS 1'!$B$1:$T$298,'COS 1'!$W$6:$AQ$298</definedName>
    <definedName name="_xlnm.Print_Area" localSheetId="1">'F 1-2'!$B$1:$M$50</definedName>
    <definedName name="_xlnm.Print_Area" localSheetId="2">'F 2 B'!$A$1:$J$41</definedName>
    <definedName name="_xlnm.Print_Area" localSheetId="3">'F 3-4'!$A$1:$P$27,'F 3-4'!$A$30:$R$58</definedName>
    <definedName name="_xlnm.Print_Area" localSheetId="4">'F 3B 4B'!$A$1:$K$72</definedName>
    <definedName name="_xlnm.Print_Area" localSheetId="6">'F 5B'!$A$1:$J$46</definedName>
    <definedName name="_xlnm.Print_Area" localSheetId="10">'F10-11'!$A$1:$G$27</definedName>
    <definedName name="_xlnm.Print_Area" localSheetId="11">'F12-13'!$A$1:$G$42</definedName>
    <definedName name="_xlnm.Print_Area" localSheetId="7">'F6'!$A$1:$P$37</definedName>
    <definedName name="_xlnm.Print_Area" localSheetId="8">'F7-9'!$A$1:$G$58</definedName>
    <definedName name="_xlnm.Print_Area" localSheetId="9">'Meters'!$A$1:$AA$32,'Meters'!$A$34:$AE$64</definedName>
    <definedName name="_xlnm.Print_Area" localSheetId="15">'SCH-A'!$B$6:$R$33,'SCH-A'!$B$40:$R$40</definedName>
    <definedName name="_xlnm.Print_Area" localSheetId="13">'SCH-D'!$A$1:$H$24</definedName>
    <definedName name="_xlnm.Print_Titles" localSheetId="0">'COS 1'!$1:$9</definedName>
  </definedNames>
  <calcPr fullCalcOnLoad="1" iterate="1" iterateCount="100" iterateDelta="0"/>
</workbook>
</file>

<file path=xl/comments1.xml><?xml version="1.0" encoding="utf-8"?>
<comments xmlns="http://schemas.openxmlformats.org/spreadsheetml/2006/main">
  <authors>
    <author>Kathy Malarich</author>
  </authors>
  <commentList>
    <comment ref="A30" authorId="0">
      <text>
        <r>
          <rPr>
            <b/>
            <sz val="9"/>
            <rFont val="Tahoma"/>
            <family val="0"/>
          </rPr>
          <t>Kathy Malarich:</t>
        </r>
        <r>
          <rPr>
            <sz val="9"/>
            <rFont val="Tahoma"/>
            <family val="0"/>
          </rPr>
          <t xml:space="preserve">
This and "gas" adds up to "purchased pow
er".</t>
        </r>
      </text>
    </comment>
    <comment ref="A34" authorId="0">
      <text>
        <r>
          <rPr>
            <b/>
            <sz val="9"/>
            <rFont val="Tahoma"/>
            <family val="0"/>
          </rPr>
          <t>Kathy Malarich:</t>
        </r>
        <r>
          <rPr>
            <sz val="9"/>
            <rFont val="Tahoma"/>
            <family val="0"/>
          </rPr>
          <t xml:space="preserve">
This amount is found under "accounting", not "engineering"</t>
        </r>
      </text>
    </comment>
    <comment ref="A35" authorId="0">
      <text>
        <r>
          <rPr>
            <b/>
            <sz val="9"/>
            <rFont val="Tahoma"/>
            <family val="0"/>
          </rPr>
          <t>Kathy Malarich:</t>
        </r>
        <r>
          <rPr>
            <sz val="9"/>
            <rFont val="Tahoma"/>
            <family val="0"/>
          </rPr>
          <t xml:space="preserve">
This is found under "engineering'</t>
        </r>
      </text>
    </comment>
    <comment ref="A115" authorId="0">
      <text>
        <r>
          <rPr>
            <b/>
            <sz val="9"/>
            <rFont val="Tahoma"/>
            <family val="0"/>
          </rPr>
          <t>This item and the next sum to their "water testing" svcs.</t>
        </r>
        <r>
          <rPr>
            <sz val="9"/>
            <rFont val="Tahoma"/>
            <family val="0"/>
          </rPr>
          <t xml:space="preserve">
</t>
        </r>
      </text>
    </comment>
    <comment ref="A113" authorId="0">
      <text>
        <r>
          <rPr>
            <b/>
            <sz val="9"/>
            <rFont val="Tahoma"/>
            <family val="0"/>
          </rPr>
          <t>This amt corresponds to their entry for "engineering" svcs</t>
        </r>
        <r>
          <rPr>
            <sz val="9"/>
            <rFont val="Tahoma"/>
            <family val="0"/>
          </rPr>
          <t xml:space="preserve">
</t>
        </r>
      </text>
    </comment>
    <comment ref="A111" authorId="0">
      <text>
        <r>
          <rPr>
            <b/>
            <sz val="9"/>
            <rFont val="Tahoma"/>
            <family val="0"/>
          </rPr>
          <t>This item and the next sum to their entry for "acctg" svcs</t>
        </r>
        <r>
          <rPr>
            <sz val="9"/>
            <rFont val="Tahoma"/>
            <family val="0"/>
          </rPr>
          <t xml:space="preserve">
</t>
        </r>
      </text>
    </comment>
    <comment ref="A94" authorId="0">
      <text>
        <r>
          <rPr>
            <b/>
            <sz val="9"/>
            <rFont val="Tahoma"/>
            <family val="0"/>
          </rPr>
          <t>This item and the following equal their "engineering" svcs</t>
        </r>
      </text>
    </comment>
    <comment ref="A96" authorId="0">
      <text>
        <r>
          <rPr>
            <b/>
            <sz val="9"/>
            <rFont val="Tahoma"/>
            <family val="0"/>
          </rPr>
          <t>This and all remaining svcs equal their "water testing" svcs</t>
        </r>
        <r>
          <rPr>
            <sz val="9"/>
            <rFont val="Tahoma"/>
            <family val="0"/>
          </rPr>
          <t xml:space="preserve">
</t>
        </r>
      </text>
    </comment>
    <comment ref="A74" authorId="0">
      <text>
        <r>
          <rPr>
            <b/>
            <sz val="9"/>
            <rFont val="Tahoma"/>
            <family val="0"/>
          </rPr>
          <t>Their table says "acctg"</t>
        </r>
        <r>
          <rPr>
            <sz val="9"/>
            <rFont val="Tahoma"/>
            <family val="0"/>
          </rPr>
          <t xml:space="preserve">
</t>
        </r>
      </text>
    </comment>
    <comment ref="A75" authorId="0">
      <text>
        <r>
          <rPr>
            <b/>
            <sz val="9"/>
            <rFont val="Tahoma"/>
            <family val="0"/>
          </rPr>
          <t>This and subsequent svcs (acct 636) sum to their "water testing"</t>
        </r>
        <r>
          <rPr>
            <sz val="9"/>
            <rFont val="Tahoma"/>
            <family val="0"/>
          </rPr>
          <t xml:space="preserve">
</t>
        </r>
      </text>
    </comment>
  </commentList>
</comments>
</file>

<file path=xl/sharedStrings.xml><?xml version="1.0" encoding="utf-8"?>
<sst xmlns="http://schemas.openxmlformats.org/spreadsheetml/2006/main" count="1381" uniqueCount="457">
  <si>
    <t xml:space="preserve">FACTOR 17.  ALLOCATION OF ORGANIZATION, FRANCHISES AND CONSENTS, </t>
  </si>
  <si>
    <t>FACTOR 19.  ALLOCATION OF REGULATORY COMMISSION EXPENSES, ASSESSMENTS AND</t>
  </si>
  <si>
    <t>FACTOR 11</t>
  </si>
  <si>
    <t>FACTOR 15</t>
  </si>
  <si>
    <t>LABOR BASIS FOR FACTOR 16</t>
  </si>
  <si>
    <t>FACTOR 16</t>
  </si>
  <si>
    <t>UPIS BASIS FOR FACTOR 17</t>
  </si>
  <si>
    <t>FACTOR 17</t>
  </si>
  <si>
    <t>FACTOR 18</t>
  </si>
  <si>
    <t>RATE BASE BASIS FOR FACTOR 18</t>
  </si>
  <si>
    <t>TOTAL COS BASIS FOR FACTOR 19</t>
  </si>
  <si>
    <t>FACTOR 19</t>
  </si>
  <si>
    <t>The weighting of the factors is based on the potential demand of general and fire protection service.  The bases for the potential demand of general service are the maximum hour ratio of 2.4 and the average daily system sendout for 2009 of 27.216 MGD.  The system demand for fire protection is 12,000 gallons per minute.</t>
  </si>
  <si>
    <t>Costs are assigned directly to Public Fire Protection.</t>
  </si>
  <si>
    <t xml:space="preserve">           Total</t>
  </si>
  <si>
    <t xml:space="preserve">   Extra Capacity</t>
  </si>
  <si>
    <t>Factors are based on the allocation of direct labor expense.</t>
  </si>
  <si>
    <t>AND FIRE PROTECTION FUNCTIONS.</t>
  </si>
  <si>
    <t xml:space="preserve">FACTOR 3.  ALLOCATION OF COSTS ASSOCIATED WITH FACILITIES SERVING BASE, MAXIMUM DAY EXTRA CAPACITY </t>
  </si>
  <si>
    <t>AND ENGINEERING, STRUCTURES AND IMPROVEMENTS, AND OTHER EXPENSES.</t>
  </si>
  <si>
    <t xml:space="preserve"> MISCELLANEOUS INTANGIBLE PLANT AND OTHER RATE BASE ELEMENTS.</t>
  </si>
  <si>
    <t xml:space="preserve">   Other Utility Plant Adjustments</t>
  </si>
  <si>
    <t>Organization</t>
  </si>
  <si>
    <t>Supply Mains</t>
  </si>
  <si>
    <t>Stores Equipment</t>
  </si>
  <si>
    <t>Laboratory Equipment</t>
  </si>
  <si>
    <t>Power Operated Equipment</t>
  </si>
  <si>
    <t>Total Utility Plant in Service</t>
  </si>
  <si>
    <t xml:space="preserve">  Total Operation &amp; Maintenance Expenses</t>
  </si>
  <si>
    <t>FOR THE YEARS 1998-2009</t>
  </si>
  <si>
    <t xml:space="preserve">     Total Depreciation Expense</t>
  </si>
  <si>
    <t xml:space="preserve">DEPRECIATION EXPENSE                </t>
  </si>
  <si>
    <t>Taxes Other Than Income</t>
  </si>
  <si>
    <t>Utility Reg Assessment Fee</t>
  </si>
  <si>
    <t>Other Rate Base Items</t>
  </si>
  <si>
    <t>Add:</t>
  </si>
  <si>
    <t>Mains 10" and Larger</t>
  </si>
  <si>
    <t>Mains Smaller than 10"</t>
  </si>
  <si>
    <t>Mains and Accessories - 10" and larger</t>
  </si>
  <si>
    <t>Mains and Accessories - Less than 10"</t>
  </si>
  <si>
    <t xml:space="preserve">   Materials and Supplies</t>
  </si>
  <si>
    <t xml:space="preserve">   Prepayments</t>
  </si>
  <si>
    <t xml:space="preserve">   Regulatory Deferrals </t>
  </si>
  <si>
    <t>Amort-Other UP</t>
  </si>
  <si>
    <t>Table of Factors - Table Name "FACTORS"</t>
  </si>
  <si>
    <t>factor 3</t>
  </si>
  <si>
    <t>factor 4</t>
  </si>
  <si>
    <t xml:space="preserve">Public </t>
  </si>
  <si>
    <t>KENTUCKY-AMERICAN WATER COMPANY</t>
  </si>
  <si>
    <t>FACTORS FOR ALLOCATING COST OF SERVICE TO CUSTOMER CLASSIFICATIONS</t>
  </si>
  <si>
    <t>FACTOR 1.  ALLOCATION OF COSTS WHICH VARY WITH THE AMOUNT OF WATER CONSUMED.</t>
  </si>
  <si>
    <t>Factors are based on the pro forma test year average daily consumption for each customer classification.</t>
  </si>
  <si>
    <t>Average Daily</t>
  </si>
  <si>
    <t xml:space="preserve">Customer </t>
  </si>
  <si>
    <t>Consumption,</t>
  </si>
  <si>
    <t>Allocation</t>
  </si>
  <si>
    <t>Classification</t>
  </si>
  <si>
    <t>Factor</t>
  </si>
  <si>
    <t>(1)</t>
  </si>
  <si>
    <t xml:space="preserve">    (2)</t>
  </si>
  <si>
    <t>(3)</t>
  </si>
  <si>
    <t>Residential</t>
  </si>
  <si>
    <t>Commercial</t>
  </si>
  <si>
    <t>Industrial</t>
  </si>
  <si>
    <t>Other Public Authority</t>
  </si>
  <si>
    <t>Private Fire Protection</t>
  </si>
  <si>
    <t xml:space="preserve">   Total</t>
  </si>
  <si>
    <t>FACTOR 2.  ALLOCATION OF COSTS ASSOCIATED WITH FACILITIES SERVING BASE AND</t>
  </si>
  <si>
    <t xml:space="preserve"> MAXIMUM DAY EXTRA CAPACITY FUNCTIONS.</t>
  </si>
  <si>
    <t>Factors are based on the weighting of the factors for average daily consumption (Factor 1) and the factors derived from maximum day extra capacity demand for each customer classification, as follows:</t>
  </si>
  <si>
    <t>Maximum Day</t>
  </si>
  <si>
    <t>Consumption</t>
  </si>
  <si>
    <t>Extra Capacity</t>
  </si>
  <si>
    <t>Weighted</t>
  </si>
  <si>
    <t>Factor 1</t>
  </si>
  <si>
    <t>(2)</t>
  </si>
  <si>
    <t>(3)=(2)x</t>
  </si>
  <si>
    <t>(4)</t>
  </si>
  <si>
    <t>(5)=(4)x</t>
  </si>
  <si>
    <t>(6)=(3)+(5)</t>
  </si>
  <si>
    <t>The derivation of the maximum day extra capacity factors in column 4 and the basis for the column 3 and 5 weightings are presented on the following page.</t>
  </si>
  <si>
    <t>::</t>
  </si>
  <si>
    <t>FACTORS FOR ALLOCATING COST OF SERVICE TO CUSTOMER CLASSIFICATIONS, cont.</t>
  </si>
  <si>
    <t xml:space="preserve"> MAXIMUM DAY EXTRA CAPACITY FUNCTIONS, cont.</t>
  </si>
  <si>
    <t>Maximum Day Extra Capacity</t>
  </si>
  <si>
    <t>Rate of Flow,</t>
  </si>
  <si>
    <t>Factor*</t>
  </si>
  <si>
    <t>Per Day</t>
  </si>
  <si>
    <t>(4)=(2)x(3)</t>
  </si>
  <si>
    <t>(5)</t>
  </si>
  <si>
    <t>Maximum</t>
  </si>
  <si>
    <t>Day</t>
  </si>
  <si>
    <t>Ratio</t>
  </si>
  <si>
    <t>Weight</t>
  </si>
  <si>
    <t>Average Day</t>
  </si>
  <si>
    <t xml:space="preserve"> Extra Capacity</t>
  </si>
  <si>
    <t xml:space="preserve">  Total</t>
  </si>
  <si>
    <t>* Ratio of maximum day to average day minus 1.0.</t>
  </si>
  <si>
    <t>Factors are based on the weighting of the average daily consumption, the maximum day extra capacity demand, and the fire protection demand for each customer classification.</t>
  </si>
  <si>
    <t>Fire Protection</t>
  </si>
  <si>
    <t>Customer</t>
  </si>
  <si>
    <t>(3)=(2) X</t>
  </si>
  <si>
    <t>(5)=(4) X</t>
  </si>
  <si>
    <t>(6)</t>
  </si>
  <si>
    <t>(7)=(6) X</t>
  </si>
  <si>
    <t>(8)=(3)+(5)+(7)</t>
  </si>
  <si>
    <t>Maximum Hour</t>
  </si>
  <si>
    <t>Average Hourly Consumption</t>
  </si>
  <si>
    <t>(4)=(3) X</t>
  </si>
  <si>
    <t>(6)=(5) X</t>
  </si>
  <si>
    <t>(7)</t>
  </si>
  <si>
    <t>(8)=(7) X</t>
  </si>
  <si>
    <t>(9)=(4)+(6)+(8)</t>
  </si>
  <si>
    <t>FACTOR 3.  ALLOCATION OF COSTS ASSOCIATED WITH FACILITIES SERVING BASE, MAXIMUM</t>
  </si>
  <si>
    <t xml:space="preserve">  DAY EXTRA CAPACITY AND FIRE PROTECTION FUNCTIONS, cont.</t>
  </si>
  <si>
    <t>(GPD)</t>
  </si>
  <si>
    <t>Average Hour</t>
  </si>
  <si>
    <t xml:space="preserve">  Subtotal</t>
  </si>
  <si>
    <t>FACTOR 4.  ALLOCATION OF COSTS ASSOCIATED WITH FACILITIES SERVING BASE AND</t>
  </si>
  <si>
    <t xml:space="preserve"> MAXIMUM HOUR EXTRA CAPACITY FUNCTIONS, cont.</t>
  </si>
  <si>
    <t>(GPM)</t>
  </si>
  <si>
    <t>The maximum hour extra capacity factors in column 5 of the previous page are determined as follows:</t>
  </si>
  <si>
    <t>Average</t>
  </si>
  <si>
    <t>Hourly</t>
  </si>
  <si>
    <t>Maximum Hour Extra Capacity</t>
  </si>
  <si>
    <t>Per Hour</t>
  </si>
  <si>
    <t xml:space="preserve">     Total</t>
  </si>
  <si>
    <t>* Ratio of Maximum Hour To Average Hour Minus 1.0.</t>
  </si>
  <si>
    <t>FACTOR 5.  ALLOCATION OF COSTS ASSOCIATED WITH STORAGE FACILITIES.</t>
  </si>
  <si>
    <t>Factors are based on the weighting of the average hourly consumption, the maximum hour extra capacity demand, and the fire protection demand for each customer classification.</t>
  </si>
  <si>
    <t xml:space="preserve">     Total Other Rate Base Elements</t>
  </si>
  <si>
    <t>Total Original Cost Measure of Value</t>
  </si>
  <si>
    <t>Fire Protection Weight =</t>
  </si>
  <si>
    <t>=</t>
  </si>
  <si>
    <t>General Service Weight =</t>
  </si>
  <si>
    <t>-</t>
  </si>
  <si>
    <t>The weighting of the average hourly consumption and maximum hour extra demand for general service is based on the maximum hour ratio, as follows:</t>
  </si>
  <si>
    <t>Hour</t>
  </si>
  <si>
    <t>Percent</t>
  </si>
  <si>
    <t xml:space="preserve"> Maximum Hour</t>
  </si>
  <si>
    <t>Maximum Daily</t>
  </si>
  <si>
    <t>Maximum Hourly</t>
  </si>
  <si>
    <t>Factor 3</t>
  </si>
  <si>
    <t>Factor 4</t>
  </si>
  <si>
    <t>(3)=(2)X</t>
  </si>
  <si>
    <t>(5)=(4)X</t>
  </si>
  <si>
    <t>base</t>
  </si>
  <si>
    <t>max day</t>
  </si>
  <si>
    <t>max hour</t>
  </si>
  <si>
    <t xml:space="preserve">  Mains and Accessories - 10" and larger</t>
  </si>
  <si>
    <t xml:space="preserve">  Mains and Accessories - Less than 10"</t>
  </si>
  <si>
    <t xml:space="preserve">  Pumps</t>
  </si>
  <si>
    <t xml:space="preserve">  Water Treatment</t>
  </si>
  <si>
    <t xml:space="preserve">  Storage</t>
  </si>
  <si>
    <t xml:space="preserve">  Metering</t>
  </si>
  <si>
    <t xml:space="preserve">  General </t>
  </si>
  <si>
    <t>Total Construction Work in Progress</t>
  </si>
  <si>
    <t xml:space="preserve">   General </t>
  </si>
  <si>
    <t xml:space="preserve">  Meters</t>
  </si>
  <si>
    <t>COST OF SERVICE FOR THE TWELVE MONTHS ENDED DECEMBER 31, 2009, ALLOCATED TO COST FUNCTION</t>
  </si>
  <si>
    <t xml:space="preserve">  Distribution Reservoirs and Standpipes</t>
  </si>
  <si>
    <t xml:space="preserve">  Water Treatment Plant</t>
  </si>
  <si>
    <t xml:space="preserve">  Pumping Equipment</t>
  </si>
  <si>
    <t>Amort of Acq. Adj.</t>
  </si>
  <si>
    <t>FACTOR 18.  ALLOCATION OF DEBT SERVICE AND ACQUISTION ADJUSTMENT</t>
  </si>
  <si>
    <t xml:space="preserve">    Total</t>
  </si>
  <si>
    <t>The weighting of the factors is based on the total footage of mains, designated as either transmission mains or distribution mains, as follows:</t>
  </si>
  <si>
    <t>Total Footage</t>
  </si>
  <si>
    <t>of Mains</t>
  </si>
  <si>
    <t>Number of</t>
  </si>
  <si>
    <t xml:space="preserve">       Total</t>
  </si>
  <si>
    <t>Factors are based on the relative cost of meters by size and customer classification, as developed on the following page and summarized below.</t>
  </si>
  <si>
    <t>5/8" Dollar</t>
  </si>
  <si>
    <t>Equivalents</t>
  </si>
  <si>
    <t xml:space="preserve"> </t>
  </si>
  <si>
    <t>Factors are based on the relative cost of services by size and customer classification, as developed on the following page and summarized below.</t>
  </si>
  <si>
    <t>3/4" Dollar</t>
  </si>
  <si>
    <t>old 1997 study</t>
  </si>
  <si>
    <t>|...+....1....+....2....+....3....+....4....+....5....+....6....+....7....+....8....+....9....+...10....+...11....+...12....+...13....+...14....+...15....+...16....+...17....+...18....+...19....+...20....+...21....+...22....+...23....+...</t>
  </si>
  <si>
    <t>BASIS FOR ALLOCATING SERVICE COSTS TO CUSTOMER CLASSIFICATIONS</t>
  </si>
  <si>
    <t>3/4"</t>
  </si>
  <si>
    <t>Sales for Resale</t>
  </si>
  <si>
    <t>Resale</t>
  </si>
  <si>
    <t xml:space="preserve">Other Water Utilities      </t>
  </si>
  <si>
    <t>Total</t>
  </si>
  <si>
    <t>Service</t>
  </si>
  <si>
    <t>Dollar</t>
  </si>
  <si>
    <t>Size</t>
  </si>
  <si>
    <t>Equivalent</t>
  </si>
  <si>
    <t>Services</t>
  </si>
  <si>
    <t>Weighting</t>
  </si>
  <si>
    <t>(4)=(2)X(3)</t>
  </si>
  <si>
    <t>(6)=(2)X(5)</t>
  </si>
  <si>
    <t>Debt Service</t>
  </si>
  <si>
    <t>Commercial/Multi-Family</t>
  </si>
  <si>
    <t>(8)=(2)X(7)</t>
  </si>
  <si>
    <t>(10)=(2)X(9)</t>
  </si>
  <si>
    <t>CCF</t>
  </si>
  <si>
    <t>GPM X 60 Min. X 10 Hrs.</t>
  </si>
  <si>
    <t xml:space="preserve">   Unamortized Debt Discount and Expense</t>
  </si>
  <si>
    <t>Construction Work In Progress</t>
  </si>
  <si>
    <t>Mains and Accessories - Transmission</t>
  </si>
  <si>
    <t>Mains and Accessories - Distribution</t>
  </si>
  <si>
    <t>Mains and Accessories - Taylor Mill - Transmission</t>
  </si>
  <si>
    <t>Mains and Accessories - Taylor Mill - Distribution</t>
  </si>
  <si>
    <t>CASH WORKING CAPITAL FOR FACTOR 15</t>
  </si>
  <si>
    <t>T&amp;D OP BASIS FOR FACTOR 10</t>
  </si>
  <si>
    <t>FACTOR 10</t>
  </si>
  <si>
    <t>T&amp;D Mnt BASIS FOR FACTOR 11</t>
  </si>
  <si>
    <t>A&amp;G BASIS FOR FACTOR 14</t>
  </si>
  <si>
    <t>FACTOR 14</t>
  </si>
  <si>
    <t>FACTOR 6. ALLOCATION OF COSTS ASSOCIATED WITH TRANSMISSION AND DISTRIBUTION MAINS.</t>
  </si>
  <si>
    <t>FACTOR 9.  ALLOCATION OF COSTS ASSOCIATED WITH SERVICES.</t>
  </si>
  <si>
    <t>FACTOR 8.  ALLOCATION OF COSTS ASSOCIATED WITH METERS.</t>
  </si>
  <si>
    <t>FACTOR 7. ALLOCATION OF COSTS ASSOCIATED WITH FIRE HYDRANTS.</t>
  </si>
  <si>
    <t>FACTOR 11.  ALLOCATION OF TRANSMISSION AND DISTRIBUTION MAINTENANCE SUPERVISION</t>
  </si>
  <si>
    <t>FACTOR 14.  ALLOCATION OF ADMINISTRATIVE AND GENERAL EXPENSES</t>
  </si>
  <si>
    <t>FACTOR 10.  NOT USED IN THE ALLOCATION.</t>
  </si>
  <si>
    <t>(12)=(2)X(11)</t>
  </si>
  <si>
    <t>(14)=(2)X(11)</t>
  </si>
  <si>
    <t xml:space="preserve">  3/4</t>
  </si>
  <si>
    <t xml:space="preserve">   1</t>
  </si>
  <si>
    <t xml:space="preserve"> 1-1/2</t>
  </si>
  <si>
    <t xml:space="preserve">   2</t>
  </si>
  <si>
    <t xml:space="preserve">   4</t>
  </si>
  <si>
    <t xml:space="preserve">   6</t>
  </si>
  <si>
    <t xml:space="preserve">   8</t>
  </si>
  <si>
    <t xml:space="preserve">  10</t>
  </si>
  <si>
    <t xml:space="preserve">  12</t>
  </si>
  <si>
    <t xml:space="preserve">  16</t>
  </si>
  <si>
    <t>Factors are based on the total number of customers.</t>
  </si>
  <si>
    <t>Customers</t>
  </si>
  <si>
    <t>Factors are based on the number of metered customers.</t>
  </si>
  <si>
    <t>Total Metered</t>
  </si>
  <si>
    <t>Transmission</t>
  </si>
  <si>
    <t>Expenses</t>
  </si>
  <si>
    <t>Boone Florence Settlement</t>
  </si>
  <si>
    <t>Protection</t>
  </si>
  <si>
    <t>Maintenance</t>
  </si>
  <si>
    <t>Public</t>
  </si>
  <si>
    <t>Factors are based on transmission and distribution maintenance expenses other than those being allocated, as follows:</t>
  </si>
  <si>
    <t>Gallons</t>
  </si>
  <si>
    <t>Operation &amp;</t>
  </si>
  <si>
    <t>FACTOR 16.  ALLOCATION OF LABOR RELATED TAXES AND BENEFITS.</t>
  </si>
  <si>
    <t>Direct Labor</t>
  </si>
  <si>
    <t>Expense</t>
  </si>
  <si>
    <t>Factors are based on the allocation of the original cost less depreciation other than those items being allocated, as follows:</t>
  </si>
  <si>
    <t>Original</t>
  </si>
  <si>
    <t>Cost Less</t>
  </si>
  <si>
    <t>Depreciation</t>
  </si>
  <si>
    <t>Factors are based on the allocation of the original cost measure of value rate base as shown on the following pages and summarized below.</t>
  </si>
  <si>
    <t>Cost Measure</t>
  </si>
  <si>
    <t>of Value</t>
  </si>
  <si>
    <t xml:space="preserve"> OTHER WATER REVENUES.</t>
  </si>
  <si>
    <t>The factors are based on the allocation of the total cost of service, excluding those items being allocated.</t>
  </si>
  <si>
    <t xml:space="preserve">Total Cost </t>
  </si>
  <si>
    <t>of Service</t>
  </si>
  <si>
    <t>BASIS FOR ALLOCATING METER COSTS TO CUSTOMER CLASSIFICATIONS</t>
  </si>
  <si>
    <t>5/8"</t>
  </si>
  <si>
    <t>Meter</t>
  </si>
  <si>
    <t>Meters</t>
  </si>
  <si>
    <t>5/8</t>
  </si>
  <si>
    <t>3/4</t>
  </si>
  <si>
    <t>1</t>
  </si>
  <si>
    <t>1-1/2</t>
  </si>
  <si>
    <t>2</t>
  </si>
  <si>
    <t>3</t>
  </si>
  <si>
    <t>4</t>
  </si>
  <si>
    <t>6</t>
  </si>
  <si>
    <t>8</t>
  </si>
  <si>
    <t xml:space="preserve"> Sales of Water                          </t>
  </si>
  <si>
    <t xml:space="preserve">Total Cost of Service Related to         </t>
  </si>
  <si>
    <t xml:space="preserve">Less: Other Water Revenues               </t>
  </si>
  <si>
    <t xml:space="preserve">    Total Cost of Service                </t>
  </si>
  <si>
    <t xml:space="preserve">         Total Taxes, Other Than Income  </t>
  </si>
  <si>
    <t xml:space="preserve">                                         </t>
  </si>
  <si>
    <t>Cost of Service</t>
  </si>
  <si>
    <t>Proposed Increase</t>
  </si>
  <si>
    <t>Amount</t>
  </si>
  <si>
    <t>Revenues, Present Rates</t>
  </si>
  <si>
    <t>Revenues, Proposed Rates</t>
  </si>
  <si>
    <t>Increase</t>
  </si>
  <si>
    <t>(8)</t>
  </si>
  <si>
    <t>(9)</t>
  </si>
  <si>
    <t>Public Authority</t>
  </si>
  <si>
    <t xml:space="preserve">     Total Sales</t>
  </si>
  <si>
    <t>Other Revenues</t>
  </si>
  <si>
    <t xml:space="preserve">              Total</t>
  </si>
  <si>
    <t>Base</t>
  </si>
  <si>
    <t>Max Day</t>
  </si>
  <si>
    <t>Max Hour</t>
  </si>
  <si>
    <t>Billing &amp;</t>
  </si>
  <si>
    <t>Collecting</t>
  </si>
  <si>
    <t>Fire</t>
  </si>
  <si>
    <t>The weighting of the factors is based on the ratio of the capacity required for a 3 hour demand of fire flow, as related to total storage capacity.  The calculation is shown on the following page.</t>
  </si>
  <si>
    <t>&amp; Distribution</t>
  </si>
  <si>
    <t>Factors are based on the allocation of all other operation and maintenance expenses excluding purchased water, power, chemicals and waste disposal.</t>
  </si>
  <si>
    <t>(Schedule B)</t>
  </si>
  <si>
    <t>SUMMARY OF AVERAGE DAILY SEND OUT AND MAXIMUM DAILY USAGE</t>
  </si>
  <si>
    <t>Maximum Daily Use</t>
  </si>
  <si>
    <t>Send out</t>
  </si>
  <si>
    <t>Ratio to</t>
  </si>
  <si>
    <t>Highest</t>
  </si>
  <si>
    <t>Year</t>
  </si>
  <si>
    <t>FACTOR 20.  REALLOCATION OF FIRE PROTECTION</t>
  </si>
  <si>
    <t>(MGD)</t>
  </si>
  <si>
    <t>MGD</t>
  </si>
  <si>
    <t>Use Day</t>
  </si>
  <si>
    <t>Consumption w/ Fire</t>
  </si>
  <si>
    <t>The maximum hour extra capacity factors in column 5 are determined on the next page.</t>
  </si>
  <si>
    <t>CALCULATION OF CUSTOMER CHARGE</t>
  </si>
  <si>
    <t>Meter Equivalents X 12</t>
  </si>
  <si>
    <t>Service Equivalents X 12</t>
  </si>
  <si>
    <t>Total Customer Charge (3)+(6)+(9)</t>
  </si>
  <si>
    <t>Factors are based on the relative cost of meters by size and customer classification.</t>
  </si>
  <si>
    <t>The weighting of the factors is based on the maximum day ratio of 1.60, based on a review of maximum day ratios experienced during the period 1998 through 2009 (see Schedule D).</t>
  </si>
  <si>
    <t>Factors are based on the weighting of the maximum daily consumption with fire, Factor 3, and the maximum hour consumption, Factor 4, for each customer classification, as follows:</t>
  </si>
  <si>
    <t>Cost Related to Meters</t>
  </si>
  <si>
    <t>Cost per Bill - Meter related</t>
  </si>
  <si>
    <t>Cost Related to Services</t>
  </si>
  <si>
    <t>Cost per Bill - Services related</t>
  </si>
  <si>
    <t>Cost Related to Billing and Collecting</t>
  </si>
  <si>
    <t>Cost per Bill - Billing and Collecting</t>
  </si>
  <si>
    <t>Labor - Courier</t>
  </si>
  <si>
    <t>Labor - Meter Shop</t>
  </si>
  <si>
    <t>boone florence</t>
  </si>
  <si>
    <t>COMPARISON OF COST OF SERVICE WITH REVENUES UNDER PRESENT AND PROPOSED RATES - STEP 2</t>
  </si>
  <si>
    <t>Contributions in Aid of Construction</t>
  </si>
  <si>
    <t>Reallocation of Fire Protection</t>
  </si>
  <si>
    <t>Source of Supply</t>
  </si>
  <si>
    <t>Puchased Power</t>
  </si>
  <si>
    <t>Utilities</t>
  </si>
  <si>
    <t>Gas</t>
  </si>
  <si>
    <t>Chemicals</t>
  </si>
  <si>
    <t>Materials and Supplies</t>
  </si>
  <si>
    <t>Materials and Supplies - Services</t>
  </si>
  <si>
    <t>Materials and Supplies - Meters</t>
  </si>
  <si>
    <t>Materials and Supplies - Hydrants</t>
  </si>
  <si>
    <t>Materials and Supplies - Mains</t>
  </si>
  <si>
    <t>Postage</t>
  </si>
  <si>
    <t>Contractual Services - Engineering</t>
  </si>
  <si>
    <t>Contract Service Accounting/Audit</t>
  </si>
  <si>
    <t>Contractual Services</t>
  </si>
  <si>
    <t>Contractual Services - Account Service</t>
  </si>
  <si>
    <t>Legal Fees</t>
  </si>
  <si>
    <t>Contractual Fees</t>
  </si>
  <si>
    <t>Contractual Service</t>
  </si>
  <si>
    <t>Contractual Services - Sludge</t>
  </si>
  <si>
    <t>Contractual Services - Laboratory</t>
  </si>
  <si>
    <t>Contractual Services - Other</t>
  </si>
  <si>
    <t>Water Tower Painting Write-off</t>
  </si>
  <si>
    <t>Contractual Services - Mains</t>
  </si>
  <si>
    <t>Contractual Services - Services</t>
  </si>
  <si>
    <t>Contractual Services - Meter Reading</t>
  </si>
  <si>
    <t>Contractual Services - Water Towers</t>
  </si>
  <si>
    <t>Contractual Services - Bill Printing/Mailing</t>
  </si>
  <si>
    <t>Contractual Services - Collections</t>
  </si>
  <si>
    <t>Contractual Services - Credit Card Processing</t>
  </si>
  <si>
    <t>Contractual Services - HR/Infor Systems</t>
  </si>
  <si>
    <t>Contractual Services - Lock Box Processing</t>
  </si>
  <si>
    <t>Rental</t>
  </si>
  <si>
    <t>Transportation Expense</t>
  </si>
  <si>
    <t>Vehicle Insurance</t>
  </si>
  <si>
    <t>General Liability Insurance</t>
  </si>
  <si>
    <t>Workers Comp Insurance</t>
  </si>
  <si>
    <t>Other Insurance</t>
  </si>
  <si>
    <t>Miscellaneous Expense</t>
  </si>
  <si>
    <t>PSC Expense- Rate Case Expense</t>
  </si>
  <si>
    <t>Employment Taxes</t>
  </si>
  <si>
    <t>NORTHERN KENTUCKY WATER DISTRICT</t>
  </si>
  <si>
    <t>COST OF SERVICE FOR THE TWELVE MONTHS ENDED DECEMBER 31, 2009, ALLOCATED TO CUSTOMER CLASSIFICATIONS</t>
  </si>
  <si>
    <t xml:space="preserve">   Total Operations</t>
  </si>
  <si>
    <t xml:space="preserve">  Total Maintenance</t>
  </si>
  <si>
    <t>Total Source of Supply</t>
  </si>
  <si>
    <t>Total Water Treatment</t>
  </si>
  <si>
    <t xml:space="preserve">  Total Operations</t>
  </si>
  <si>
    <t>Total Transmission and Distribution</t>
  </si>
  <si>
    <t>Total Customer Accounting</t>
  </si>
  <si>
    <t>Total Adminstrative and General</t>
  </si>
  <si>
    <t>Power and Pumping Structures - Intake</t>
  </si>
  <si>
    <t>Water Treatment Plant</t>
  </si>
  <si>
    <t>Pumping Structures</t>
  </si>
  <si>
    <t>Office Buildings</t>
  </si>
  <si>
    <t>Other Structures</t>
  </si>
  <si>
    <t>Structures - Water Treatment</t>
  </si>
  <si>
    <t>Lake, River and Other Intakes</t>
  </si>
  <si>
    <t>Power Generation Equipment</t>
  </si>
  <si>
    <t>Pumping Equipment</t>
  </si>
  <si>
    <t>Purification System</t>
  </si>
  <si>
    <t>Purification System - Equipment</t>
  </si>
  <si>
    <t>Distribution Reservoirs and Standpipes</t>
  </si>
  <si>
    <t>Distribution Reservoirs and Standpipes - Taylor Mill</t>
  </si>
  <si>
    <t>Services - Taylor Mill</t>
  </si>
  <si>
    <t>Fire Hydrants</t>
  </si>
  <si>
    <t>Fire Hydrants - Taylor Mill</t>
  </si>
  <si>
    <t>Miscellaneous Equipment</t>
  </si>
  <si>
    <t xml:space="preserve">Office Furniture and Equipment                        </t>
  </si>
  <si>
    <t xml:space="preserve">Transportation Equipment                              </t>
  </si>
  <si>
    <t xml:space="preserve">Tools,Shop and Garage Equipment                                        </t>
  </si>
  <si>
    <t xml:space="preserve">Communication Equipment                               </t>
  </si>
  <si>
    <t xml:space="preserve">Miscellaneous Equipment                               </t>
  </si>
  <si>
    <t>Land - Intake</t>
  </si>
  <si>
    <t>Land - Treatment Plant</t>
  </si>
  <si>
    <t>Land - Pump Station and Transmission</t>
  </si>
  <si>
    <t>Land - CC</t>
  </si>
  <si>
    <t xml:space="preserve">   Prepayments - Tank Cleaning/Painting</t>
  </si>
  <si>
    <t>FOR THE TEST YEAR ENDED DECEMBER 31, 2009</t>
  </si>
  <si>
    <t>Debt Service  Coverage</t>
  </si>
  <si>
    <t xml:space="preserve">   Deferred Credits</t>
  </si>
  <si>
    <t xml:space="preserve">   Other Utility Plant Acquistions/Adjustments</t>
  </si>
  <si>
    <t xml:space="preserve">   Total Debt Service Requirements</t>
  </si>
  <si>
    <t>Interest Earnings</t>
  </si>
  <si>
    <t>FACTOR 15.  NOT USED IN THE ALLOCATION</t>
  </si>
  <si>
    <t>The weighting of the factors is based on the ratio of the capacity required for a 10 hour demand of fire flow, as related to total storage capacity.</t>
  </si>
  <si>
    <t xml:space="preserve">The weighting of the factors is based on the potential demand of general and fire protection service.  The bases for the potential demand of general service are the maximum day ratio of 1.60 and the average daily system sendout for 2009 of 27.216 MGD.  The system demand for fire protection is 12,000 Gallons per minute for 10 hours.    </t>
  </si>
  <si>
    <t>Penalties</t>
  </si>
  <si>
    <t>Turn On Fees</t>
  </si>
  <si>
    <t>Rent</t>
  </si>
  <si>
    <t>Lab Test Fees</t>
  </si>
  <si>
    <t>Material Sold</t>
  </si>
  <si>
    <t>Subdivison Revenue</t>
  </si>
  <si>
    <t xml:space="preserve">   Total Other Water Revenues</t>
  </si>
  <si>
    <t>Miscellaneous Revenue</t>
  </si>
  <si>
    <t xml:space="preserve"> Bulk Sales</t>
  </si>
  <si>
    <t>FACTOR 12.  ALLOCATION OF BILLING AND COLLECTING COSTS AND METER READING</t>
  </si>
  <si>
    <t>FACTOR 13.  NOT USED IN THE ALLOCATION</t>
  </si>
  <si>
    <t>Wholesale</t>
  </si>
  <si>
    <t>Wholesale Customers</t>
  </si>
  <si>
    <t>Number of Bills</t>
  </si>
  <si>
    <t>Monthly</t>
  </si>
  <si>
    <t>Quarterly</t>
  </si>
  <si>
    <t>Advertising Expense</t>
  </si>
  <si>
    <t>Bad Debt Expense</t>
  </si>
  <si>
    <t>Water Treatment</t>
  </si>
  <si>
    <t>Operations</t>
  </si>
  <si>
    <t>Labor - Lab</t>
  </si>
  <si>
    <t>Labor</t>
  </si>
  <si>
    <t>Transmission and Distribution</t>
  </si>
  <si>
    <t>Labor - Services</t>
  </si>
  <si>
    <t>Labor - Mains</t>
  </si>
  <si>
    <t>Labor - Hydrants</t>
  </si>
  <si>
    <t>Account No.</t>
  </si>
  <si>
    <t>Customer Accounting</t>
  </si>
  <si>
    <t>Labor - Meter Reading</t>
  </si>
  <si>
    <t>Labor - Account Service</t>
  </si>
  <si>
    <t>Labor Field Service</t>
  </si>
  <si>
    <t>Administrative and General</t>
  </si>
  <si>
    <t>Employee Benefits</t>
  </si>
  <si>
    <t xml:space="preserve">OPERATION AND MAINTENANCE EXPENSES       </t>
  </si>
  <si>
    <t>Ref.</t>
  </si>
  <si>
    <t>Cost of</t>
  </si>
  <si>
    <t>Account</t>
  </si>
  <si>
    <t>RATE BASE</t>
  </si>
  <si>
    <t>Authorities</t>
  </si>
  <si>
    <t>FACTOR 4.  ALLOCATION OF COSTS ASSOCIATED WITH FACILITIES SERVING BASE AND MAXIMUM HOUR EXTRA CAPACITY FUNCTIONS.</t>
  </si>
  <si>
    <t>FACTOR 5.  ALLOCATION OF COSTS ASSOCIATED WITH STORAGE FACILITIES, cont.</t>
  </si>
  <si>
    <t>fire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</si>
</sst>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
    <numFmt numFmtId="168" formatCode="#,##0.0000"/>
    <numFmt numFmtId="169" formatCode="0_);\(0\)"/>
    <numFmt numFmtId="170" formatCode="#,##0.0000_);\(#,##0.0000\)"/>
    <numFmt numFmtId="171" formatCode="#,##0.000_);\(#,##0.000\)"/>
    <numFmt numFmtId="172" formatCode="#,##0.0_);\(#,##0.0\)"/>
    <numFmt numFmtId="173" formatCode="0;[Red]\-0"/>
    <numFmt numFmtId="174" formatCode="0.0000_);\(0.0000\)"/>
    <numFmt numFmtId="175" formatCode="0.00000"/>
    <numFmt numFmtId="176" formatCode="0.000000"/>
    <numFmt numFmtId="177" formatCode="&quot;$&quot;#,##0"/>
    <numFmt numFmtId="178" formatCode="_(* #,##0.0000_);_(* \(#,##0.0000\);_(* &quot;-&quot;????_);_(@_)"/>
    <numFmt numFmtId="179" formatCode="0.0%"/>
    <numFmt numFmtId="180" formatCode="0.000"/>
    <numFmt numFmtId="181" formatCode="_(* #,##0_);_(* \(#,##0\);_(* &quot;-&quot;??_);_(@_)"/>
    <numFmt numFmtId="182" formatCode="_(* #,##0.0_);_(* \(#,##0.0\);_(* &quot;-&quot;??_);_(@_)"/>
    <numFmt numFmtId="183" formatCode="#,##0;[Red]\-#,##0"/>
    <numFmt numFmtId="184" formatCode="_(&quot;$&quot;* #,##0_);_(&quot;$&quot;* \(#,##0\);_(&quot;$&quot;* &quot;-&quot;??_);_(@_)"/>
    <numFmt numFmtId="185" formatCode="_(&quot;$&quot;* #,##0.0_);_(&quot;$&quot;* \(#,##0.0\);_(&quot;$&quot;* &quot;-&quot;??_);_(@_)"/>
    <numFmt numFmtId="186" formatCode="0.0000000"/>
    <numFmt numFmtId="187" formatCode="_(* #,##0.000_);_(* \(#,##0.000\);_(* &quot;-&quot;??_);_(@_)"/>
    <numFmt numFmtId="188" formatCode="_(&quot;$&quot;* #,##0.0_);_(&quot;$&quot;* \(#,##0.0\);_(&quot;$&quot;* &quot;-&quot;_);_(@_)"/>
    <numFmt numFmtId="189" formatCode="_(&quot;$&quot;* #,##0.00_);_(&quot;$&quot;* \(#,##0.00\);_(&quot;$&quot;* &quot;-&quot;_);_(@_)"/>
    <numFmt numFmtId="190" formatCode="[$-409]dddd\,\ mmmm\ dd\,\ yyyy"/>
    <numFmt numFmtId="191" formatCode="#,##0.0;[Red]\-#,##0.0"/>
    <numFmt numFmtId="192" formatCode="_(* #,##0.0000_);_(* \(#,##0.0000\);_(* &quot;-&quot;??_);_(@_)"/>
    <numFmt numFmtId="193" formatCode="_(* #,##0.000_);_(* \(#,##0.000\);_(* &quot;-&quot;???_);_(@_)"/>
  </numFmts>
  <fonts count="28">
    <font>
      <sz val="12"/>
      <name val="Arial"/>
      <family val="0"/>
    </font>
    <font>
      <b/>
      <sz val="10"/>
      <name val="Arial"/>
      <family val="0"/>
    </font>
    <font>
      <i/>
      <sz val="10"/>
      <name val="Arial"/>
      <family val="0"/>
    </font>
    <font>
      <b/>
      <i/>
      <sz val="10"/>
      <name val="Arial"/>
      <family val="0"/>
    </font>
    <font>
      <sz val="10"/>
      <name val="Arial"/>
      <family val="0"/>
    </font>
    <font>
      <sz val="10"/>
      <color indexed="8"/>
      <name val="Arial"/>
      <family val="0"/>
    </font>
    <font>
      <sz val="10"/>
      <color indexed="12"/>
      <name val="Arial"/>
      <family val="0"/>
    </font>
    <font>
      <sz val="12"/>
      <color indexed="8"/>
      <name val="Arial"/>
      <family val="0"/>
    </font>
    <font>
      <sz val="10"/>
      <color indexed="10"/>
      <name val="Arial"/>
      <family val="0"/>
    </font>
    <font>
      <u val="single"/>
      <sz val="10"/>
      <name val="Arial"/>
      <family val="2"/>
    </font>
    <font>
      <sz val="9"/>
      <name val="Arial"/>
      <family val="2"/>
    </font>
    <font>
      <sz val="8"/>
      <name val="Arial"/>
      <family val="0"/>
    </font>
    <font>
      <sz val="11"/>
      <name val="Arial"/>
      <family val="0"/>
    </font>
    <font>
      <u val="single"/>
      <sz val="10.2"/>
      <color indexed="12"/>
      <name val="Arial"/>
      <family val="0"/>
    </font>
    <font>
      <u val="single"/>
      <sz val="10.2"/>
      <color indexed="36"/>
      <name val="Arial"/>
      <family val="0"/>
    </font>
    <font>
      <b/>
      <sz val="9"/>
      <name val="Arial"/>
      <family val="2"/>
    </font>
    <font>
      <b/>
      <sz val="10"/>
      <color indexed="10"/>
      <name val="Arial"/>
      <family val="0"/>
    </font>
    <font>
      <u val="single"/>
      <sz val="12"/>
      <name val="Arial"/>
      <family val="2"/>
    </font>
    <font>
      <sz val="10"/>
      <color indexed="17"/>
      <name val="Arial"/>
      <family val="0"/>
    </font>
    <font>
      <sz val="12"/>
      <color indexed="10"/>
      <name val="Arial"/>
      <family val="0"/>
    </font>
    <font>
      <b/>
      <sz val="12"/>
      <color indexed="10"/>
      <name val="Arial"/>
      <family val="0"/>
    </font>
    <font>
      <sz val="9"/>
      <color indexed="10"/>
      <name val="Arial"/>
      <family val="2"/>
    </font>
    <font>
      <sz val="12"/>
      <name val="Times New Roman"/>
      <family val="1"/>
    </font>
    <font>
      <sz val="9"/>
      <name val="Tahoma"/>
      <family val="0"/>
    </font>
    <font>
      <b/>
      <sz val="9"/>
      <name val="Tahoma"/>
      <family val="0"/>
    </font>
    <font>
      <sz val="8"/>
      <color indexed="10"/>
      <name val="Arial"/>
      <family val="2"/>
    </font>
    <font>
      <b/>
      <sz val="12"/>
      <name val="Arial"/>
      <family val="2"/>
    </font>
    <font>
      <b/>
      <sz val="8"/>
      <name val="Arial"/>
      <family val="2"/>
    </font>
  </fonts>
  <fills count="2">
    <fill>
      <patternFill/>
    </fill>
    <fill>
      <patternFill patternType="gray125"/>
    </fill>
  </fills>
  <borders count="6">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n">
        <color indexed="8"/>
      </bottom>
    </border>
  </borders>
  <cellStyleXfs count="28">
    <xf numFmtId="164" fontId="0" fillId="0" borderId="0">
      <alignment/>
      <protection/>
    </xf>
    <xf numFmtId="164" fontId="1" fillId="0" borderId="0" applyNumberFormat="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43" fontId="12" fillId="0" borderId="0" applyFont="0" applyFill="0" applyBorder="0" applyAlignment="0" applyProtection="0"/>
    <xf numFmtId="44" fontId="4"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0" fillId="0" borderId="0">
      <alignment/>
      <protection/>
    </xf>
    <xf numFmtId="9" fontId="4" fillId="0" borderId="0" applyFont="0" applyFill="0" applyBorder="0" applyAlignment="0" applyProtection="0"/>
  </cellStyleXfs>
  <cellXfs count="514">
    <xf numFmtId="0" fontId="4" fillId="0" borderId="0" xfId="0" applyNumberFormat="1" applyFont="1" applyAlignment="1">
      <alignment/>
    </xf>
    <xf numFmtId="0" fontId="4" fillId="0" borderId="0" xfId="0" applyNumberFormat="1" applyFont="1" applyAlignment="1">
      <alignment horizontal="centerContinuous"/>
    </xf>
    <xf numFmtId="0" fontId="4" fillId="0" borderId="0" xfId="0" applyNumberFormat="1" applyFont="1" applyAlignment="1">
      <alignment/>
    </xf>
    <xf numFmtId="0" fontId="4" fillId="0" borderId="1" xfId="0" applyNumberFormat="1" applyFont="1" applyAlignment="1">
      <alignment horizontal="centerContinuous"/>
    </xf>
    <xf numFmtId="164" fontId="4" fillId="0" borderId="0" xfId="0" applyFont="1" applyAlignment="1">
      <alignment/>
    </xf>
    <xf numFmtId="3" fontId="4" fillId="0" borderId="1" xfId="0" applyNumberFormat="1" applyFont="1" applyAlignment="1">
      <alignment/>
    </xf>
    <xf numFmtId="165" fontId="4" fillId="0" borderId="1" xfId="0" applyNumberFormat="1" applyFont="1" applyAlignment="1">
      <alignment/>
    </xf>
    <xf numFmtId="3" fontId="4" fillId="0" borderId="2" xfId="0" applyNumberFormat="1" applyFont="1" applyAlignment="1">
      <alignment/>
    </xf>
    <xf numFmtId="165" fontId="4" fillId="0" borderId="2" xfId="0" applyNumberFormat="1" applyFont="1" applyAlignment="1">
      <alignment/>
    </xf>
    <xf numFmtId="3" fontId="4" fillId="0" borderId="0" xfId="0" applyNumberFormat="1" applyFont="1" applyAlignment="1">
      <alignment/>
    </xf>
    <xf numFmtId="0" fontId="4" fillId="0" borderId="1" xfId="0" applyNumberFormat="1" applyFont="1" applyAlignment="1">
      <alignment horizontal="center"/>
    </xf>
    <xf numFmtId="0" fontId="4" fillId="0" borderId="0" xfId="0" applyNumberFormat="1" applyFont="1" applyAlignment="1">
      <alignment horizontal="center"/>
    </xf>
    <xf numFmtId="0" fontId="4" fillId="0" borderId="1" xfId="0" applyNumberFormat="1" applyFont="1" applyAlignment="1">
      <alignment/>
    </xf>
    <xf numFmtId="165" fontId="4" fillId="0" borderId="0" xfId="0" applyNumberFormat="1" applyFont="1" applyAlignment="1">
      <alignment/>
    </xf>
    <xf numFmtId="0" fontId="0" fillId="0" borderId="2" xfId="0" applyNumberFormat="1" applyAlignment="1">
      <alignment/>
    </xf>
    <xf numFmtId="0" fontId="0" fillId="0" borderId="0" xfId="0" applyNumberFormat="1" applyAlignment="1">
      <alignment/>
    </xf>
    <xf numFmtId="0" fontId="0" fillId="0" borderId="0" xfId="22" applyNumberFormat="1" applyFont="1" applyAlignment="1">
      <alignment horizontal="centerContinuous"/>
      <protection/>
    </xf>
    <xf numFmtId="0" fontId="4" fillId="0" borderId="0" xfId="22" applyNumberFormat="1" applyFont="1" applyAlignment="1">
      <alignment horizontal="centerContinuous"/>
      <protection/>
    </xf>
    <xf numFmtId="0" fontId="0" fillId="0" borderId="0" xfId="22" applyAlignment="1">
      <alignment/>
      <protection/>
    </xf>
    <xf numFmtId="0" fontId="4" fillId="0" borderId="0" xfId="22" applyNumberFormat="1" applyFont="1" applyAlignment="1">
      <alignment/>
      <protection/>
    </xf>
    <xf numFmtId="0" fontId="4" fillId="0" borderId="0" xfId="22" applyNumberFormat="1" applyFont="1" applyAlignment="1">
      <alignment horizontal="center"/>
      <protection/>
    </xf>
    <xf numFmtId="0" fontId="4" fillId="0" borderId="1" xfId="22" applyNumberFormat="1" applyFont="1" applyAlignment="1">
      <alignment horizontal="center"/>
      <protection/>
    </xf>
    <xf numFmtId="0" fontId="0" fillId="0" borderId="1" xfId="22" applyNumberFormat="1" applyFont="1" applyAlignment="1">
      <alignment horizontal="center"/>
      <protection/>
    </xf>
    <xf numFmtId="0" fontId="0" fillId="0" borderId="0" xfId="22" applyNumberFormat="1" applyFont="1" applyAlignment="1">
      <alignment horizontal="center"/>
      <protection/>
    </xf>
    <xf numFmtId="0" fontId="4" fillId="0" borderId="1" xfId="22" applyNumberFormat="1" applyFont="1" applyAlignment="1">
      <alignment horizontal="centerContinuous"/>
      <protection/>
    </xf>
    <xf numFmtId="2" fontId="4" fillId="0" borderId="0" xfId="22" applyNumberFormat="1" applyFont="1" applyAlignment="1">
      <alignment/>
      <protection/>
    </xf>
    <xf numFmtId="164" fontId="5" fillId="0" borderId="0" xfId="22" applyNumberFormat="1" applyFont="1" applyAlignment="1">
      <alignment/>
      <protection/>
    </xf>
    <xf numFmtId="164" fontId="4" fillId="0" borderId="0" xfId="22" applyNumberFormat="1" applyFont="1" applyAlignment="1">
      <alignment/>
      <protection/>
    </xf>
    <xf numFmtId="167" fontId="4" fillId="0" borderId="0" xfId="22" applyNumberFormat="1" applyFont="1" applyAlignment="1">
      <alignment/>
      <protection/>
    </xf>
    <xf numFmtId="164" fontId="4" fillId="0" borderId="1" xfId="22" applyNumberFormat="1" applyFont="1" applyAlignment="1">
      <alignment/>
      <protection/>
    </xf>
    <xf numFmtId="3" fontId="4" fillId="0" borderId="2" xfId="22" applyNumberFormat="1" applyFont="1" applyAlignment="1">
      <alignment/>
      <protection/>
    </xf>
    <xf numFmtId="164" fontId="4" fillId="0" borderId="2" xfId="22" applyNumberFormat="1" applyFont="1" applyAlignment="1">
      <alignment/>
      <protection/>
    </xf>
    <xf numFmtId="3" fontId="4" fillId="0" borderId="0" xfId="22" applyNumberFormat="1" applyFont="1" applyAlignment="1">
      <alignment/>
      <protection/>
    </xf>
    <xf numFmtId="0" fontId="4" fillId="0" borderId="1" xfId="22" applyNumberFormat="1" applyFont="1" applyAlignment="1">
      <alignment/>
      <protection/>
    </xf>
    <xf numFmtId="2" fontId="4" fillId="0" borderId="1" xfId="22" applyNumberFormat="1" applyFont="1" applyAlignment="1">
      <alignment/>
      <protection/>
    </xf>
    <xf numFmtId="0" fontId="4" fillId="0" borderId="2" xfId="22" applyNumberFormat="1" applyFont="1" applyAlignment="1">
      <alignment/>
      <protection/>
    </xf>
    <xf numFmtId="0" fontId="0" fillId="0" borderId="0" xfId="0" applyNumberFormat="1" applyFont="1" applyAlignment="1">
      <alignment horizontal="centerContinuous"/>
    </xf>
    <xf numFmtId="0" fontId="0" fillId="0" borderId="0" xfId="0" applyNumberFormat="1" applyFont="1" applyAlignment="1">
      <alignment/>
    </xf>
    <xf numFmtId="168" fontId="4" fillId="0" borderId="0" xfId="0" applyNumberFormat="1" applyFont="1" applyAlignment="1">
      <alignment/>
    </xf>
    <xf numFmtId="168" fontId="4" fillId="0" borderId="1" xfId="0" applyNumberFormat="1" applyFont="1" applyAlignment="1">
      <alignment/>
    </xf>
    <xf numFmtId="168" fontId="4" fillId="0" borderId="2" xfId="0" applyNumberFormat="1" applyFont="1" applyAlignment="1">
      <alignment/>
    </xf>
    <xf numFmtId="0" fontId="4" fillId="0" borderId="0" xfId="0" applyNumberFormat="1" applyFont="1" applyAlignment="1">
      <alignment horizontal="right"/>
    </xf>
    <xf numFmtId="164" fontId="4" fillId="0" borderId="1" xfId="0" applyFont="1" applyAlignment="1">
      <alignment/>
    </xf>
    <xf numFmtId="164" fontId="4" fillId="0" borderId="2" xfId="0" applyFont="1" applyAlignment="1">
      <alignment/>
    </xf>
    <xf numFmtId="0" fontId="0" fillId="0" borderId="0" xfId="23" applyNumberFormat="1" applyFont="1" applyAlignment="1">
      <alignment horizontal="centerContinuous"/>
      <protection/>
    </xf>
    <xf numFmtId="0" fontId="4" fillId="0" borderId="0" xfId="23" applyNumberFormat="1" applyFont="1" applyAlignment="1">
      <alignment horizontal="centerContinuous"/>
      <protection/>
    </xf>
    <xf numFmtId="0" fontId="4" fillId="0" borderId="0" xfId="23" applyFont="1" applyAlignment="1">
      <alignment/>
      <protection/>
    </xf>
    <xf numFmtId="0" fontId="4" fillId="0" borderId="0" xfId="23" applyNumberFormat="1" applyFont="1" applyAlignment="1">
      <alignment/>
      <protection/>
    </xf>
    <xf numFmtId="0" fontId="4" fillId="0" borderId="0" xfId="23" applyNumberFormat="1" applyFont="1" applyAlignment="1">
      <alignment horizontal="center"/>
      <protection/>
    </xf>
    <xf numFmtId="0" fontId="4" fillId="0" borderId="1" xfId="23" applyNumberFormat="1" applyFont="1" applyAlignment="1">
      <alignment/>
      <protection/>
    </xf>
    <xf numFmtId="2" fontId="4" fillId="0" borderId="0" xfId="23" applyNumberFormat="1" applyFont="1" applyAlignment="1">
      <alignment/>
      <protection/>
    </xf>
    <xf numFmtId="3" fontId="4" fillId="0" borderId="0" xfId="23" applyNumberFormat="1" applyFont="1" applyAlignment="1">
      <alignment/>
      <protection/>
    </xf>
    <xf numFmtId="164" fontId="4" fillId="0" borderId="0" xfId="23" applyNumberFormat="1" applyFont="1" applyAlignment="1">
      <alignment/>
      <protection/>
    </xf>
    <xf numFmtId="2" fontId="4" fillId="0" borderId="1" xfId="23" applyNumberFormat="1" applyFont="1" applyAlignment="1">
      <alignment/>
      <protection/>
    </xf>
    <xf numFmtId="3" fontId="4" fillId="0" borderId="1" xfId="23" applyNumberFormat="1" applyFont="1" applyAlignment="1">
      <alignment/>
      <protection/>
    </xf>
    <xf numFmtId="164" fontId="4" fillId="0" borderId="1" xfId="23" applyNumberFormat="1" applyFont="1" applyAlignment="1">
      <alignment/>
      <protection/>
    </xf>
    <xf numFmtId="0" fontId="4" fillId="0" borderId="2" xfId="23" applyNumberFormat="1" applyFont="1" applyAlignment="1">
      <alignment/>
      <protection/>
    </xf>
    <xf numFmtId="165" fontId="4" fillId="0" borderId="0" xfId="23" applyNumberFormat="1" applyFont="1" applyAlignment="1">
      <alignment/>
      <protection/>
    </xf>
    <xf numFmtId="164" fontId="4" fillId="0" borderId="2" xfId="23" applyNumberFormat="1" applyFont="1" applyAlignment="1">
      <alignment/>
      <protection/>
    </xf>
    <xf numFmtId="0" fontId="4" fillId="0" borderId="1" xfId="23" applyNumberFormat="1" applyFont="1" applyAlignment="1">
      <alignment horizontal="center"/>
      <protection/>
    </xf>
    <xf numFmtId="0" fontId="4" fillId="0" borderId="1" xfId="23" applyNumberFormat="1" applyFont="1" applyAlignment="1">
      <alignment horizontal="centerContinuous"/>
      <protection/>
    </xf>
    <xf numFmtId="165" fontId="4" fillId="0" borderId="1" xfId="23" applyNumberFormat="1" applyFont="1" applyAlignment="1">
      <alignment/>
      <protection/>
    </xf>
    <xf numFmtId="165" fontId="4" fillId="0" borderId="2" xfId="23" applyNumberFormat="1" applyFont="1" applyAlignment="1">
      <alignment/>
      <protection/>
    </xf>
    <xf numFmtId="0" fontId="0" fillId="0" borderId="0" xfId="19" applyNumberFormat="1" applyFont="1" applyAlignment="1">
      <alignment horizontal="centerContinuous"/>
      <protection/>
    </xf>
    <xf numFmtId="0" fontId="4" fillId="0" borderId="0" xfId="19" applyNumberFormat="1" applyFont="1" applyAlignment="1">
      <alignment horizontal="centerContinuous"/>
      <protection/>
    </xf>
    <xf numFmtId="0" fontId="4" fillId="0" borderId="0" xfId="19" applyNumberFormat="1" applyFont="1" applyAlignment="1">
      <alignment/>
      <protection/>
    </xf>
    <xf numFmtId="0" fontId="0" fillId="0" borderId="0" xfId="19" applyAlignment="1">
      <alignment/>
      <protection/>
    </xf>
    <xf numFmtId="0" fontId="4" fillId="0" borderId="1" xfId="19" applyNumberFormat="1" applyFont="1" applyAlignment="1">
      <alignment horizontal="center"/>
      <protection/>
    </xf>
    <xf numFmtId="0" fontId="4" fillId="0" borderId="0" xfId="19" applyNumberFormat="1" applyFont="1" applyAlignment="1">
      <alignment horizontal="center"/>
      <protection/>
    </xf>
    <xf numFmtId="0" fontId="4" fillId="0" borderId="1" xfId="19" applyNumberFormat="1" applyFont="1" applyAlignment="1">
      <alignment horizontal="centerContinuous"/>
      <protection/>
    </xf>
    <xf numFmtId="0" fontId="4" fillId="0" borderId="1" xfId="19" applyNumberFormat="1" applyFont="1" applyAlignment="1">
      <alignment/>
      <protection/>
    </xf>
    <xf numFmtId="164" fontId="4" fillId="0" borderId="0" xfId="19" applyNumberFormat="1" applyFont="1" applyAlignment="1">
      <alignment/>
      <protection/>
    </xf>
    <xf numFmtId="164" fontId="5" fillId="0" borderId="0" xfId="19" applyNumberFormat="1" applyFont="1" applyAlignment="1">
      <alignment/>
      <protection/>
    </xf>
    <xf numFmtId="164" fontId="5" fillId="0" borderId="0" xfId="19" applyNumberFormat="1" applyFont="1" applyAlignment="1">
      <alignment/>
      <protection locked="0"/>
    </xf>
    <xf numFmtId="164" fontId="4" fillId="0" borderId="1" xfId="19" applyNumberFormat="1" applyFont="1" applyAlignment="1">
      <alignment/>
      <protection/>
    </xf>
    <xf numFmtId="164" fontId="4" fillId="0" borderId="2" xfId="19" applyNumberFormat="1" applyFont="1" applyAlignment="1">
      <alignment/>
      <protection/>
    </xf>
    <xf numFmtId="0" fontId="0" fillId="0" borderId="0" xfId="19" applyNumberFormat="1" applyFont="1" applyAlignment="1">
      <alignment/>
      <protection/>
    </xf>
    <xf numFmtId="0" fontId="4" fillId="0" borderId="0" xfId="24" applyNumberFormat="1" applyFont="1" applyAlignment="1">
      <alignment horizontal="centerContinuous"/>
      <protection/>
    </xf>
    <xf numFmtId="0" fontId="4" fillId="0" borderId="0" xfId="24" applyNumberFormat="1" applyFont="1" applyAlignment="1">
      <alignment/>
      <protection/>
    </xf>
    <xf numFmtId="0" fontId="4" fillId="0" borderId="0" xfId="24" applyNumberFormat="1" applyFont="1" applyAlignment="1">
      <alignment horizontal="center"/>
      <protection/>
    </xf>
    <xf numFmtId="164" fontId="4" fillId="0" borderId="0" xfId="24" applyNumberFormat="1" applyFont="1" applyAlignment="1">
      <alignment/>
      <protection/>
    </xf>
    <xf numFmtId="164" fontId="4" fillId="0" borderId="0" xfId="24" applyNumberFormat="1" applyFont="1" applyAlignment="1">
      <alignment horizontal="center"/>
      <protection/>
    </xf>
    <xf numFmtId="0" fontId="4" fillId="0" borderId="1" xfId="24" applyNumberFormat="1" applyFont="1" applyAlignment="1">
      <alignment/>
      <protection/>
    </xf>
    <xf numFmtId="2" fontId="4" fillId="0" borderId="0" xfId="24" applyNumberFormat="1" applyFont="1" applyAlignment="1">
      <alignment/>
      <protection/>
    </xf>
    <xf numFmtId="2" fontId="4" fillId="0" borderId="1" xfId="24" applyNumberFormat="1" applyFont="1" applyAlignment="1">
      <alignment/>
      <protection/>
    </xf>
    <xf numFmtId="0" fontId="4" fillId="0" borderId="2" xfId="24" applyNumberFormat="1" applyFont="1" applyAlignment="1">
      <alignment/>
      <protection/>
    </xf>
    <xf numFmtId="0" fontId="0" fillId="0" borderId="0" xfId="20" applyNumberFormat="1" applyFont="1" applyAlignment="1">
      <alignment horizontal="centerContinuous"/>
      <protection/>
    </xf>
    <xf numFmtId="0" fontId="4" fillId="0" borderId="0" xfId="20" applyNumberFormat="1" applyFont="1" applyAlignment="1">
      <alignment horizontal="centerContinuous"/>
      <protection/>
    </xf>
    <xf numFmtId="0" fontId="4" fillId="0" borderId="0" xfId="20" applyNumberFormat="1" applyFont="1" applyAlignment="1">
      <alignment/>
      <protection/>
    </xf>
    <xf numFmtId="0" fontId="4" fillId="0" borderId="1" xfId="20" applyNumberFormat="1" applyFont="1" applyAlignment="1">
      <alignment horizontal="center"/>
      <protection/>
    </xf>
    <xf numFmtId="0" fontId="4" fillId="0" borderId="0" xfId="20" applyNumberFormat="1" applyFont="1" applyAlignment="1">
      <alignment horizontal="center"/>
      <protection/>
    </xf>
    <xf numFmtId="0" fontId="4" fillId="0" borderId="1" xfId="20" applyNumberFormat="1" applyFont="1" applyAlignment="1">
      <alignment horizontal="centerContinuous"/>
      <protection/>
    </xf>
    <xf numFmtId="0" fontId="4" fillId="0" borderId="1" xfId="20" applyNumberFormat="1" applyFont="1" applyAlignment="1">
      <alignment horizontal="left"/>
      <protection/>
    </xf>
    <xf numFmtId="168" fontId="4" fillId="0" borderId="0" xfId="20" applyNumberFormat="1" applyFont="1" applyAlignment="1">
      <alignment/>
      <protection/>
    </xf>
    <xf numFmtId="0" fontId="4" fillId="0" borderId="0" xfId="20" applyNumberFormat="1" applyFont="1" applyAlignment="1">
      <alignment horizontal="right"/>
      <protection/>
    </xf>
    <xf numFmtId="168" fontId="4" fillId="0" borderId="1" xfId="20" applyNumberFormat="1" applyFont="1" applyAlignment="1">
      <alignment/>
      <protection/>
    </xf>
    <xf numFmtId="0" fontId="4" fillId="0" borderId="2" xfId="20" applyNumberFormat="1" applyFont="1" applyAlignment="1">
      <alignment/>
      <protection/>
    </xf>
    <xf numFmtId="0" fontId="4" fillId="0" borderId="1" xfId="20" applyNumberFormat="1" applyFont="1" applyAlignment="1">
      <alignment/>
      <protection/>
    </xf>
    <xf numFmtId="0" fontId="0" fillId="0" borderId="1" xfId="20" applyNumberFormat="1" applyFont="1" applyAlignment="1">
      <alignment horizontal="centerContinuous"/>
      <protection/>
    </xf>
    <xf numFmtId="0" fontId="0" fillId="0" borderId="0" xfId="21" applyNumberFormat="1" applyFont="1" applyAlignment="1">
      <alignment horizontal="centerContinuous"/>
      <protection/>
    </xf>
    <xf numFmtId="0" fontId="4" fillId="0" borderId="0" xfId="21" applyNumberFormat="1" applyFont="1" applyAlignment="1">
      <alignment horizontal="centerContinuous"/>
      <protection/>
    </xf>
    <xf numFmtId="0" fontId="0" fillId="0" borderId="0" xfId="21" applyAlignment="1">
      <alignment/>
      <protection/>
    </xf>
    <xf numFmtId="0" fontId="4" fillId="0" borderId="0" xfId="21" applyNumberFormat="1" applyFont="1" applyAlignment="1">
      <alignment/>
      <protection/>
    </xf>
    <xf numFmtId="0" fontId="4" fillId="0" borderId="0" xfId="21" applyNumberFormat="1" applyFont="1" applyAlignment="1">
      <alignment horizontal="center"/>
      <protection/>
    </xf>
    <xf numFmtId="0" fontId="4" fillId="0" borderId="1" xfId="21" applyNumberFormat="1" applyFont="1" applyAlignment="1">
      <alignment horizontal="centerContinuous"/>
      <protection/>
    </xf>
    <xf numFmtId="0" fontId="0" fillId="0" borderId="1" xfId="21" applyNumberFormat="1" applyFont="1" applyAlignment="1">
      <alignment horizontal="centerContinuous"/>
      <protection/>
    </xf>
    <xf numFmtId="0" fontId="4" fillId="0" borderId="1" xfId="21" applyNumberFormat="1" applyFont="1" applyAlignment="1">
      <alignment horizontal="center"/>
      <protection/>
    </xf>
    <xf numFmtId="3" fontId="4" fillId="0" borderId="0" xfId="21" applyNumberFormat="1" applyFont="1" applyAlignment="1">
      <alignment/>
      <protection/>
    </xf>
    <xf numFmtId="164" fontId="4" fillId="0" borderId="0" xfId="21" applyNumberFormat="1" applyFont="1" applyAlignment="1">
      <alignment/>
      <protection/>
    </xf>
    <xf numFmtId="3" fontId="4" fillId="0" borderId="1" xfId="21" applyNumberFormat="1" applyFont="1" applyAlignment="1">
      <alignment/>
      <protection/>
    </xf>
    <xf numFmtId="164" fontId="4" fillId="0" borderId="1" xfId="21" applyNumberFormat="1" applyFont="1" applyAlignment="1">
      <alignment/>
      <protection/>
    </xf>
    <xf numFmtId="0" fontId="4" fillId="0" borderId="2" xfId="21" applyNumberFormat="1" applyFont="1" applyAlignment="1">
      <alignment/>
      <protection/>
    </xf>
    <xf numFmtId="164" fontId="5" fillId="0" borderId="0" xfId="21" applyNumberFormat="1" applyFont="1" applyAlignment="1">
      <alignment/>
      <protection/>
    </xf>
    <xf numFmtId="165" fontId="4" fillId="0" borderId="1" xfId="21" applyNumberFormat="1" applyFont="1" applyAlignment="1">
      <alignment/>
      <protection/>
    </xf>
    <xf numFmtId="3" fontId="4" fillId="0" borderId="2" xfId="21" applyNumberFormat="1" applyFont="1" applyAlignment="1">
      <alignment/>
      <protection/>
    </xf>
    <xf numFmtId="165" fontId="4" fillId="0" borderId="0" xfId="21" applyNumberFormat="1" applyFont="1" applyAlignment="1">
      <alignment/>
      <protection/>
    </xf>
    <xf numFmtId="165" fontId="4" fillId="0" borderId="2" xfId="21" applyNumberFormat="1" applyFont="1" applyAlignment="1">
      <alignment/>
      <protection/>
    </xf>
    <xf numFmtId="0" fontId="0" fillId="0" borderId="0" xfId="21">
      <alignment/>
      <protection/>
    </xf>
    <xf numFmtId="3" fontId="4" fillId="0" borderId="0" xfId="21" applyNumberFormat="1" applyFont="1" applyAlignment="1">
      <alignment horizontal="center"/>
      <protection/>
    </xf>
    <xf numFmtId="4" fontId="4" fillId="0" borderId="0" xfId="21" applyNumberFormat="1" applyFont="1" applyAlignment="1">
      <alignment/>
      <protection/>
    </xf>
    <xf numFmtId="10" fontId="4" fillId="0" borderId="0" xfId="21" applyNumberFormat="1" applyFont="1" applyAlignment="1">
      <alignment/>
      <protection/>
    </xf>
    <xf numFmtId="10" fontId="4" fillId="0" borderId="0" xfId="21" applyNumberFormat="1" applyFont="1" applyAlignment="1">
      <alignment/>
      <protection locked="0"/>
    </xf>
    <xf numFmtId="0" fontId="0" fillId="0" borderId="0" xfId="21" applyNumberFormat="1" applyFont="1" applyAlignment="1">
      <alignment/>
      <protection/>
    </xf>
    <xf numFmtId="3" fontId="4" fillId="0" borderId="1" xfId="21" applyNumberFormat="1" applyFont="1" applyAlignment="1">
      <alignment horizontal="center"/>
      <protection/>
    </xf>
    <xf numFmtId="0" fontId="0" fillId="0" borderId="0" xfId="21" applyNumberFormat="1">
      <alignment/>
      <protection locked="0"/>
    </xf>
    <xf numFmtId="0" fontId="4" fillId="0" borderId="1" xfId="21" applyNumberFormat="1" applyFont="1" applyAlignment="1">
      <alignment/>
      <protection/>
    </xf>
    <xf numFmtId="0" fontId="0" fillId="0" borderId="0" xfId="0" applyNumberFormat="1" applyFont="1" applyAlignment="1">
      <alignment horizontal="centerContinuous" vertical="top" wrapText="1"/>
    </xf>
    <xf numFmtId="3" fontId="4" fillId="0" borderId="0" xfId="0" applyNumberFormat="1" applyFont="1" applyAlignment="1">
      <alignment horizontal="center"/>
    </xf>
    <xf numFmtId="3" fontId="5" fillId="0" borderId="0" xfId="0" applyNumberFormat="1" applyFont="1" applyAlignment="1">
      <alignment/>
    </xf>
    <xf numFmtId="0" fontId="7" fillId="0" borderId="0" xfId="0" applyNumberFormat="1" applyFont="1" applyAlignment="1">
      <alignment/>
    </xf>
    <xf numFmtId="0" fontId="5" fillId="0" borderId="0" xfId="0" applyNumberFormat="1" applyFont="1" applyAlignment="1">
      <alignment/>
    </xf>
    <xf numFmtId="0" fontId="4" fillId="0" borderId="0" xfId="0" applyNumberFormat="1" applyFont="1" applyAlignment="1">
      <alignment horizontal="left"/>
    </xf>
    <xf numFmtId="0" fontId="0" fillId="0" borderId="1" xfId="0" applyNumberFormat="1" applyFont="1" applyAlignment="1">
      <alignment horizontal="centerContinuous"/>
    </xf>
    <xf numFmtId="164" fontId="4" fillId="0" borderId="0" xfId="0" applyNumberFormat="1" applyFont="1" applyAlignment="1">
      <alignment/>
    </xf>
    <xf numFmtId="0" fontId="8" fillId="0" borderId="0" xfId="0" applyNumberFormat="1" applyFont="1" applyAlignment="1">
      <alignment/>
    </xf>
    <xf numFmtId="0" fontId="4" fillId="0" borderId="0" xfId="0" applyNumberFormat="1" applyFont="1" applyAlignment="1">
      <alignment/>
    </xf>
    <xf numFmtId="3" fontId="4" fillId="0" borderId="1" xfId="0" applyNumberFormat="1" applyFont="1" applyAlignment="1" quotePrefix="1">
      <alignment horizontal="center"/>
    </xf>
    <xf numFmtId="0" fontId="4" fillId="0" borderId="0" xfId="0" applyNumberFormat="1" applyFont="1" applyAlignment="1">
      <alignment horizontal="center"/>
    </xf>
    <xf numFmtId="164" fontId="10" fillId="0" borderId="0" xfId="0" applyFont="1" applyAlignment="1">
      <alignment/>
    </xf>
    <xf numFmtId="164" fontId="4" fillId="0" borderId="0" xfId="0" applyFont="1" applyAlignment="1">
      <alignment/>
    </xf>
    <xf numFmtId="0" fontId="10" fillId="0" borderId="0" xfId="0" applyNumberFormat="1" applyFont="1" applyAlignment="1">
      <alignment/>
    </xf>
    <xf numFmtId="0" fontId="0" fillId="0" borderId="0" xfId="0" applyNumberFormat="1" applyFont="1" applyAlignment="1">
      <alignment/>
    </xf>
    <xf numFmtId="164" fontId="4" fillId="0" borderId="0" xfId="0" applyFont="1" applyAlignment="1">
      <alignment horizontal="center"/>
    </xf>
    <xf numFmtId="164" fontId="10" fillId="0" borderId="0" xfId="0" applyFont="1" applyAlignment="1">
      <alignment horizontal="center"/>
    </xf>
    <xf numFmtId="0" fontId="4" fillId="0" borderId="0" xfId="0" applyNumberFormat="1" applyFont="1" applyAlignment="1">
      <alignment horizontal="center"/>
    </xf>
    <xf numFmtId="164" fontId="4" fillId="0" borderId="3" xfId="0" applyFont="1" applyBorder="1" applyAlignment="1">
      <alignment horizontal="center"/>
    </xf>
    <xf numFmtId="37" fontId="4" fillId="0" borderId="0" xfId="0" applyNumberFormat="1" applyFont="1" applyAlignment="1">
      <alignment/>
    </xf>
    <xf numFmtId="37" fontId="4" fillId="0" borderId="3" xfId="0" applyNumberFormat="1" applyFont="1" applyBorder="1" applyAlignment="1">
      <alignment/>
    </xf>
    <xf numFmtId="169" fontId="4" fillId="0" borderId="0" xfId="0" applyNumberFormat="1" applyFont="1" applyBorder="1" applyAlignment="1">
      <alignment horizontal="center"/>
    </xf>
    <xf numFmtId="169" fontId="10"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3" xfId="0" applyNumberFormat="1" applyFont="1" applyBorder="1" applyAlignment="1">
      <alignment horizontal="center"/>
    </xf>
    <xf numFmtId="37" fontId="4" fillId="0" borderId="0" xfId="0" applyNumberFormat="1" applyFont="1" applyAlignment="1">
      <alignment/>
    </xf>
    <xf numFmtId="37" fontId="4" fillId="0" borderId="0" xfId="0" applyNumberFormat="1" applyFont="1" applyAlignment="1">
      <alignment horizontal="center"/>
    </xf>
    <xf numFmtId="37" fontId="4" fillId="0" borderId="0" xfId="0" applyNumberFormat="1" applyFont="1" applyAlignment="1">
      <alignment horizontal="center"/>
    </xf>
    <xf numFmtId="37" fontId="4" fillId="0" borderId="3" xfId="0" applyNumberFormat="1" applyFont="1" applyBorder="1" applyAlignment="1">
      <alignment horizontal="center"/>
    </xf>
    <xf numFmtId="37" fontId="4" fillId="0" borderId="3" xfId="0" applyNumberFormat="1" applyFont="1" applyBorder="1" applyAlignment="1">
      <alignment horizontal="center"/>
    </xf>
    <xf numFmtId="37" fontId="4" fillId="0" borderId="0" xfId="0" applyNumberFormat="1" applyFont="1" applyAlignment="1">
      <alignment/>
    </xf>
    <xf numFmtId="37" fontId="4" fillId="0" borderId="0" xfId="0" applyNumberFormat="1" applyFont="1" applyBorder="1" applyAlignment="1">
      <alignment/>
    </xf>
    <xf numFmtId="37" fontId="4" fillId="0" borderId="4" xfId="0" applyNumberFormat="1" applyFont="1" applyBorder="1" applyAlignment="1">
      <alignment/>
    </xf>
    <xf numFmtId="0" fontId="4" fillId="0" borderId="0" xfId="0" applyNumberFormat="1" applyFont="1" applyBorder="1" applyAlignment="1">
      <alignment/>
    </xf>
    <xf numFmtId="37" fontId="4" fillId="0" borderId="0" xfId="0" applyNumberFormat="1" applyFont="1" applyAlignment="1">
      <alignment horizontal="center"/>
    </xf>
    <xf numFmtId="165" fontId="4" fillId="0" borderId="0" xfId="0" applyNumberFormat="1" applyFont="1" applyBorder="1" applyAlignment="1">
      <alignment/>
    </xf>
    <xf numFmtId="164" fontId="4" fillId="0" borderId="4" xfId="0" applyFont="1" applyBorder="1" applyAlignment="1">
      <alignment/>
    </xf>
    <xf numFmtId="3" fontId="4" fillId="0" borderId="4" xfId="0" applyNumberFormat="1" applyFont="1" applyBorder="1" applyAlignment="1">
      <alignment/>
    </xf>
    <xf numFmtId="164" fontId="4" fillId="0" borderId="4" xfId="0" applyNumberFormat="1" applyFont="1" applyBorder="1" applyAlignment="1">
      <alignment/>
    </xf>
    <xf numFmtId="0" fontId="4" fillId="0" borderId="0" xfId="0" applyNumberFormat="1" applyFont="1" applyAlignment="1">
      <alignment horizontal="right"/>
    </xf>
    <xf numFmtId="3" fontId="4" fillId="0" borderId="0" xfId="0" applyNumberFormat="1" applyFont="1" applyBorder="1" applyAlignment="1">
      <alignment/>
    </xf>
    <xf numFmtId="164" fontId="4" fillId="0" borderId="0" xfId="0" applyNumberFormat="1" applyFont="1" applyAlignment="1">
      <alignment horizontal="right"/>
    </xf>
    <xf numFmtId="37" fontId="4" fillId="0" borderId="0" xfId="0" applyNumberFormat="1" applyFont="1" applyAlignment="1">
      <alignment horizontal="right"/>
    </xf>
    <xf numFmtId="37" fontId="4" fillId="0" borderId="1" xfId="0" applyNumberFormat="1" applyFont="1" applyAlignment="1">
      <alignment/>
    </xf>
    <xf numFmtId="37" fontId="4" fillId="0" borderId="0" xfId="22" applyNumberFormat="1" applyFont="1" applyAlignment="1">
      <alignment/>
      <protection/>
    </xf>
    <xf numFmtId="37" fontId="4" fillId="0" borderId="1" xfId="22" applyNumberFormat="1" applyFont="1" applyAlignment="1">
      <alignment/>
      <protection/>
    </xf>
    <xf numFmtId="164" fontId="4" fillId="0" borderId="0" xfId="0" applyFont="1" applyBorder="1" applyAlignment="1">
      <alignment/>
    </xf>
    <xf numFmtId="164" fontId="4" fillId="0" borderId="0" xfId="0" applyFont="1" applyAlignment="1">
      <alignment/>
    </xf>
    <xf numFmtId="37" fontId="4" fillId="0" borderId="1" xfId="23" applyNumberFormat="1" applyFont="1" applyAlignment="1">
      <alignment/>
      <protection/>
    </xf>
    <xf numFmtId="0" fontId="4" fillId="0" borderId="0" xfId="23" applyNumberFormat="1" applyFont="1" applyBorder="1" applyAlignment="1">
      <alignment/>
      <protection/>
    </xf>
    <xf numFmtId="164" fontId="4" fillId="0" borderId="4" xfId="23" applyNumberFormat="1" applyFont="1" applyBorder="1" applyAlignment="1">
      <alignment/>
      <protection/>
    </xf>
    <xf numFmtId="167" fontId="4" fillId="0" borderId="0" xfId="23" applyNumberFormat="1" applyFont="1" applyAlignment="1">
      <alignment/>
      <protection/>
    </xf>
    <xf numFmtId="37" fontId="4" fillId="0" borderId="4" xfId="0" applyNumberFormat="1" applyFont="1" applyBorder="1" applyAlignment="1">
      <alignment/>
    </xf>
    <xf numFmtId="0" fontId="0" fillId="0" borderId="0" xfId="20" applyFont="1" applyAlignment="1">
      <alignment/>
      <protection/>
    </xf>
    <xf numFmtId="0" fontId="4" fillId="0" borderId="0" xfId="20" applyNumberFormat="1" applyFont="1" applyBorder="1" applyAlignment="1">
      <alignment/>
      <protection/>
    </xf>
    <xf numFmtId="168" fontId="4" fillId="0" borderId="4" xfId="20" applyNumberFormat="1" applyFont="1" applyBorder="1" applyAlignment="1">
      <alignment/>
      <protection/>
    </xf>
    <xf numFmtId="165" fontId="4" fillId="0" borderId="0" xfId="21" applyNumberFormat="1" applyFont="1" applyBorder="1" applyAlignment="1">
      <alignment/>
      <protection/>
    </xf>
    <xf numFmtId="164" fontId="4" fillId="0" borderId="4" xfId="21" applyNumberFormat="1" applyFont="1" applyBorder="1" applyAlignment="1">
      <alignment/>
      <protection/>
    </xf>
    <xf numFmtId="0" fontId="0" fillId="0" borderId="0" xfId="0" applyNumberFormat="1" applyBorder="1" applyAlignment="1">
      <alignment/>
    </xf>
    <xf numFmtId="164" fontId="0" fillId="0" borderId="0" xfId="0" applyFont="1" applyAlignment="1">
      <alignment horizontal="center"/>
    </xf>
    <xf numFmtId="172" fontId="4" fillId="0" borderId="0" xfId="0" applyNumberFormat="1" applyFont="1" applyAlignment="1">
      <alignment/>
    </xf>
    <xf numFmtId="172" fontId="4" fillId="0" borderId="0" xfId="23" applyNumberFormat="1" applyFont="1" applyAlignment="1">
      <alignment/>
      <protection/>
    </xf>
    <xf numFmtId="172" fontId="4" fillId="0" borderId="0" xfId="0" applyNumberFormat="1" applyFont="1" applyAlignment="1">
      <alignment/>
    </xf>
    <xf numFmtId="0" fontId="4" fillId="0" borderId="3" xfId="23" applyNumberFormat="1" applyFont="1" applyBorder="1" applyAlignment="1">
      <alignment/>
      <protection/>
    </xf>
    <xf numFmtId="3" fontId="4" fillId="0" borderId="4" xfId="23" applyNumberFormat="1" applyFont="1" applyBorder="1" applyAlignment="1">
      <alignment/>
      <protection/>
    </xf>
    <xf numFmtId="0" fontId="0" fillId="0" borderId="0" xfId="0" applyNumberFormat="1" applyAlignment="1">
      <alignment horizontal="centerContinuous"/>
    </xf>
    <xf numFmtId="37" fontId="4" fillId="0" borderId="0" xfId="22" applyNumberFormat="1" applyFont="1" applyBorder="1" applyAlignment="1">
      <alignment/>
      <protection/>
    </xf>
    <xf numFmtId="37" fontId="4" fillId="0" borderId="4" xfId="22" applyNumberFormat="1" applyFont="1" applyBorder="1" applyAlignment="1">
      <alignment/>
      <protection/>
    </xf>
    <xf numFmtId="0" fontId="4" fillId="0" borderId="0" xfId="24" applyNumberFormat="1" applyFont="1" applyBorder="1" applyAlignment="1">
      <alignment/>
      <protection/>
    </xf>
    <xf numFmtId="164" fontId="4" fillId="0" borderId="4" xfId="24" applyNumberFormat="1" applyFont="1" applyBorder="1" applyAlignment="1">
      <alignment/>
      <protection/>
    </xf>
    <xf numFmtId="2" fontId="4" fillId="0" borderId="4" xfId="23" applyNumberFormat="1" applyFont="1" applyBorder="1" applyAlignment="1">
      <alignment/>
      <protection/>
    </xf>
    <xf numFmtId="2" fontId="4" fillId="0" borderId="0" xfId="22" applyNumberFormat="1" applyFont="1" applyBorder="1" applyAlignment="1">
      <alignment/>
      <protection/>
    </xf>
    <xf numFmtId="2" fontId="4" fillId="0" borderId="4" xfId="22" applyNumberFormat="1" applyFont="1" applyBorder="1" applyAlignment="1">
      <alignment/>
      <protection/>
    </xf>
    <xf numFmtId="164" fontId="10" fillId="0" borderId="0" xfId="0" applyFont="1" applyBorder="1" applyAlignment="1">
      <alignment/>
    </xf>
    <xf numFmtId="164" fontId="4" fillId="0" borderId="0" xfId="0" applyFont="1" applyBorder="1" applyAlignment="1">
      <alignment/>
    </xf>
    <xf numFmtId="37" fontId="4" fillId="0" borderId="0" xfId="0" applyNumberFormat="1" applyFont="1" applyBorder="1" applyAlignment="1">
      <alignment/>
    </xf>
    <xf numFmtId="42" fontId="4" fillId="0" borderId="4" xfId="0" applyNumberFormat="1" applyFont="1" applyBorder="1" applyAlignment="1">
      <alignment/>
    </xf>
    <xf numFmtId="42" fontId="4" fillId="0" borderId="0" xfId="0" applyNumberFormat="1" applyFont="1" applyBorder="1" applyAlignment="1">
      <alignment/>
    </xf>
    <xf numFmtId="42" fontId="4" fillId="0" borderId="0" xfId="0" applyNumberFormat="1" applyFont="1" applyAlignment="1">
      <alignment/>
    </xf>
    <xf numFmtId="42" fontId="4" fillId="0" borderId="0" xfId="0" applyNumberFormat="1" applyFont="1" applyAlignment="1">
      <alignment/>
    </xf>
    <xf numFmtId="42" fontId="4" fillId="0" borderId="4" xfId="0" applyNumberFormat="1" applyFont="1" applyBorder="1" applyAlignment="1">
      <alignment/>
    </xf>
    <xf numFmtId="172" fontId="4" fillId="0" borderId="0" xfId="19" applyNumberFormat="1" applyFont="1" applyAlignment="1">
      <alignment/>
      <protection/>
    </xf>
    <xf numFmtId="172" fontId="4" fillId="0" borderId="1" xfId="19" applyNumberFormat="1" applyFont="1" applyAlignment="1">
      <alignment/>
      <protection/>
    </xf>
    <xf numFmtId="37" fontId="4" fillId="0" borderId="0" xfId="19" applyNumberFormat="1" applyFont="1" applyBorder="1" applyAlignment="1">
      <alignment/>
      <protection/>
    </xf>
    <xf numFmtId="172" fontId="4" fillId="0" borderId="4" xfId="19" applyNumberFormat="1" applyFont="1" applyBorder="1" applyAlignment="1">
      <alignment/>
      <protection/>
    </xf>
    <xf numFmtId="42" fontId="4" fillId="0" borderId="0" xfId="0" applyNumberFormat="1" applyFont="1" applyAlignment="1">
      <alignment/>
    </xf>
    <xf numFmtId="37" fontId="4" fillId="0" borderId="3" xfId="0" applyNumberFormat="1" applyFont="1" applyBorder="1" applyAlignment="1">
      <alignment/>
    </xf>
    <xf numFmtId="177" fontId="4" fillId="0" borderId="0" xfId="0" applyNumberFormat="1" applyFont="1" applyAlignment="1">
      <alignment/>
    </xf>
    <xf numFmtId="177" fontId="4" fillId="0" borderId="4" xfId="0" applyNumberFormat="1" applyFont="1" applyBorder="1" applyAlignment="1">
      <alignment/>
    </xf>
    <xf numFmtId="181" fontId="4" fillId="0" borderId="0" xfId="15" applyNumberFormat="1" applyFont="1" applyAlignment="1">
      <alignment/>
    </xf>
    <xf numFmtId="181" fontId="4" fillId="0" borderId="0" xfId="15" applyNumberFormat="1" applyFont="1" applyAlignment="1">
      <alignment/>
    </xf>
    <xf numFmtId="181" fontId="1" fillId="0" borderId="0" xfId="15" applyNumberFormat="1" applyFont="1" applyAlignment="1">
      <alignment/>
    </xf>
    <xf numFmtId="164" fontId="1" fillId="0" borderId="0" xfId="0" applyFont="1" applyAlignment="1">
      <alignment/>
    </xf>
    <xf numFmtId="1" fontId="4" fillId="0" borderId="0" xfId="23" applyNumberFormat="1" applyFont="1" applyAlignment="1">
      <alignment/>
      <protection/>
    </xf>
    <xf numFmtId="0" fontId="0" fillId="0" borderId="0" xfId="23" applyFont="1" applyAlignment="1">
      <alignment/>
      <protection/>
    </xf>
    <xf numFmtId="3" fontId="4" fillId="0" borderId="0" xfId="24" applyNumberFormat="1" applyFont="1" applyAlignment="1">
      <alignment horizontal="left"/>
      <protection/>
    </xf>
    <xf numFmtId="164" fontId="4" fillId="0" borderId="0" xfId="0" applyFont="1" applyAlignment="1">
      <alignment/>
    </xf>
    <xf numFmtId="164" fontId="4" fillId="0" borderId="0" xfId="0" applyFont="1" applyFill="1" applyBorder="1" applyAlignment="1">
      <alignment/>
    </xf>
    <xf numFmtId="49" fontId="1" fillId="0" borderId="0" xfId="0" applyNumberFormat="1" applyFont="1" applyAlignment="1">
      <alignment/>
    </xf>
    <xf numFmtId="164" fontId="15" fillId="0" borderId="0" xfId="0" applyFont="1" applyAlignment="1">
      <alignment/>
    </xf>
    <xf numFmtId="0" fontId="1" fillId="0" borderId="0" xfId="0" applyNumberFormat="1" applyFont="1" applyAlignment="1">
      <alignment/>
    </xf>
    <xf numFmtId="3" fontId="4" fillId="0" borderId="3" xfId="24" applyNumberFormat="1" applyFont="1" applyBorder="1" applyAlignment="1">
      <alignment/>
      <protection/>
    </xf>
    <xf numFmtId="0" fontId="10" fillId="0" borderId="0" xfId="0" applyNumberFormat="1" applyFont="1" applyAlignment="1">
      <alignment horizontal="right"/>
    </xf>
    <xf numFmtId="170" fontId="4" fillId="0" borderId="0" xfId="0" applyNumberFormat="1" applyFont="1" applyAlignment="1">
      <alignment/>
    </xf>
    <xf numFmtId="0" fontId="8" fillId="0" borderId="0" xfId="0" applyNumberFormat="1" applyFont="1" applyAlignment="1">
      <alignment/>
    </xf>
    <xf numFmtId="172" fontId="16" fillId="0" borderId="0" xfId="0" applyNumberFormat="1" applyFont="1" applyAlignment="1">
      <alignment horizontal="left"/>
    </xf>
    <xf numFmtId="0" fontId="8" fillId="0" borderId="0" xfId="0" applyNumberFormat="1" applyFont="1" applyAlignment="1">
      <alignment horizontal="center"/>
    </xf>
    <xf numFmtId="37" fontId="8" fillId="0" borderId="0" xfId="0" applyNumberFormat="1" applyFont="1" applyAlignment="1">
      <alignment horizontal="center"/>
    </xf>
    <xf numFmtId="37" fontId="8" fillId="0" borderId="3" xfId="0" applyNumberFormat="1" applyFont="1" applyBorder="1" applyAlignment="1">
      <alignment horizontal="center"/>
    </xf>
    <xf numFmtId="0" fontId="8" fillId="0" borderId="3" xfId="0" applyNumberFormat="1" applyFont="1" applyBorder="1" applyAlignment="1">
      <alignment horizontal="center"/>
    </xf>
    <xf numFmtId="37" fontId="8" fillId="0" borderId="0" xfId="0" applyNumberFormat="1" applyFont="1" applyAlignment="1">
      <alignment/>
    </xf>
    <xf numFmtId="164" fontId="8" fillId="0" borderId="0" xfId="0" applyNumberFormat="1" applyFont="1" applyAlignment="1">
      <alignment horizontal="right"/>
    </xf>
    <xf numFmtId="164" fontId="8" fillId="0" borderId="0" xfId="0" applyNumberFormat="1" applyFont="1" applyAlignment="1">
      <alignment/>
    </xf>
    <xf numFmtId="178" fontId="8" fillId="0" borderId="0" xfId="0" applyNumberFormat="1" applyFont="1" applyAlignment="1">
      <alignment horizontal="right"/>
    </xf>
    <xf numFmtId="178" fontId="8" fillId="0" borderId="0" xfId="0" applyNumberFormat="1" applyFont="1" applyAlignment="1">
      <alignment/>
    </xf>
    <xf numFmtId="41" fontId="4" fillId="0" borderId="0" xfId="0" applyNumberFormat="1" applyFont="1" applyAlignment="1">
      <alignment/>
    </xf>
    <xf numFmtId="42" fontId="4" fillId="0" borderId="0" xfId="0" applyNumberFormat="1" applyFont="1" applyAlignment="1">
      <alignment/>
    </xf>
    <xf numFmtId="170" fontId="6" fillId="0" borderId="0" xfId="0" applyNumberFormat="1" applyFont="1" applyAlignment="1">
      <alignment/>
    </xf>
    <xf numFmtId="0" fontId="6" fillId="0" borderId="0" xfId="0" applyNumberFormat="1" applyFont="1" applyAlignment="1">
      <alignment/>
    </xf>
    <xf numFmtId="0" fontId="15" fillId="0" borderId="0" xfId="0" applyNumberFormat="1" applyFont="1" applyAlignment="1">
      <alignment/>
    </xf>
    <xf numFmtId="179" fontId="0" fillId="0" borderId="0" xfId="27" applyNumberFormat="1" applyFont="1" applyAlignment="1">
      <alignment/>
    </xf>
    <xf numFmtId="183" fontId="0" fillId="0" borderId="0" xfId="26" applyFont="1" applyAlignment="1">
      <alignment horizontal="center"/>
      <protection/>
    </xf>
    <xf numFmtId="183" fontId="0" fillId="0" borderId="0" xfId="26" applyFont="1" applyAlignment="1">
      <alignment/>
      <protection/>
    </xf>
    <xf numFmtId="183" fontId="4" fillId="0" borderId="0" xfId="26" applyFont="1" applyAlignment="1">
      <alignment/>
      <protection/>
    </xf>
    <xf numFmtId="183" fontId="17" fillId="0" borderId="0" xfId="26" applyNumberFormat="1" applyFont="1" applyAlignment="1">
      <alignment/>
      <protection/>
    </xf>
    <xf numFmtId="183" fontId="0" fillId="0" borderId="3" xfId="26" applyFont="1" applyBorder="1" applyAlignment="1">
      <alignment horizontal="center"/>
      <protection/>
    </xf>
    <xf numFmtId="41" fontId="0" fillId="0" borderId="0" xfId="26" applyNumberFormat="1" applyFont="1" applyAlignment="1" quotePrefix="1">
      <alignment horizontal="center"/>
      <protection/>
    </xf>
    <xf numFmtId="41" fontId="0" fillId="0" borderId="0" xfId="26" applyNumberFormat="1" applyFont="1" applyAlignment="1">
      <alignment/>
      <protection/>
    </xf>
    <xf numFmtId="184" fontId="0" fillId="0" borderId="0" xfId="16" applyNumberFormat="1" applyFont="1" applyAlignment="1">
      <alignment/>
    </xf>
    <xf numFmtId="179" fontId="0" fillId="0" borderId="3" xfId="27" applyNumberFormat="1" applyFont="1" applyBorder="1" applyAlignment="1">
      <alignment/>
    </xf>
    <xf numFmtId="41" fontId="0" fillId="0" borderId="3" xfId="26" applyNumberFormat="1" applyFont="1" applyBorder="1" applyAlignment="1">
      <alignment/>
      <protection/>
    </xf>
    <xf numFmtId="179" fontId="0" fillId="0" borderId="4" xfId="27" applyNumberFormat="1" applyFont="1" applyBorder="1" applyAlignment="1">
      <alignment/>
    </xf>
    <xf numFmtId="183" fontId="0" fillId="0" borderId="0" xfId="26" applyFont="1">
      <alignment/>
      <protection/>
    </xf>
    <xf numFmtId="183" fontId="4" fillId="0" borderId="0" xfId="26" applyFont="1">
      <alignment/>
      <protection/>
    </xf>
    <xf numFmtId="42" fontId="0" fillId="0" borderId="4" xfId="26" applyNumberFormat="1" applyFont="1" applyBorder="1" applyAlignment="1">
      <alignment/>
      <protection/>
    </xf>
    <xf numFmtId="169" fontId="4" fillId="0" borderId="0" xfId="0" applyNumberFormat="1" applyFont="1" applyAlignment="1">
      <alignment/>
    </xf>
    <xf numFmtId="168" fontId="0" fillId="0" borderId="0" xfId="20" applyNumberFormat="1" applyFont="1" applyAlignment="1">
      <alignment/>
      <protection/>
    </xf>
    <xf numFmtId="178" fontId="18" fillId="0" borderId="0" xfId="0" applyNumberFormat="1" applyFont="1" applyAlignment="1">
      <alignment/>
    </xf>
    <xf numFmtId="0" fontId="18" fillId="0" borderId="0" xfId="0" applyNumberFormat="1" applyFont="1" applyAlignment="1">
      <alignment/>
    </xf>
    <xf numFmtId="0" fontId="18" fillId="0" borderId="0" xfId="0" applyNumberFormat="1" applyFont="1" applyAlignment="1">
      <alignment horizontal="center"/>
    </xf>
    <xf numFmtId="3" fontId="4" fillId="0" borderId="0" xfId="0" applyNumberFormat="1" applyFont="1" applyAlignment="1">
      <alignment/>
    </xf>
    <xf numFmtId="2" fontId="4" fillId="0" borderId="0" xfId="0" applyNumberFormat="1" applyFont="1" applyAlignment="1">
      <alignment/>
    </xf>
    <xf numFmtId="2" fontId="6" fillId="0" borderId="0" xfId="0" applyNumberFormat="1" applyFont="1" applyAlignment="1">
      <alignment/>
    </xf>
    <xf numFmtId="181" fontId="0" fillId="0" borderId="0" xfId="15" applyNumberFormat="1" applyFont="1" applyAlignment="1">
      <alignment/>
    </xf>
    <xf numFmtId="42" fontId="0" fillId="0" borderId="0" xfId="0" applyNumberFormat="1" applyFont="1" applyAlignment="1">
      <alignment/>
    </xf>
    <xf numFmtId="37" fontId="0" fillId="0" borderId="0" xfId="22" applyNumberFormat="1" applyAlignment="1">
      <alignment/>
      <protection/>
    </xf>
    <xf numFmtId="3" fontId="0" fillId="0" borderId="0" xfId="22" applyNumberFormat="1" applyAlignment="1">
      <alignment/>
      <protection/>
    </xf>
    <xf numFmtId="164" fontId="0" fillId="0" borderId="0" xfId="22" applyNumberFormat="1" applyAlignment="1">
      <alignment/>
      <protection/>
    </xf>
    <xf numFmtId="181" fontId="0" fillId="0" borderId="0" xfId="15" applyNumberFormat="1" applyFont="1" applyAlignment="1">
      <alignment/>
    </xf>
    <xf numFmtId="179" fontId="0" fillId="0" borderId="0" xfId="27" applyNumberFormat="1" applyFont="1" applyAlignment="1">
      <alignment/>
    </xf>
    <xf numFmtId="189" fontId="4" fillId="0" borderId="0" xfId="0" applyNumberFormat="1" applyFont="1" applyBorder="1" applyAlignment="1">
      <alignment/>
    </xf>
    <xf numFmtId="181" fontId="4" fillId="0" borderId="0" xfId="15" applyNumberFormat="1" applyFont="1" applyBorder="1" applyAlignment="1">
      <alignment/>
    </xf>
    <xf numFmtId="0" fontId="0" fillId="0" borderId="0" xfId="0" applyNumberFormat="1" applyFont="1" applyAlignment="1">
      <alignment horizontal="center"/>
    </xf>
    <xf numFmtId="172" fontId="4" fillId="0" borderId="4" xfId="23" applyNumberFormat="1" applyFont="1" applyBorder="1" applyAlignment="1">
      <alignment/>
      <protection/>
    </xf>
    <xf numFmtId="183" fontId="0" fillId="0" borderId="0" xfId="26" applyFont="1" applyAlignment="1">
      <alignment horizontal="center"/>
      <protection/>
    </xf>
    <xf numFmtId="0" fontId="0" fillId="0" borderId="3" xfId="0" applyNumberFormat="1" applyFont="1" applyBorder="1" applyAlignment="1">
      <alignment horizontal="center"/>
    </xf>
    <xf numFmtId="0" fontId="0" fillId="0" borderId="0" xfId="0" applyNumberFormat="1" applyFont="1" applyAlignment="1" quotePrefix="1">
      <alignment horizontal="center"/>
    </xf>
    <xf numFmtId="183" fontId="0" fillId="0" borderId="0" xfId="26" applyFont="1" applyAlignment="1" quotePrefix="1">
      <alignment horizontal="center"/>
      <protection/>
    </xf>
    <xf numFmtId="183" fontId="0" fillId="0" borderId="0" xfId="26" applyFont="1" applyAlignment="1">
      <alignment/>
      <protection/>
    </xf>
    <xf numFmtId="180" fontId="0" fillId="0" borderId="0" xfId="0" applyNumberFormat="1" applyFont="1" applyAlignment="1">
      <alignment/>
    </xf>
    <xf numFmtId="2" fontId="0" fillId="0" borderId="0" xfId="0" applyNumberFormat="1" applyFont="1" applyAlignment="1">
      <alignment/>
    </xf>
    <xf numFmtId="37" fontId="4" fillId="0" borderId="0" xfId="0" applyNumberFormat="1" applyFont="1" applyBorder="1" applyAlignment="1">
      <alignment horizontal="right" vertical="top"/>
    </xf>
    <xf numFmtId="0" fontId="4" fillId="0" borderId="0" xfId="0" applyNumberFormat="1" applyFont="1" applyBorder="1" applyAlignment="1">
      <alignment/>
    </xf>
    <xf numFmtId="37" fontId="8" fillId="0" borderId="0" xfId="0" applyNumberFormat="1" applyFont="1" applyAlignment="1">
      <alignment horizontal="right"/>
    </xf>
    <xf numFmtId="164" fontId="10" fillId="0" borderId="0" xfId="0" applyFont="1" applyAlignment="1">
      <alignment/>
    </xf>
    <xf numFmtId="169" fontId="4" fillId="0" borderId="0" xfId="0" applyNumberFormat="1" applyFont="1" applyAlignment="1">
      <alignment horizontal="center"/>
    </xf>
    <xf numFmtId="37" fontId="4" fillId="0" borderId="0" xfId="0" applyNumberFormat="1" applyFont="1" applyAlignment="1">
      <alignment/>
    </xf>
    <xf numFmtId="172" fontId="4" fillId="0" borderId="0" xfId="0" applyNumberFormat="1" applyFont="1" applyAlignment="1">
      <alignment/>
    </xf>
    <xf numFmtId="0" fontId="10" fillId="0" borderId="0" xfId="0" applyNumberFormat="1" applyFont="1" applyAlignment="1">
      <alignment/>
    </xf>
    <xf numFmtId="37" fontId="8" fillId="0" borderId="0" xfId="0" applyNumberFormat="1" applyFont="1" applyAlignment="1">
      <alignment horizontal="right"/>
    </xf>
    <xf numFmtId="0" fontId="8" fillId="0" borderId="0" xfId="0" applyNumberFormat="1" applyFont="1" applyAlignment="1">
      <alignment horizontal="right"/>
    </xf>
    <xf numFmtId="168" fontId="0" fillId="0" borderId="0" xfId="20" applyNumberFormat="1" applyFont="1">
      <alignment/>
      <protection/>
    </xf>
    <xf numFmtId="164" fontId="0" fillId="0" borderId="0" xfId="20" applyNumberFormat="1" applyFont="1" applyAlignment="1">
      <alignment/>
      <protection/>
    </xf>
    <xf numFmtId="3" fontId="4" fillId="0" borderId="0" xfId="20" applyNumberFormat="1" applyFont="1" applyAlignment="1">
      <alignment/>
      <protection/>
    </xf>
    <xf numFmtId="37" fontId="4" fillId="0" borderId="0" xfId="0" applyNumberFormat="1" applyFont="1" applyBorder="1" applyAlignment="1">
      <alignment horizontal="right" vertical="top"/>
    </xf>
    <xf numFmtId="37" fontId="4" fillId="0" borderId="0" xfId="0" applyNumberFormat="1" applyFont="1" applyAlignment="1">
      <alignment/>
    </xf>
    <xf numFmtId="164" fontId="4" fillId="0" borderId="0" xfId="0" applyNumberFormat="1" applyFont="1" applyAlignment="1">
      <alignment/>
    </xf>
    <xf numFmtId="0" fontId="0" fillId="0" borderId="2" xfId="0" applyNumberFormat="1" applyFont="1" applyAlignment="1">
      <alignment/>
    </xf>
    <xf numFmtId="0" fontId="0" fillId="0" borderId="0" xfId="0" applyNumberFormat="1" applyFont="1" applyBorder="1" applyAlignment="1">
      <alignment/>
    </xf>
    <xf numFmtId="0" fontId="0" fillId="0" borderId="0" xfId="0" applyNumberFormat="1" applyFont="1" applyAlignment="1">
      <alignment/>
    </xf>
    <xf numFmtId="164" fontId="4" fillId="0" borderId="0" xfId="23" applyNumberFormat="1" applyFont="1" applyAlignment="1">
      <alignment/>
      <protection locked="0"/>
    </xf>
    <xf numFmtId="3" fontId="0" fillId="0" borderId="0" xfId="23" applyNumberFormat="1" applyFont="1" applyAlignment="1">
      <alignment/>
      <protection/>
    </xf>
    <xf numFmtId="0" fontId="4" fillId="0" borderId="0" xfId="25" applyNumberFormat="1" applyFont="1" applyAlignment="1">
      <alignment horizontal="centerContinuous"/>
      <protection/>
    </xf>
    <xf numFmtId="0" fontId="0" fillId="0" borderId="0" xfId="25" applyFont="1" applyAlignment="1">
      <alignment/>
      <protection/>
    </xf>
    <xf numFmtId="0" fontId="4" fillId="0" borderId="0" xfId="25" applyNumberFormat="1" applyFont="1" applyAlignment="1">
      <alignment/>
      <protection/>
    </xf>
    <xf numFmtId="0" fontId="4" fillId="0" borderId="0" xfId="25" applyNumberFormat="1" applyFont="1" applyAlignment="1">
      <alignment horizontal="center"/>
      <protection/>
    </xf>
    <xf numFmtId="0" fontId="4" fillId="0" borderId="1" xfId="25" applyNumberFormat="1" applyFont="1" applyAlignment="1">
      <alignment horizontal="center"/>
      <protection/>
    </xf>
    <xf numFmtId="37" fontId="4" fillId="0" borderId="1" xfId="25" applyNumberFormat="1" applyFont="1" applyAlignment="1">
      <alignment horizontal="center"/>
      <protection/>
    </xf>
    <xf numFmtId="37" fontId="4" fillId="0" borderId="0" xfId="25" applyNumberFormat="1" applyFont="1" applyAlignment="1">
      <alignment horizontal="center"/>
      <protection/>
    </xf>
    <xf numFmtId="3" fontId="4" fillId="0" borderId="0" xfId="25" applyNumberFormat="1" applyFont="1" applyAlignment="1">
      <alignment horizontal="center"/>
      <protection/>
    </xf>
    <xf numFmtId="3" fontId="4" fillId="0" borderId="1" xfId="25" applyNumberFormat="1" applyFont="1" applyAlignment="1">
      <alignment horizontal="center"/>
      <protection/>
    </xf>
    <xf numFmtId="3" fontId="4" fillId="0" borderId="0" xfId="25" applyNumberFormat="1" applyFont="1" applyAlignment="1">
      <alignment/>
      <protection/>
    </xf>
    <xf numFmtId="37" fontId="0" fillId="0" borderId="0" xfId="25" applyNumberFormat="1" applyFont="1" applyAlignment="1">
      <alignment/>
      <protection/>
    </xf>
    <xf numFmtId="0" fontId="4" fillId="0" borderId="1" xfId="25" applyNumberFormat="1" applyFont="1" applyAlignment="1">
      <alignment/>
      <protection/>
    </xf>
    <xf numFmtId="3" fontId="4" fillId="0" borderId="4" xfId="25" applyNumberFormat="1" applyFont="1" applyBorder="1" applyAlignment="1">
      <alignment/>
      <protection/>
    </xf>
    <xf numFmtId="0" fontId="0" fillId="0" borderId="0" xfId="25" applyFont="1" applyBorder="1" applyAlignment="1">
      <alignment/>
      <protection/>
    </xf>
    <xf numFmtId="3" fontId="4" fillId="0" borderId="2" xfId="25" applyNumberFormat="1" applyFont="1" applyAlignment="1">
      <alignment/>
      <protection/>
    </xf>
    <xf numFmtId="3" fontId="4" fillId="0" borderId="0" xfId="25" applyNumberFormat="1" applyFont="1" applyBorder="1" applyAlignment="1">
      <alignment/>
      <protection/>
    </xf>
    <xf numFmtId="0" fontId="4" fillId="0" borderId="0" xfId="25" applyNumberFormat="1" applyFont="1" applyBorder="1" applyAlignment="1">
      <alignment/>
      <protection/>
    </xf>
    <xf numFmtId="0" fontId="0" fillId="0" borderId="0" xfId="25" applyNumberFormat="1" applyFont="1" applyAlignment="1">
      <alignment horizontal="centerContinuous"/>
      <protection/>
    </xf>
    <xf numFmtId="49" fontId="4" fillId="0" borderId="0" xfId="25" applyNumberFormat="1" applyFont="1" applyAlignment="1">
      <alignment horizontal="center"/>
      <protection/>
    </xf>
    <xf numFmtId="0" fontId="4" fillId="0" borderId="0" xfId="25" applyFont="1" applyAlignment="1">
      <alignment/>
      <protection/>
    </xf>
    <xf numFmtId="0" fontId="0" fillId="0" borderId="0" xfId="25" applyFont="1">
      <alignment/>
      <protection/>
    </xf>
    <xf numFmtId="3" fontId="4" fillId="0" borderId="0" xfId="0" applyNumberFormat="1" applyFont="1" applyAlignment="1">
      <alignment/>
    </xf>
    <xf numFmtId="168" fontId="4"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xf>
    <xf numFmtId="3" fontId="0" fillId="0" borderId="0" xfId="0" applyNumberFormat="1" applyFont="1" applyAlignment="1">
      <alignment/>
    </xf>
    <xf numFmtId="0" fontId="0" fillId="0" borderId="0" xfId="24" applyFont="1" applyAlignment="1">
      <alignment/>
      <protection/>
    </xf>
    <xf numFmtId="0" fontId="19" fillId="0" borderId="0" xfId="0" applyNumberFormat="1" applyFont="1" applyAlignment="1">
      <alignment/>
    </xf>
    <xf numFmtId="4" fontId="19" fillId="0" borderId="0" xfId="0" applyNumberFormat="1" applyFont="1" applyAlignment="1">
      <alignment/>
    </xf>
    <xf numFmtId="181" fontId="4" fillId="0" borderId="0" xfId="15" applyNumberFormat="1" applyFont="1" applyFill="1" applyAlignment="1">
      <alignment/>
    </xf>
    <xf numFmtId="0" fontId="8" fillId="0" borderId="1" xfId="20" applyNumberFormat="1" applyFont="1" applyAlignment="1">
      <alignment/>
      <protection/>
    </xf>
    <xf numFmtId="181" fontId="19" fillId="0" borderId="0" xfId="15" applyNumberFormat="1" applyFont="1" applyAlignment="1">
      <alignment/>
    </xf>
    <xf numFmtId="37" fontId="0" fillId="0" borderId="0" xfId="0" applyNumberFormat="1" applyFont="1" applyAlignment="1">
      <alignment/>
    </xf>
    <xf numFmtId="0" fontId="20" fillId="0" borderId="0" xfId="0" applyNumberFormat="1" applyFont="1" applyAlignment="1">
      <alignment/>
    </xf>
    <xf numFmtId="0" fontId="4" fillId="0" borderId="0" xfId="0" applyNumberFormat="1" applyFont="1" applyAlignment="1">
      <alignment horizontal="centerContinuous"/>
    </xf>
    <xf numFmtId="3" fontId="4" fillId="0" borderId="1" xfId="24" applyNumberFormat="1" applyFont="1" applyAlignment="1">
      <alignment/>
      <protection/>
    </xf>
    <xf numFmtId="3" fontId="4" fillId="0" borderId="1" xfId="20" applyNumberFormat="1" applyFont="1" applyAlignment="1">
      <alignment/>
      <protection/>
    </xf>
    <xf numFmtId="3" fontId="4" fillId="0" borderId="4" xfId="20" applyNumberFormat="1" applyFont="1" applyBorder="1" applyAlignment="1">
      <alignment/>
      <protection/>
    </xf>
    <xf numFmtId="0" fontId="19" fillId="0" borderId="0" xfId="20" applyFont="1" applyAlignment="1">
      <alignment/>
      <protection/>
    </xf>
    <xf numFmtId="0" fontId="19" fillId="0" borderId="0" xfId="24" applyFont="1" applyAlignment="1">
      <alignment/>
      <protection/>
    </xf>
    <xf numFmtId="181" fontId="0" fillId="0" borderId="0" xfId="15" applyNumberFormat="1" applyFont="1" applyAlignment="1">
      <alignment/>
    </xf>
    <xf numFmtId="181" fontId="4" fillId="0" borderId="0" xfId="15" applyNumberFormat="1" applyFont="1" applyAlignment="1">
      <alignment horizontal="center"/>
    </xf>
    <xf numFmtId="181" fontId="4" fillId="0" borderId="0" xfId="15" applyNumberFormat="1" applyFont="1" applyAlignment="1">
      <alignment/>
    </xf>
    <xf numFmtId="49" fontId="4" fillId="0" borderId="0" xfId="0" applyNumberFormat="1" applyFont="1" applyAlignment="1">
      <alignment/>
    </xf>
    <xf numFmtId="181" fontId="4" fillId="0" borderId="0" xfId="15" applyNumberFormat="1" applyFont="1" applyBorder="1" applyAlignment="1">
      <alignment/>
    </xf>
    <xf numFmtId="0" fontId="4" fillId="0" borderId="0" xfId="0" applyNumberFormat="1" applyFont="1" applyAlignment="1">
      <alignment horizontal="right"/>
    </xf>
    <xf numFmtId="181" fontId="0" fillId="0" borderId="0" xfId="15" applyNumberFormat="1" applyFont="1" applyAlignment="1">
      <alignment/>
    </xf>
    <xf numFmtId="0" fontId="4" fillId="0" borderId="0" xfId="21" applyNumberFormat="1" applyFont="1" applyAlignment="1">
      <alignment horizontal="justify" vertical="top" wrapText="1"/>
      <protection/>
    </xf>
    <xf numFmtId="0" fontId="0" fillId="0" borderId="0" xfId="0" applyNumberFormat="1" applyFont="1" applyBorder="1" applyAlignment="1">
      <alignment horizontal="center"/>
    </xf>
    <xf numFmtId="43" fontId="0" fillId="0" borderId="0" xfId="15" applyFont="1" applyAlignment="1">
      <alignment/>
    </xf>
    <xf numFmtId="43" fontId="0" fillId="0" borderId="0" xfId="15" applyFont="1" applyAlignment="1">
      <alignment/>
    </xf>
    <xf numFmtId="164" fontId="5" fillId="0" borderId="0" xfId="21" applyNumberFormat="1" applyFont="1" applyBorder="1" applyAlignment="1">
      <alignment/>
      <protection/>
    </xf>
    <xf numFmtId="164" fontId="5" fillId="0" borderId="3" xfId="21" applyNumberFormat="1" applyFont="1" applyBorder="1" applyAlignment="1">
      <alignment/>
      <protection/>
    </xf>
    <xf numFmtId="0" fontId="0" fillId="0" borderId="0" xfId="21" applyBorder="1" applyAlignment="1">
      <alignment/>
      <protection/>
    </xf>
    <xf numFmtId="3" fontId="0" fillId="0" borderId="0" xfId="21" applyNumberFormat="1" applyBorder="1" applyAlignment="1">
      <alignment/>
      <protection/>
    </xf>
    <xf numFmtId="164" fontId="4" fillId="0" borderId="0" xfId="21" applyNumberFormat="1" applyFont="1" applyBorder="1" applyAlignment="1">
      <alignment/>
      <protection/>
    </xf>
    <xf numFmtId="3" fontId="4" fillId="0" borderId="0" xfId="21" applyNumberFormat="1" applyFont="1" applyBorder="1" applyAlignment="1">
      <alignment/>
      <protection/>
    </xf>
    <xf numFmtId="0" fontId="0" fillId="0" borderId="0" xfId="21" applyBorder="1">
      <alignment/>
      <protection/>
    </xf>
    <xf numFmtId="3" fontId="4" fillId="0" borderId="4" xfId="21" applyNumberFormat="1" applyFont="1" applyBorder="1" applyAlignment="1">
      <alignment/>
      <protection/>
    </xf>
    <xf numFmtId="37" fontId="4" fillId="0" borderId="0" xfId="0" applyNumberFormat="1" applyFont="1" applyAlignment="1">
      <alignment horizontal="left"/>
    </xf>
    <xf numFmtId="184" fontId="0" fillId="0" borderId="0" xfId="16" applyNumberFormat="1" applyFont="1" applyBorder="1" applyAlignment="1">
      <alignment/>
    </xf>
    <xf numFmtId="181" fontId="0" fillId="0" borderId="0" xfId="15" applyNumberFormat="1" applyFont="1" applyBorder="1" applyAlignment="1">
      <alignment/>
    </xf>
    <xf numFmtId="181" fontId="0" fillId="0" borderId="3" xfId="15" applyNumberFormat="1" applyFont="1" applyBorder="1" applyAlignment="1">
      <alignment/>
    </xf>
    <xf numFmtId="44" fontId="4" fillId="0" borderId="0" xfId="16" applyFont="1" applyAlignment="1">
      <alignment/>
    </xf>
    <xf numFmtId="44" fontId="4" fillId="0" borderId="3" xfId="16" applyFont="1" applyBorder="1" applyAlignment="1">
      <alignment/>
    </xf>
    <xf numFmtId="179" fontId="4" fillId="0" borderId="0" xfId="27" applyNumberFormat="1" applyFont="1" applyAlignment="1">
      <alignment/>
    </xf>
    <xf numFmtId="37" fontId="4" fillId="0" borderId="0" xfId="0" applyNumberFormat="1" applyFont="1" applyBorder="1" applyAlignment="1">
      <alignment/>
    </xf>
    <xf numFmtId="164" fontId="10" fillId="0" borderId="0" xfId="0" applyFont="1" applyBorder="1" applyAlignment="1">
      <alignment/>
    </xf>
    <xf numFmtId="169" fontId="4" fillId="0" borderId="0" xfId="0" applyNumberFormat="1" applyFont="1" applyBorder="1" applyAlignment="1">
      <alignment horizontal="center"/>
    </xf>
    <xf numFmtId="164" fontId="4" fillId="0" borderId="0" xfId="0" applyFont="1" applyBorder="1" applyAlignment="1">
      <alignment/>
    </xf>
    <xf numFmtId="37" fontId="4" fillId="0" borderId="0" xfId="0" applyNumberFormat="1" applyFont="1" applyBorder="1" applyAlignment="1">
      <alignment/>
    </xf>
    <xf numFmtId="181" fontId="1" fillId="0" borderId="0" xfId="15" applyNumberFormat="1" applyFont="1" applyBorder="1" applyAlignment="1">
      <alignment/>
    </xf>
    <xf numFmtId="0" fontId="4" fillId="0" borderId="0" xfId="0" applyNumberFormat="1" applyFont="1" applyAlignment="1" applyProtection="1">
      <alignment horizontal="left"/>
      <protection locked="0"/>
    </xf>
    <xf numFmtId="0" fontId="4" fillId="0" borderId="0" xfId="0" applyNumberFormat="1" applyFont="1" applyBorder="1" applyAlignment="1">
      <alignment horizontal="center"/>
    </xf>
    <xf numFmtId="0" fontId="4" fillId="0" borderId="0" xfId="0" applyNumberFormat="1" applyFont="1" applyBorder="1" applyAlignment="1">
      <alignment horizontal="center"/>
    </xf>
    <xf numFmtId="164" fontId="10" fillId="0" borderId="0" xfId="0" applyFont="1" applyAlignment="1">
      <alignment horizontal="left"/>
    </xf>
    <xf numFmtId="164" fontId="15" fillId="0" borderId="0" xfId="0" applyFont="1" applyAlignment="1">
      <alignment horizontal="left"/>
    </xf>
    <xf numFmtId="164" fontId="1" fillId="0" borderId="0" xfId="0" applyFont="1" applyAlignment="1">
      <alignment horizontal="left"/>
    </xf>
    <xf numFmtId="0" fontId="10" fillId="0" borderId="0" xfId="0" applyNumberFormat="1" applyFont="1" applyAlignment="1">
      <alignment horizontal="left"/>
    </xf>
    <xf numFmtId="181" fontId="1" fillId="0" borderId="0" xfId="15" applyNumberFormat="1" applyFont="1" applyBorder="1" applyAlignment="1">
      <alignment horizontal="left"/>
    </xf>
    <xf numFmtId="181" fontId="4" fillId="0" borderId="0" xfId="15" applyNumberFormat="1" applyFont="1" applyBorder="1" applyAlignment="1">
      <alignment horizontal="left"/>
    </xf>
    <xf numFmtId="181" fontId="4" fillId="0" borderId="0" xfId="15" applyNumberFormat="1" applyFont="1" applyBorder="1" applyAlignment="1">
      <alignment horizontal="center"/>
    </xf>
    <xf numFmtId="3" fontId="4" fillId="0" borderId="0" xfId="0" applyNumberFormat="1" applyFont="1" applyBorder="1" applyAlignment="1">
      <alignment/>
    </xf>
    <xf numFmtId="3" fontId="4" fillId="0" borderId="3" xfId="0" applyNumberFormat="1" applyFont="1" applyBorder="1" applyAlignment="1">
      <alignment/>
    </xf>
    <xf numFmtId="0" fontId="4" fillId="0" borderId="0" xfId="0" applyNumberFormat="1" applyFont="1" applyFill="1" applyAlignment="1">
      <alignment/>
    </xf>
    <xf numFmtId="0" fontId="4" fillId="0" borderId="0" xfId="0" applyNumberFormat="1" applyFont="1" applyFill="1" applyAlignment="1">
      <alignment horizontal="center"/>
    </xf>
    <xf numFmtId="164" fontId="21" fillId="0" borderId="0" xfId="0" applyFont="1" applyAlignment="1">
      <alignment/>
    </xf>
    <xf numFmtId="37" fontId="8" fillId="0" borderId="0" xfId="0" applyNumberFormat="1" applyFont="1" applyAlignment="1">
      <alignment/>
    </xf>
    <xf numFmtId="181" fontId="4" fillId="0" borderId="0" xfId="15" applyNumberFormat="1" applyFont="1" applyAlignment="1">
      <alignment horizontal="center"/>
    </xf>
    <xf numFmtId="181" fontId="4" fillId="0" borderId="3" xfId="15" applyNumberFormat="1" applyFont="1" applyBorder="1" applyAlignment="1">
      <alignment horizontal="center"/>
    </xf>
    <xf numFmtId="181" fontId="4" fillId="0" borderId="0" xfId="15" applyNumberFormat="1" applyFont="1" applyBorder="1" applyAlignment="1">
      <alignment horizontal="center"/>
    </xf>
    <xf numFmtId="181" fontId="4" fillId="0" borderId="0" xfId="15" applyNumberFormat="1" applyFont="1" applyBorder="1" applyAlignment="1">
      <alignment horizontal="center"/>
    </xf>
    <xf numFmtId="181" fontId="4" fillId="0" borderId="0" xfId="15" applyNumberFormat="1" applyFont="1" applyFill="1" applyAlignment="1">
      <alignment horizontal="center"/>
    </xf>
    <xf numFmtId="181" fontId="4" fillId="0" borderId="0" xfId="15" applyNumberFormat="1" applyFont="1" applyAlignment="1">
      <alignment horizontal="right"/>
    </xf>
    <xf numFmtId="181" fontId="4" fillId="0" borderId="3" xfId="15" applyNumberFormat="1" applyFont="1" applyBorder="1" applyAlignment="1">
      <alignment/>
    </xf>
    <xf numFmtId="0" fontId="0" fillId="0" borderId="0" xfId="0" applyNumberFormat="1" applyFont="1" applyBorder="1" applyAlignment="1">
      <alignment/>
    </xf>
    <xf numFmtId="0" fontId="19" fillId="0" borderId="0" xfId="0" applyNumberFormat="1" applyFont="1" applyBorder="1" applyAlignment="1">
      <alignment horizontal="center"/>
    </xf>
    <xf numFmtId="0" fontId="19" fillId="0" borderId="0" xfId="0" applyNumberFormat="1" applyFont="1" applyBorder="1" applyAlignment="1">
      <alignment/>
    </xf>
    <xf numFmtId="0" fontId="0" fillId="0" borderId="0" xfId="0" applyNumberFormat="1" applyFont="1" applyBorder="1" applyAlignment="1">
      <alignment/>
    </xf>
    <xf numFmtId="4" fontId="19" fillId="0" borderId="0" xfId="0" applyNumberFormat="1" applyFont="1" applyBorder="1" applyAlignment="1">
      <alignment/>
    </xf>
    <xf numFmtId="181" fontId="0" fillId="0" borderId="0" xfId="15" applyNumberFormat="1" applyFont="1" applyBorder="1" applyAlignment="1">
      <alignment/>
    </xf>
    <xf numFmtId="181" fontId="19" fillId="0" borderId="0" xfId="15" applyNumberFormat="1" applyFont="1" applyBorder="1" applyAlignment="1">
      <alignment/>
    </xf>
    <xf numFmtId="37" fontId="4" fillId="0" borderId="0" xfId="25" applyNumberFormat="1" applyFont="1" applyAlignment="1">
      <alignment/>
      <protection/>
    </xf>
    <xf numFmtId="3" fontId="4" fillId="0" borderId="3" xfId="25" applyNumberFormat="1" applyFont="1" applyBorder="1" applyAlignment="1">
      <alignment/>
      <protection/>
    </xf>
    <xf numFmtId="0" fontId="4" fillId="0" borderId="0" xfId="25" applyFont="1" applyBorder="1" applyAlignment="1">
      <alignment/>
      <protection/>
    </xf>
    <xf numFmtId="0" fontId="4" fillId="0" borderId="0" xfId="25" applyNumberFormat="1" applyFont="1" applyBorder="1" applyAlignment="1">
      <alignment horizontal="centerContinuous"/>
      <protection/>
    </xf>
    <xf numFmtId="0" fontId="4" fillId="0" borderId="0" xfId="25" applyNumberFormat="1" applyFont="1" applyBorder="1" applyAlignment="1">
      <alignment horizontal="center"/>
      <protection/>
    </xf>
    <xf numFmtId="0" fontId="4" fillId="0" borderId="0" xfId="25" applyFont="1" applyBorder="1" applyAlignment="1">
      <alignment horizontal="center"/>
      <protection/>
    </xf>
    <xf numFmtId="2" fontId="4" fillId="0" borderId="0" xfId="25" applyNumberFormat="1" applyFont="1" applyBorder="1" applyAlignment="1">
      <alignment/>
      <protection/>
    </xf>
    <xf numFmtId="4" fontId="4" fillId="0" borderId="0" xfId="25" applyNumberFormat="1" applyFont="1" applyBorder="1" applyAlignment="1">
      <alignment/>
      <protection/>
    </xf>
    <xf numFmtId="2" fontId="4" fillId="0" borderId="0" xfId="25" applyNumberFormat="1" applyFont="1" applyBorder="1" applyAlignment="1">
      <alignment horizontal="right"/>
      <protection/>
    </xf>
    <xf numFmtId="165" fontId="4" fillId="0" borderId="0" xfId="25" applyNumberFormat="1" applyFont="1" applyBorder="1" applyAlignment="1">
      <alignment horizontal="center"/>
      <protection/>
    </xf>
    <xf numFmtId="44" fontId="4" fillId="0" borderId="0" xfId="16" applyFont="1" applyBorder="1" applyAlignment="1">
      <alignment/>
    </xf>
    <xf numFmtId="44" fontId="4" fillId="0" borderId="0" xfId="25" applyNumberFormat="1" applyFont="1" applyBorder="1" applyAlignment="1">
      <alignment/>
      <protection/>
    </xf>
    <xf numFmtId="43" fontId="4" fillId="0" borderId="0" xfId="15" applyFont="1" applyBorder="1" applyAlignment="1">
      <alignment/>
    </xf>
    <xf numFmtId="37" fontId="4" fillId="0" borderId="3" xfId="0" applyNumberFormat="1" applyFont="1" applyBorder="1" applyAlignment="1">
      <alignment/>
    </xf>
    <xf numFmtId="37" fontId="8" fillId="0" borderId="0" xfId="0" applyNumberFormat="1" applyFont="1" applyBorder="1" applyAlignment="1">
      <alignment/>
    </xf>
    <xf numFmtId="181" fontId="0" fillId="0" borderId="0" xfId="24" applyNumberFormat="1" applyFont="1" applyAlignment="1">
      <alignment/>
      <protection/>
    </xf>
    <xf numFmtId="182" fontId="22" fillId="0" borderId="0" xfId="15" applyNumberFormat="1" applyFont="1" applyAlignment="1">
      <alignment/>
    </xf>
    <xf numFmtId="182" fontId="0" fillId="0" borderId="0" xfId="20" applyNumberFormat="1" applyFont="1" applyAlignment="1">
      <alignment/>
      <protection/>
    </xf>
    <xf numFmtId="181" fontId="8" fillId="0" borderId="0" xfId="15" applyNumberFormat="1" applyFont="1" applyBorder="1" applyAlignment="1">
      <alignment horizontal="center"/>
    </xf>
    <xf numFmtId="182" fontId="12" fillId="0" borderId="0" xfId="20" applyNumberFormat="1" applyFont="1" applyAlignment="1">
      <alignment/>
      <protection/>
    </xf>
    <xf numFmtId="43" fontId="22" fillId="0" borderId="0" xfId="15" applyNumberFormat="1" applyFont="1" applyAlignment="1">
      <alignment/>
    </xf>
    <xf numFmtId="43" fontId="22" fillId="0" borderId="0" xfId="20" applyNumberFormat="1" applyFont="1" applyAlignment="1">
      <alignment/>
      <protection/>
    </xf>
    <xf numFmtId="43" fontId="0" fillId="0" borderId="0" xfId="15" applyNumberFormat="1" applyFont="1" applyAlignment="1">
      <alignment/>
    </xf>
    <xf numFmtId="39" fontId="8" fillId="0" borderId="0" xfId="0" applyNumberFormat="1" applyFont="1" applyBorder="1" applyAlignment="1">
      <alignment/>
    </xf>
    <xf numFmtId="181" fontId="8" fillId="0" borderId="0" xfId="15" applyNumberFormat="1" applyFont="1" applyBorder="1" applyAlignment="1">
      <alignment horizontal="center"/>
    </xf>
    <xf numFmtId="181" fontId="8" fillId="0" borderId="0" xfId="15" applyNumberFormat="1" applyFont="1" applyBorder="1" applyAlignment="1">
      <alignment horizontal="center"/>
    </xf>
    <xf numFmtId="0" fontId="0" fillId="0" borderId="0" xfId="20" applyFont="1" applyAlignment="1">
      <alignment horizontal="center"/>
      <protection/>
    </xf>
    <xf numFmtId="182" fontId="0" fillId="0" borderId="0" xfId="15" applyNumberFormat="1" applyFont="1" applyAlignment="1">
      <alignment horizontal="center"/>
    </xf>
    <xf numFmtId="182" fontId="4" fillId="0" borderId="0" xfId="15" applyNumberFormat="1" applyFont="1" applyAlignment="1">
      <alignment horizontal="center"/>
    </xf>
    <xf numFmtId="182" fontId="4" fillId="0" borderId="3" xfId="15" applyNumberFormat="1" applyFont="1" applyBorder="1" applyAlignment="1">
      <alignment horizontal="center"/>
    </xf>
    <xf numFmtId="182" fontId="4" fillId="0" borderId="0" xfId="15" applyNumberFormat="1" applyFont="1" applyAlignment="1">
      <alignment horizontal="center"/>
    </xf>
    <xf numFmtId="182" fontId="4" fillId="0" borderId="0" xfId="15" applyNumberFormat="1" applyFont="1" applyBorder="1" applyAlignment="1">
      <alignment horizontal="center"/>
    </xf>
    <xf numFmtId="182" fontId="8" fillId="0" borderId="0" xfId="15" applyNumberFormat="1" applyFont="1" applyBorder="1" applyAlignment="1">
      <alignment horizontal="center"/>
    </xf>
    <xf numFmtId="182" fontId="25" fillId="0" borderId="0" xfId="15" applyNumberFormat="1" applyFont="1" applyBorder="1" applyAlignment="1">
      <alignment horizontal="center"/>
    </xf>
    <xf numFmtId="182" fontId="4" fillId="0" borderId="0" xfId="15" applyNumberFormat="1" applyFont="1" applyBorder="1" applyAlignment="1">
      <alignment horizontal="center"/>
    </xf>
    <xf numFmtId="182" fontId="4" fillId="0" borderId="0" xfId="15" applyNumberFormat="1" applyFont="1" applyFill="1" applyAlignment="1">
      <alignment horizontal="center"/>
    </xf>
    <xf numFmtId="182" fontId="4" fillId="0" borderId="0" xfId="15" applyNumberFormat="1" applyFont="1" applyAlignment="1">
      <alignment/>
    </xf>
    <xf numFmtId="0" fontId="19" fillId="0" borderId="0" xfId="0" applyNumberFormat="1" applyFont="1" applyBorder="1" applyAlignment="1">
      <alignment horizontal="centerContinuous"/>
    </xf>
    <xf numFmtId="14" fontId="0" fillId="0" borderId="0" xfId="0" applyNumberFormat="1" applyFont="1" applyAlignment="1" quotePrefix="1">
      <alignment horizontal="center"/>
    </xf>
    <xf numFmtId="14" fontId="0" fillId="0" borderId="0" xfId="0" applyNumberFormat="1" applyFont="1" applyAlignment="1">
      <alignment horizontal="center"/>
    </xf>
    <xf numFmtId="167" fontId="0" fillId="0" borderId="0" xfId="0" applyNumberFormat="1" applyFont="1" applyAlignment="1">
      <alignment horizontal="right"/>
    </xf>
    <xf numFmtId="167" fontId="0" fillId="0" borderId="0" xfId="0" applyNumberFormat="1" applyFont="1" applyAlignment="1" quotePrefix="1">
      <alignment horizontal="right"/>
    </xf>
    <xf numFmtId="191" fontId="0" fillId="0" borderId="0" xfId="26" applyNumberFormat="1" applyFont="1" applyAlignment="1" quotePrefix="1">
      <alignment horizontal="right"/>
      <protection/>
    </xf>
    <xf numFmtId="191" fontId="0" fillId="0" borderId="0" xfId="0" applyNumberFormat="1" applyFont="1" applyAlignment="1">
      <alignment horizontal="right"/>
    </xf>
    <xf numFmtId="181" fontId="10" fillId="0" borderId="0" xfId="15" applyNumberFormat="1" applyFont="1" applyAlignment="1">
      <alignment/>
    </xf>
    <xf numFmtId="41" fontId="0" fillId="0" borderId="4" xfId="26" applyNumberFormat="1" applyFont="1" applyBorder="1" applyAlignment="1">
      <alignment/>
      <protection/>
    </xf>
    <xf numFmtId="43" fontId="4" fillId="0" borderId="0" xfId="0" applyNumberFormat="1" applyFont="1" applyAlignment="1">
      <alignment/>
    </xf>
    <xf numFmtId="167" fontId="4" fillId="0" borderId="0" xfId="0" applyNumberFormat="1" applyFont="1" applyFill="1" applyAlignment="1">
      <alignment horizontal="right"/>
    </xf>
    <xf numFmtId="181" fontId="19" fillId="0" borderId="0" xfId="15" applyNumberFormat="1" applyFont="1" applyAlignment="1">
      <alignment/>
    </xf>
    <xf numFmtId="0" fontId="4" fillId="0" borderId="3" xfId="0" applyNumberFormat="1" applyFont="1" applyBorder="1" applyAlignment="1">
      <alignment horizontal="center"/>
    </xf>
    <xf numFmtId="43" fontId="4" fillId="0" borderId="0" xfId="15" applyFont="1" applyAlignment="1">
      <alignment/>
    </xf>
    <xf numFmtId="44" fontId="4" fillId="0" borderId="0" xfId="16" applyFont="1" applyBorder="1" applyAlignment="1">
      <alignment/>
    </xf>
    <xf numFmtId="43" fontId="4" fillId="0" borderId="0" xfId="15" applyNumberFormat="1" applyFont="1" applyAlignment="1">
      <alignment/>
    </xf>
    <xf numFmtId="43" fontId="4" fillId="0" borderId="3" xfId="15" applyFont="1" applyBorder="1" applyAlignment="1">
      <alignment/>
    </xf>
    <xf numFmtId="182" fontId="0" fillId="0" borderId="0" xfId="15" applyNumberFormat="1" applyFont="1" applyAlignment="1">
      <alignment/>
    </xf>
    <xf numFmtId="165" fontId="4" fillId="0" borderId="0" xfId="25" applyNumberFormat="1" applyFont="1" applyAlignment="1">
      <alignment/>
      <protection/>
    </xf>
    <xf numFmtId="4" fontId="4" fillId="0" borderId="0" xfId="25" applyNumberFormat="1" applyFont="1" applyAlignment="1">
      <alignment/>
      <protection/>
    </xf>
    <xf numFmtId="181" fontId="4" fillId="0" borderId="3" xfId="15" applyNumberFormat="1" applyFont="1" applyBorder="1" applyAlignment="1">
      <alignment horizontal="right"/>
    </xf>
    <xf numFmtId="42" fontId="4" fillId="0" borderId="0" xfId="15" applyNumberFormat="1" applyFont="1" applyAlignment="1">
      <alignment/>
    </xf>
    <xf numFmtId="37" fontId="4" fillId="0" borderId="0" xfId="0" applyNumberFormat="1" applyFont="1" applyBorder="1" applyAlignment="1">
      <alignment horizontal="center"/>
    </xf>
    <xf numFmtId="0" fontId="4" fillId="0" borderId="0" xfId="0" applyNumberFormat="1" applyFont="1" applyBorder="1" applyAlignment="1">
      <alignment horizontal="centerContinuous"/>
    </xf>
    <xf numFmtId="177" fontId="4" fillId="0" borderId="0" xfId="0" applyNumberFormat="1" applyFont="1" applyBorder="1" applyAlignment="1">
      <alignment/>
    </xf>
    <xf numFmtId="164" fontId="4" fillId="0" borderId="0" xfId="0" applyNumberFormat="1" applyFont="1" applyBorder="1" applyAlignment="1">
      <alignment/>
    </xf>
    <xf numFmtId="175" fontId="4" fillId="0" borderId="0" xfId="0" applyNumberFormat="1" applyFont="1" applyAlignment="1">
      <alignment/>
    </xf>
    <xf numFmtId="175" fontId="4" fillId="0" borderId="0" xfId="0" applyNumberFormat="1" applyFont="1" applyBorder="1" applyAlignment="1">
      <alignment/>
    </xf>
    <xf numFmtId="175" fontId="4" fillId="0" borderId="3" xfId="0" applyNumberFormat="1" applyFont="1" applyBorder="1" applyAlignment="1">
      <alignment/>
    </xf>
    <xf numFmtId="184" fontId="8" fillId="0" borderId="0" xfId="0" applyNumberFormat="1" applyFont="1" applyAlignment="1">
      <alignment/>
    </xf>
    <xf numFmtId="0" fontId="0" fillId="0" borderId="0" xfId="23" applyFont="1" applyBorder="1" applyAlignment="1">
      <alignment/>
      <protection/>
    </xf>
    <xf numFmtId="3" fontId="0" fillId="0" borderId="0" xfId="23" applyNumberFormat="1" applyFont="1" applyBorder="1" applyAlignment="1">
      <alignment/>
      <protection/>
    </xf>
    <xf numFmtId="164" fontId="4" fillId="0" borderId="0" xfId="23" applyNumberFormat="1" applyFont="1" applyBorder="1" applyAlignment="1">
      <alignment/>
      <protection/>
    </xf>
    <xf numFmtId="181" fontId="4" fillId="0" borderId="0" xfId="15" applyNumberFormat="1" applyFont="1" applyBorder="1" applyAlignment="1">
      <alignment/>
    </xf>
    <xf numFmtId="37" fontId="4" fillId="0" borderId="0" xfId="23" applyNumberFormat="1" applyFont="1" applyBorder="1" applyAlignment="1">
      <alignment/>
      <protection/>
    </xf>
    <xf numFmtId="172" fontId="0" fillId="0" borderId="0" xfId="23" applyNumberFormat="1" applyFont="1" applyBorder="1" applyAlignment="1">
      <alignment/>
      <protection/>
    </xf>
    <xf numFmtId="183" fontId="0" fillId="0" borderId="0" xfId="26" applyFont="1" applyBorder="1" applyAlignment="1">
      <alignment horizontal="center"/>
      <protection/>
    </xf>
    <xf numFmtId="0" fontId="0" fillId="0" borderId="0" xfId="0" applyNumberFormat="1" applyFont="1" applyBorder="1" applyAlignment="1" quotePrefix="1">
      <alignment horizontal="center"/>
    </xf>
    <xf numFmtId="0" fontId="0" fillId="0" borderId="0" xfId="0" applyNumberFormat="1" applyFont="1" applyAlignment="1">
      <alignment horizontal="center"/>
    </xf>
    <xf numFmtId="0" fontId="4" fillId="0" borderId="0" xfId="0" applyNumberFormat="1" applyFont="1" applyAlignment="1">
      <alignment horizontal="center"/>
    </xf>
    <xf numFmtId="0" fontId="4" fillId="0" borderId="0" xfId="0" applyNumberFormat="1" applyFont="1" applyAlignment="1">
      <alignment horizontal="justify" vertical="top" wrapText="1"/>
    </xf>
    <xf numFmtId="0" fontId="4" fillId="0" borderId="0" xfId="0" applyNumberFormat="1" applyFont="1" applyAlignment="1">
      <alignment horizontal="justify" wrapText="1"/>
    </xf>
    <xf numFmtId="0" fontId="4" fillId="0" borderId="0" xfId="22" applyNumberFormat="1" applyFont="1" applyAlignment="1">
      <alignment horizontal="justify" vertical="top" wrapText="1"/>
      <protection/>
    </xf>
    <xf numFmtId="0" fontId="4" fillId="0" borderId="0" xfId="0" applyNumberFormat="1" applyFont="1" applyAlignment="1">
      <alignment horizontal="justify"/>
    </xf>
    <xf numFmtId="0" fontId="4" fillId="0" borderId="0" xfId="0" applyNumberFormat="1" applyFont="1" applyAlignment="1">
      <alignment horizontal="left" wrapText="1"/>
    </xf>
    <xf numFmtId="0" fontId="4" fillId="0" borderId="0" xfId="23" applyNumberFormat="1" applyFont="1" applyAlignment="1">
      <alignment horizontal="justify" vertical="top" wrapText="1"/>
      <protection/>
    </xf>
    <xf numFmtId="0" fontId="4" fillId="0" borderId="0" xfId="19" applyNumberFormat="1" applyFont="1" applyAlignment="1">
      <alignment horizontal="justify" vertical="top" wrapText="1"/>
      <protection/>
    </xf>
    <xf numFmtId="0" fontId="4" fillId="0" borderId="0" xfId="23" applyNumberFormat="1" applyFont="1" applyAlignment="1">
      <alignment horizontal="center"/>
      <protection/>
    </xf>
    <xf numFmtId="0" fontId="4" fillId="0" borderId="5" xfId="23" applyNumberFormat="1" applyFont="1" applyBorder="1" applyAlignment="1">
      <alignment horizontal="center"/>
      <protection/>
    </xf>
    <xf numFmtId="0" fontId="0" fillId="0" borderId="0" xfId="0" applyNumberFormat="1" applyFont="1" applyAlignment="1">
      <alignment horizontal="center"/>
    </xf>
    <xf numFmtId="0" fontId="4" fillId="0" borderId="0" xfId="24" applyNumberFormat="1" applyFont="1" applyAlignment="1">
      <alignment horizontal="justify" vertical="top" wrapText="1"/>
      <protection/>
    </xf>
    <xf numFmtId="0" fontId="4" fillId="0" borderId="0" xfId="0" applyNumberFormat="1" applyFont="1" applyAlignment="1">
      <alignment/>
    </xf>
    <xf numFmtId="0" fontId="4" fillId="0" borderId="0" xfId="20" applyNumberFormat="1" applyFont="1" applyAlignment="1">
      <alignment horizontal="justify" vertical="top" wrapText="1"/>
      <protection/>
    </xf>
    <xf numFmtId="0" fontId="4" fillId="0" borderId="0" xfId="21" applyNumberFormat="1" applyFont="1" applyAlignment="1">
      <alignment horizontal="justify" vertical="top" wrapText="1"/>
      <protection/>
    </xf>
    <xf numFmtId="0" fontId="4" fillId="0" borderId="0" xfId="21" applyNumberFormat="1" applyFont="1" applyAlignment="1">
      <alignment horizontal="center"/>
      <protection/>
    </xf>
    <xf numFmtId="0" fontId="0" fillId="0" borderId="0" xfId="0" applyNumberFormat="1" applyFont="1" applyAlignment="1">
      <alignment horizontal="center"/>
    </xf>
    <xf numFmtId="0" fontId="9" fillId="0" borderId="0" xfId="25" applyFont="1" applyBorder="1" applyAlignment="1">
      <alignment horizontal="center"/>
      <protection/>
    </xf>
    <xf numFmtId="0" fontId="4" fillId="0" borderId="5" xfId="0" applyNumberFormat="1" applyFont="1" applyBorder="1" applyAlignment="1">
      <alignment horizontal="center"/>
    </xf>
    <xf numFmtId="183" fontId="0" fillId="0" borderId="0" xfId="26" applyFont="1" applyBorder="1" applyAlignment="1">
      <alignment horizontal="center"/>
      <protection/>
    </xf>
    <xf numFmtId="183" fontId="0" fillId="0" borderId="3" xfId="26" applyFont="1" applyBorder="1" applyAlignment="1">
      <alignment horizontal="center"/>
      <protection/>
    </xf>
    <xf numFmtId="183" fontId="0" fillId="0" borderId="0" xfId="26" applyFont="1" applyAlignment="1">
      <alignment horizontal="center"/>
      <protection/>
    </xf>
    <xf numFmtId="183" fontId="0" fillId="0" borderId="3" xfId="26" applyFont="1" applyBorder="1" applyAlignment="1">
      <alignment horizontal="center"/>
      <protection/>
    </xf>
    <xf numFmtId="183" fontId="0" fillId="0" borderId="0" xfId="26" applyFont="1" applyAlignment="1">
      <alignment horizontal="center"/>
      <protection/>
    </xf>
    <xf numFmtId="183" fontId="26" fillId="0" borderId="0" xfId="26" applyFont="1" applyAlignment="1">
      <alignment horizontal="center"/>
      <protection/>
    </xf>
  </cellXfs>
  <cellStyles count="14">
    <cellStyle name="Normal" xfId="0"/>
    <cellStyle name="Comma" xfId="15"/>
    <cellStyle name="Currency" xfId="16"/>
    <cellStyle name="Followed Hyperlink" xfId="17"/>
    <cellStyle name="Hyperlink" xfId="18"/>
    <cellStyle name="Normal_F   5" xfId="19"/>
    <cellStyle name="Normal_F   6   7" xfId="20"/>
    <cellStyle name="Normal_F   8  9  10" xfId="21"/>
    <cellStyle name="Normal_F 2 B" xfId="22"/>
    <cellStyle name="Normal_F 3B 4B" xfId="23"/>
    <cellStyle name="Normal_F 5B" xfId="24"/>
    <cellStyle name="Normal_MetersServices" xfId="25"/>
    <cellStyle name="Normal_Sch M"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831"/>
  <sheetViews>
    <sheetView tabSelected="1" workbookViewId="0" topLeftCell="A1">
      <selection activeCell="AD177" sqref="AD177:AQ180"/>
    </sheetView>
  </sheetViews>
  <sheetFormatPr defaultColWidth="8.88671875" defaultRowHeight="12.75"/>
  <cols>
    <col min="1" max="1" width="10.77734375" style="352" customWidth="1"/>
    <col min="2" max="2" width="9.4453125" style="443" customWidth="1"/>
    <col min="3" max="3" width="2.3359375" style="353" customWidth="1"/>
    <col min="4" max="4" width="33.10546875" style="140" customWidth="1"/>
    <col min="5" max="5" width="1.4375" style="140" customWidth="1"/>
    <col min="6" max="6" width="4.6640625" style="151" customWidth="1"/>
    <col min="7" max="7" width="1.4375" style="135" customWidth="1"/>
    <col min="8" max="8" width="11.77734375" style="154" bestFit="1" customWidth="1"/>
    <col min="9" max="9" width="2.99609375" style="135" customWidth="1"/>
    <col min="10" max="10" width="11.77734375" style="154" customWidth="1"/>
    <col min="11" max="11" width="1.4375" style="154" customWidth="1"/>
    <col min="12" max="12" width="10.5546875" style="154" customWidth="1"/>
    <col min="13" max="13" width="1.4375" style="154" customWidth="1"/>
    <col min="14" max="14" width="10.88671875" style="154" customWidth="1"/>
    <col min="15" max="15" width="1.5625" style="154" customWidth="1"/>
    <col min="16" max="16" width="10.3359375" style="154" customWidth="1"/>
    <col min="17" max="17" width="1.4375" style="154" customWidth="1"/>
    <col min="18" max="18" width="9.99609375" style="154" customWidth="1"/>
    <col min="19" max="19" width="1.5625" style="154" customWidth="1"/>
    <col min="20" max="20" width="9.88671875" style="154" customWidth="1"/>
    <col min="21" max="21" width="2.4453125" style="0" customWidth="1"/>
    <col min="22" max="22" width="9.3359375" style="0" customWidth="1"/>
    <col min="23" max="23" width="12.3359375" style="0" customWidth="1"/>
    <col min="24" max="24" width="1.77734375" style="0" customWidth="1"/>
    <col min="25" max="25" width="33.10546875" style="135" customWidth="1"/>
    <col min="26" max="26" width="1.33203125" style="0" customWidth="1"/>
    <col min="27" max="27" width="3.99609375" style="0" customWidth="1"/>
    <col min="28" max="28" width="1.66796875" style="0" customWidth="1"/>
    <col min="29" max="29" width="11.77734375" style="0" bestFit="1" customWidth="1"/>
    <col min="30" max="30" width="2.5546875" style="0" customWidth="1"/>
    <col min="31" max="31" width="11.5546875" style="0" bestFit="1" customWidth="1"/>
    <col min="32" max="32" width="0.9921875" style="0" customWidth="1"/>
    <col min="33" max="33" width="10.77734375" style="0" bestFit="1" customWidth="1"/>
    <col min="34" max="34" width="1.2265625" style="0" customWidth="1"/>
    <col min="35" max="35" width="9.6640625" style="0" customWidth="1"/>
    <col min="36" max="36" width="1.2265625" style="0" customWidth="1"/>
    <col min="37" max="37" width="10.10546875" style="0" customWidth="1"/>
    <col min="38" max="38" width="0.88671875" style="0" customWidth="1"/>
    <col min="39" max="39" width="11.10546875" style="0" customWidth="1"/>
    <col min="40" max="40" width="0.88671875" style="0" customWidth="1"/>
    <col min="41" max="41" width="10.77734375" style="0" customWidth="1"/>
    <col min="42" max="42" width="0.78125" style="0" customWidth="1"/>
    <col min="43" max="43" width="9.77734375" style="0" customWidth="1"/>
    <col min="44" max="44" width="3.21484375" style="0" customWidth="1"/>
    <col min="45" max="45" width="10.21484375" style="0" customWidth="1"/>
  </cols>
  <sheetData>
    <row r="1" spans="1:43" s="141" customFormat="1" ht="15">
      <c r="A1" s="352"/>
      <c r="B1" s="440"/>
      <c r="C1" s="351"/>
      <c r="D1" s="488" t="s">
        <v>369</v>
      </c>
      <c r="E1" s="488"/>
      <c r="F1" s="488"/>
      <c r="G1" s="488"/>
      <c r="H1" s="488"/>
      <c r="I1" s="488"/>
      <c r="J1" s="488"/>
      <c r="K1" s="488"/>
      <c r="L1" s="488"/>
      <c r="M1" s="488"/>
      <c r="N1" s="488"/>
      <c r="O1" s="488"/>
      <c r="P1" s="488"/>
      <c r="Q1" s="488"/>
      <c r="R1" s="488"/>
      <c r="S1" s="488"/>
      <c r="T1" s="488"/>
      <c r="Y1" s="488" t="s">
        <v>369</v>
      </c>
      <c r="Z1" s="488"/>
      <c r="AA1" s="488"/>
      <c r="AB1" s="488"/>
      <c r="AC1" s="488"/>
      <c r="AD1" s="488"/>
      <c r="AE1" s="488"/>
      <c r="AF1" s="488"/>
      <c r="AG1" s="488"/>
      <c r="AH1" s="488"/>
      <c r="AI1" s="488"/>
      <c r="AJ1" s="488"/>
      <c r="AK1" s="488"/>
      <c r="AL1" s="488"/>
      <c r="AM1" s="488"/>
      <c r="AN1" s="488"/>
      <c r="AO1" s="488"/>
      <c r="AP1" s="488"/>
      <c r="AQ1" s="488"/>
    </row>
    <row r="2" spans="1:43" s="141" customFormat="1" ht="13.5" customHeight="1">
      <c r="A2" s="352"/>
      <c r="B2" s="440"/>
      <c r="C2" s="351"/>
      <c r="D2" s="489"/>
      <c r="E2" s="489"/>
      <c r="F2" s="489"/>
      <c r="G2" s="489"/>
      <c r="H2" s="489"/>
      <c r="I2" s="489"/>
      <c r="J2" s="489"/>
      <c r="K2" s="489"/>
      <c r="L2" s="489"/>
      <c r="M2" s="489"/>
      <c r="N2" s="489"/>
      <c r="O2" s="489"/>
      <c r="P2" s="489"/>
      <c r="Q2" s="489"/>
      <c r="R2" s="489"/>
      <c r="S2" s="489"/>
      <c r="T2" s="489"/>
      <c r="Y2" s="489"/>
      <c r="Z2" s="489"/>
      <c r="AA2" s="489"/>
      <c r="AB2" s="489"/>
      <c r="AC2" s="489"/>
      <c r="AD2" s="489"/>
      <c r="AE2" s="489"/>
      <c r="AF2" s="489"/>
      <c r="AG2" s="489"/>
      <c r="AH2" s="489"/>
      <c r="AI2" s="489"/>
      <c r="AJ2" s="489"/>
      <c r="AK2" s="489"/>
      <c r="AL2" s="489"/>
      <c r="AM2" s="489"/>
      <c r="AN2" s="489"/>
      <c r="AO2" s="489"/>
      <c r="AP2" s="489"/>
      <c r="AQ2" s="489"/>
    </row>
    <row r="3" spans="1:43" s="141" customFormat="1" ht="15.75" customHeight="1">
      <c r="A3" s="352"/>
      <c r="B3" s="440"/>
      <c r="C3" s="351"/>
      <c r="D3" s="488" t="s">
        <v>370</v>
      </c>
      <c r="E3" s="488"/>
      <c r="F3" s="488"/>
      <c r="G3" s="488"/>
      <c r="H3" s="488"/>
      <c r="I3" s="488"/>
      <c r="J3" s="488"/>
      <c r="K3" s="488"/>
      <c r="L3" s="488"/>
      <c r="M3" s="488"/>
      <c r="N3" s="488"/>
      <c r="O3" s="488"/>
      <c r="P3" s="488"/>
      <c r="Q3" s="488"/>
      <c r="R3" s="488"/>
      <c r="S3" s="488"/>
      <c r="T3" s="488"/>
      <c r="Y3" s="488" t="s">
        <v>159</v>
      </c>
      <c r="Z3" s="488"/>
      <c r="AA3" s="488"/>
      <c r="AB3" s="488"/>
      <c r="AC3" s="488"/>
      <c r="AD3" s="488"/>
      <c r="AE3" s="488"/>
      <c r="AF3" s="488"/>
      <c r="AG3" s="488"/>
      <c r="AH3" s="488"/>
      <c r="AI3" s="488"/>
      <c r="AJ3" s="488"/>
      <c r="AK3" s="488"/>
      <c r="AL3" s="488"/>
      <c r="AM3" s="488"/>
      <c r="AN3" s="488"/>
      <c r="AO3" s="488"/>
      <c r="AP3" s="488"/>
      <c r="AQ3" s="488"/>
    </row>
    <row r="4" spans="1:20" s="141" customFormat="1" ht="11.25" customHeight="1">
      <c r="A4" s="352"/>
      <c r="B4" s="440"/>
      <c r="C4" s="351"/>
      <c r="D4" s="188"/>
      <c r="E4" s="188"/>
      <c r="F4" s="188"/>
      <c r="G4" s="188"/>
      <c r="H4" s="188"/>
      <c r="I4" s="188"/>
      <c r="J4" s="188"/>
      <c r="K4" s="188"/>
      <c r="L4" s="188"/>
      <c r="M4" s="188"/>
      <c r="N4" s="188"/>
      <c r="O4" s="188"/>
      <c r="P4" s="188"/>
      <c r="Q4" s="188"/>
      <c r="R4" s="188"/>
      <c r="S4" s="188"/>
      <c r="T4" s="188"/>
    </row>
    <row r="5" spans="1:20" s="137" customFormat="1" ht="7.5" customHeight="1">
      <c r="A5" s="352"/>
      <c r="B5" s="441"/>
      <c r="C5" s="352"/>
      <c r="D5" s="142"/>
      <c r="E5" s="142"/>
      <c r="F5" s="150"/>
      <c r="G5" s="142"/>
      <c r="H5" s="155"/>
      <c r="I5" s="142"/>
      <c r="J5" s="155"/>
      <c r="K5" s="156"/>
      <c r="L5"/>
      <c r="M5"/>
      <c r="N5"/>
      <c r="O5"/>
      <c r="P5"/>
      <c r="Q5"/>
      <c r="R5"/>
      <c r="S5"/>
      <c r="T5"/>
    </row>
    <row r="6" spans="1:43" s="137" customFormat="1" ht="15" customHeight="1">
      <c r="A6" s="352"/>
      <c r="B6" s="441"/>
      <c r="C6" s="352"/>
      <c r="D6" s="142"/>
      <c r="E6" s="142"/>
      <c r="F6" s="150" t="s">
        <v>57</v>
      </c>
      <c r="G6" s="142"/>
      <c r="H6" s="155" t="s">
        <v>450</v>
      </c>
      <c r="I6" s="142"/>
      <c r="J6" s="155"/>
      <c r="K6" s="156"/>
      <c r="L6"/>
      <c r="M6"/>
      <c r="N6"/>
      <c r="O6"/>
      <c r="P6" s="144" t="s">
        <v>239</v>
      </c>
      <c r="Q6" s="144"/>
      <c r="R6" s="144" t="s">
        <v>426</v>
      </c>
      <c r="S6" s="384"/>
      <c r="T6" s="384" t="s">
        <v>293</v>
      </c>
      <c r="AO6" s="137" t="s">
        <v>291</v>
      </c>
      <c r="AQ6" s="137" t="s">
        <v>293</v>
      </c>
    </row>
    <row r="7" spans="1:43" s="144" customFormat="1" ht="11.25" customHeight="1">
      <c r="A7" s="352"/>
      <c r="B7" s="442" t="s">
        <v>441</v>
      </c>
      <c r="C7" s="352"/>
      <c r="D7" s="145" t="s">
        <v>451</v>
      </c>
      <c r="E7" s="143"/>
      <c r="F7" s="153" t="s">
        <v>449</v>
      </c>
      <c r="G7" s="142"/>
      <c r="H7" s="158" t="s">
        <v>185</v>
      </c>
      <c r="I7" s="142"/>
      <c r="J7" s="158" t="s">
        <v>61</v>
      </c>
      <c r="K7" s="156"/>
      <c r="L7" s="157" t="s">
        <v>62</v>
      </c>
      <c r="M7" s="156"/>
      <c r="N7" s="157" t="s">
        <v>63</v>
      </c>
      <c r="O7" s="156"/>
      <c r="P7" s="157" t="s">
        <v>453</v>
      </c>
      <c r="Q7" s="156"/>
      <c r="R7" s="157" t="s">
        <v>231</v>
      </c>
      <c r="S7" s="472"/>
      <c r="T7" s="157" t="s">
        <v>237</v>
      </c>
      <c r="Y7" s="137"/>
      <c r="Z7" s="137"/>
      <c r="AA7" s="137"/>
      <c r="AB7" s="137"/>
      <c r="AC7" s="137"/>
      <c r="AD7" s="137"/>
      <c r="AE7" s="137" t="s">
        <v>288</v>
      </c>
      <c r="AF7" s="137"/>
      <c r="AG7" s="137" t="s">
        <v>289</v>
      </c>
      <c r="AH7" s="137"/>
      <c r="AI7" s="137" t="s">
        <v>290</v>
      </c>
      <c r="AJ7" s="137"/>
      <c r="AK7" s="137" t="s">
        <v>260</v>
      </c>
      <c r="AL7" s="137"/>
      <c r="AM7" s="137" t="s">
        <v>189</v>
      </c>
      <c r="AN7" s="137"/>
      <c r="AO7" s="137" t="s">
        <v>292</v>
      </c>
      <c r="AP7" s="137"/>
      <c r="AQ7" s="137" t="s">
        <v>237</v>
      </c>
    </row>
    <row r="8" spans="1:25" s="152" customFormat="1" ht="14.25" customHeight="1">
      <c r="A8" s="352"/>
      <c r="B8" s="443"/>
      <c r="C8" s="352"/>
      <c r="D8" s="148">
        <v>-1</v>
      </c>
      <c r="E8" s="149"/>
      <c r="F8" s="148">
        <v>-2</v>
      </c>
      <c r="G8" s="150"/>
      <c r="H8" s="155">
        <v>-3</v>
      </c>
      <c r="I8" s="150"/>
      <c r="J8" s="155">
        <v>-4</v>
      </c>
      <c r="K8" s="156"/>
      <c r="L8" s="156">
        <v>-5</v>
      </c>
      <c r="M8" s="156"/>
      <c r="N8" s="156">
        <v>-6</v>
      </c>
      <c r="O8" s="156"/>
      <c r="P8" s="156">
        <v>-7</v>
      </c>
      <c r="Q8" s="156"/>
      <c r="R8" s="156">
        <v>-8</v>
      </c>
      <c r="S8" s="156"/>
      <c r="T8" s="156">
        <f>+R8-1</f>
        <v>-9</v>
      </c>
      <c r="Y8" s="151"/>
    </row>
    <row r="9" spans="1:27" s="144" customFormat="1" ht="12.75">
      <c r="A9" s="352"/>
      <c r="B9" s="443"/>
      <c r="C9" s="352"/>
      <c r="D9" s="143"/>
      <c r="E9" s="143"/>
      <c r="F9" s="148"/>
      <c r="G9" s="142"/>
      <c r="H9" s="155"/>
      <c r="I9" s="142"/>
      <c r="J9" s="155"/>
      <c r="K9" s="156"/>
      <c r="L9" s="156"/>
      <c r="M9" s="156"/>
      <c r="N9" s="156"/>
      <c r="O9" s="156"/>
      <c r="P9" s="156"/>
      <c r="Q9" s="156"/>
      <c r="R9" s="156"/>
      <c r="S9" s="156"/>
      <c r="T9" s="156"/>
      <c r="X9" s="352"/>
      <c r="Y9" s="143"/>
      <c r="Z9" s="143"/>
      <c r="AA9" s="148"/>
    </row>
    <row r="10" spans="4:27" ht="12.75">
      <c r="D10" s="221" t="s">
        <v>448</v>
      </c>
      <c r="E10" s="138"/>
      <c r="F10" s="150"/>
      <c r="G10" s="139"/>
      <c r="H10" s="146"/>
      <c r="I10" s="139"/>
      <c r="J10" s="146"/>
      <c r="W10" s="144"/>
      <c r="X10" s="353"/>
      <c r="Y10" s="221" t="s">
        <v>448</v>
      </c>
      <c r="Z10" s="138"/>
      <c r="AA10" s="150"/>
    </row>
    <row r="11" spans="4:27" ht="12.75">
      <c r="D11" s="386" t="s">
        <v>275</v>
      </c>
      <c r="E11" s="138"/>
      <c r="F11" s="150"/>
      <c r="G11" s="139"/>
      <c r="H11" s="146"/>
      <c r="I11" s="139"/>
      <c r="J11" s="146"/>
      <c r="W11" s="144"/>
      <c r="X11" s="353"/>
      <c r="Y11" s="386" t="s">
        <v>275</v>
      </c>
      <c r="Z11" s="138"/>
      <c r="AA11" s="150"/>
    </row>
    <row r="12" spans="4:27" ht="12.75">
      <c r="D12" s="387" t="s">
        <v>329</v>
      </c>
      <c r="E12" s="138"/>
      <c r="F12" s="150"/>
      <c r="G12" s="139"/>
      <c r="H12" s="146"/>
      <c r="I12" s="139"/>
      <c r="J12" s="146"/>
      <c r="W12" s="144"/>
      <c r="X12" s="353"/>
      <c r="Y12" s="387" t="s">
        <v>329</v>
      </c>
      <c r="Z12" s="138"/>
      <c r="AA12" s="150"/>
    </row>
    <row r="13" spans="4:27" ht="12.75">
      <c r="D13" s="388" t="s">
        <v>434</v>
      </c>
      <c r="E13" s="138"/>
      <c r="F13" s="150"/>
      <c r="G13" s="139"/>
      <c r="H13" s="146"/>
      <c r="I13" s="139"/>
      <c r="J13" s="146"/>
      <c r="W13" s="144"/>
      <c r="X13" s="353"/>
      <c r="Y13" s="388" t="s">
        <v>434</v>
      </c>
      <c r="Z13" s="138"/>
      <c r="AA13" s="150"/>
    </row>
    <row r="14" spans="2:45" ht="12.75">
      <c r="B14" s="443">
        <v>615.1</v>
      </c>
      <c r="D14" s="386" t="s">
        <v>330</v>
      </c>
      <c r="E14" s="138"/>
      <c r="F14" s="150">
        <v>1</v>
      </c>
      <c r="G14" s="139"/>
      <c r="H14" s="146">
        <v>760270.57</v>
      </c>
      <c r="I14" s="139"/>
      <c r="J14" s="218">
        <f>(VLOOKUP($F14,Factors,J$324))*$H14</f>
        <v>397545.481053</v>
      </c>
      <c r="K14" s="353"/>
      <c r="L14" s="218">
        <f>(VLOOKUP($F14,Factors,L$324))*$H14</f>
        <v>198126.51054199997</v>
      </c>
      <c r="M14" s="353"/>
      <c r="N14" s="218">
        <f>(VLOOKUP($F14,Factors,N$324))*$H14</f>
        <v>78383.895767</v>
      </c>
      <c r="O14" s="353"/>
      <c r="P14" s="218">
        <f>(VLOOKUP($F14,Factors,P$324))*$H14</f>
        <v>44399.801287999995</v>
      </c>
      <c r="Q14" s="353"/>
      <c r="R14" s="218">
        <f>(VLOOKUP($F14,Factors,R$324))*$H14</f>
        <v>37253.25793</v>
      </c>
      <c r="S14" s="353"/>
      <c r="T14" s="218">
        <f>(VLOOKUP($F14,Factors,T$324))*$H14</f>
        <v>4561.62342</v>
      </c>
      <c r="V14" s="214"/>
      <c r="W14" s="144">
        <v>615.1</v>
      </c>
      <c r="X14" s="353"/>
      <c r="Y14" s="386" t="s">
        <v>330</v>
      </c>
      <c r="Z14" s="138"/>
      <c r="AA14" s="399">
        <f>+F14</f>
        <v>1</v>
      </c>
      <c r="AB14" s="138"/>
      <c r="AC14" s="399">
        <f>+H14</f>
        <v>760270.57</v>
      </c>
      <c r="AE14" s="160">
        <f>(VLOOKUP($AA14,func,AE$324))*$AC14</f>
        <v>755708.94658</v>
      </c>
      <c r="AF14" s="160"/>
      <c r="AG14" s="160">
        <f>(VLOOKUP($AA14,func,AG$324))*$AC14</f>
        <v>0</v>
      </c>
      <c r="AH14" s="160"/>
      <c r="AI14" s="160">
        <f>(VLOOKUP($AA14,func,AI$324))*$AC14</f>
        <v>0</v>
      </c>
      <c r="AJ14" s="160"/>
      <c r="AK14" s="160">
        <f>(VLOOKUP($AA14,func,AK$324))*$AC14</f>
        <v>0</v>
      </c>
      <c r="AL14" s="160"/>
      <c r="AM14" s="160">
        <f>(VLOOKUP($AA14,func,AM$324))*$AC14</f>
        <v>0</v>
      </c>
      <c r="AN14" s="160"/>
      <c r="AO14" s="160">
        <f>(VLOOKUP($AA14,func,AO$324))*$AC14</f>
        <v>0</v>
      </c>
      <c r="AP14" s="160"/>
      <c r="AQ14" s="160">
        <f>(VLOOKUP($AA14,func,AQ$324))*$AC14</f>
        <v>4561.62342</v>
      </c>
      <c r="AS14" s="159"/>
    </row>
    <row r="15" spans="2:45" ht="12.75">
      <c r="B15" s="443">
        <v>635.1</v>
      </c>
      <c r="D15" s="386" t="s">
        <v>346</v>
      </c>
      <c r="E15" s="138"/>
      <c r="F15" s="150">
        <v>2</v>
      </c>
      <c r="G15" s="139"/>
      <c r="H15" s="147">
        <v>2404.94</v>
      </c>
      <c r="I15" s="139"/>
      <c r="J15" s="147">
        <f>(VLOOKUP($F15,Factors,J$324))*$H15</f>
        <v>1314.059216</v>
      </c>
      <c r="L15" s="215">
        <f>(VLOOKUP($F15,Factors,L$324))*$H15</f>
        <v>605.804386</v>
      </c>
      <c r="N15" s="215">
        <f>(VLOOKUP($F15,Factors,N$324))*$H15</f>
        <v>233.038686</v>
      </c>
      <c r="P15" s="215">
        <f>(VLOOKUP($F15,Factors,P$324))*$H15</f>
        <v>132.031206</v>
      </c>
      <c r="R15" s="215">
        <f>(VLOOKUP($F15,Factors,R$324))*$H15</f>
        <v>110.86773400000001</v>
      </c>
      <c r="T15" s="215">
        <f>(VLOOKUP($F15,Factors,T$324))*$H15</f>
        <v>9.138772</v>
      </c>
      <c r="W15" s="144">
        <v>635.1</v>
      </c>
      <c r="X15" s="353"/>
      <c r="Y15" s="386" t="s">
        <v>346</v>
      </c>
      <c r="Z15" s="138"/>
      <c r="AA15" s="399">
        <f>+F15</f>
        <v>2</v>
      </c>
      <c r="AB15" s="138"/>
      <c r="AC15" s="400">
        <f>+H15</f>
        <v>2404.94</v>
      </c>
      <c r="AE15" s="147">
        <f>(VLOOKUP($AA15,func,AE$324))*$AC15</f>
        <v>1493.948728</v>
      </c>
      <c r="AF15" s="160"/>
      <c r="AG15" s="147">
        <f>(VLOOKUP($AA15,func,AG$324))*$AC15</f>
        <v>901.8525</v>
      </c>
      <c r="AH15" s="160"/>
      <c r="AI15" s="147">
        <f>(VLOOKUP($AA15,func,AI$324))*$AC15</f>
        <v>0</v>
      </c>
      <c r="AJ15" s="160"/>
      <c r="AK15" s="147">
        <f>(VLOOKUP($AA15,func,AK$324))*$AC15</f>
        <v>0</v>
      </c>
      <c r="AL15" s="160"/>
      <c r="AM15" s="147">
        <f>(VLOOKUP($AA15,func,AM$324))*$AC15</f>
        <v>0</v>
      </c>
      <c r="AN15" s="160"/>
      <c r="AO15" s="147">
        <f>(VLOOKUP($AA15,func,AO$324))*$AC15</f>
        <v>0</v>
      </c>
      <c r="AP15" s="160"/>
      <c r="AQ15" s="147">
        <f>(VLOOKUP($AA15,func,AQ$324))*$AC15</f>
        <v>9.138772</v>
      </c>
      <c r="AS15" s="159"/>
    </row>
    <row r="16" spans="4:45" ht="12.75">
      <c r="D16" s="387" t="s">
        <v>371</v>
      </c>
      <c r="E16" s="138"/>
      <c r="F16" s="150"/>
      <c r="G16" s="139"/>
      <c r="H16" s="146">
        <f>SUM(H14:H15)</f>
        <v>762675.5099999999</v>
      </c>
      <c r="I16" s="139"/>
      <c r="J16" s="146">
        <f>SUM(J14:J15)</f>
        <v>398859.54026900005</v>
      </c>
      <c r="K16" s="139"/>
      <c r="L16" s="146">
        <f>SUM(L14:L15)</f>
        <v>198732.31492799998</v>
      </c>
      <c r="M16" s="139"/>
      <c r="N16" s="146">
        <f>SUM(N14:N15)</f>
        <v>78616.934453</v>
      </c>
      <c r="O16" s="139"/>
      <c r="P16" s="146">
        <f>SUM(P14:P15)</f>
        <v>44531.832493999995</v>
      </c>
      <c r="Q16" s="139"/>
      <c r="R16" s="146">
        <f>SUM(R14:R15)</f>
        <v>37364.125664</v>
      </c>
      <c r="S16" s="139"/>
      <c r="T16" s="146">
        <f>SUM(T14:T15)</f>
        <v>4570.762192</v>
      </c>
      <c r="W16" s="144"/>
      <c r="X16" s="353"/>
      <c r="Y16" s="387" t="s">
        <v>371</v>
      </c>
      <c r="Z16" s="138"/>
      <c r="AA16" s="150"/>
      <c r="AC16" s="146">
        <f>SUM(AC14:AC15)</f>
        <v>762675.5099999999</v>
      </c>
      <c r="AE16" s="146">
        <f>SUM(AE14:AE15)</f>
        <v>757202.895308</v>
      </c>
      <c r="AG16" s="146">
        <f>SUM(AG14:AG15)</f>
        <v>901.8525</v>
      </c>
      <c r="AI16" s="146">
        <f>SUM(AI14:AI15)</f>
        <v>0</v>
      </c>
      <c r="AK16" s="146">
        <f>SUM(AK14:AK15)</f>
        <v>0</v>
      </c>
      <c r="AM16" s="146">
        <f>SUM(AM14:AM15)</f>
        <v>0</v>
      </c>
      <c r="AO16" s="146">
        <f>SUM(AO14:AO15)</f>
        <v>0</v>
      </c>
      <c r="AQ16" s="146">
        <f>SUM(AQ14:AQ15)</f>
        <v>4570.762192</v>
      </c>
      <c r="AS16" s="159"/>
    </row>
    <row r="17" spans="4:45" ht="12.75">
      <c r="D17" s="386"/>
      <c r="E17" s="138"/>
      <c r="F17" s="150"/>
      <c r="G17" s="139"/>
      <c r="H17" s="146"/>
      <c r="I17" s="139"/>
      <c r="J17" s="146"/>
      <c r="W17" s="144"/>
      <c r="X17" s="353"/>
      <c r="Y17" s="386"/>
      <c r="Z17" s="138"/>
      <c r="AA17" s="150"/>
      <c r="AS17" s="159"/>
    </row>
    <row r="18" spans="4:45" ht="12.75">
      <c r="D18" s="389"/>
      <c r="E18" s="138"/>
      <c r="F18" s="150"/>
      <c r="G18" s="139"/>
      <c r="H18" s="146"/>
      <c r="I18" s="139"/>
      <c r="J18" s="146"/>
      <c r="W18" s="144"/>
      <c r="X18" s="353"/>
      <c r="Y18" s="389"/>
      <c r="Z18" s="138"/>
      <c r="AA18" s="150"/>
      <c r="AS18" s="159"/>
    </row>
    <row r="19" spans="4:45" ht="12.75">
      <c r="D19" s="390" t="s">
        <v>238</v>
      </c>
      <c r="E19" s="138"/>
      <c r="F19" s="150"/>
      <c r="G19" s="139"/>
      <c r="H19" s="146"/>
      <c r="I19" s="139"/>
      <c r="J19" s="146"/>
      <c r="W19" s="144"/>
      <c r="X19" s="353"/>
      <c r="Y19" s="390" t="s">
        <v>238</v>
      </c>
      <c r="Z19" s="138"/>
      <c r="AA19" s="150"/>
      <c r="AS19" s="159"/>
    </row>
    <row r="20" spans="2:45" ht="12.75">
      <c r="B20" s="443">
        <v>620.2</v>
      </c>
      <c r="D20" s="386" t="s">
        <v>334</v>
      </c>
      <c r="E20" s="138"/>
      <c r="F20" s="150">
        <v>2</v>
      </c>
      <c r="G20" s="139"/>
      <c r="H20" s="146">
        <v>3312</v>
      </c>
      <c r="I20" s="139"/>
      <c r="J20" s="218">
        <f>(VLOOKUP($F20,Factors,J$324))*$H20</f>
        <v>1809.6768</v>
      </c>
      <c r="K20" s="353"/>
      <c r="L20" s="218">
        <f>(VLOOKUP($F20,Factors,L$324))*$H20</f>
        <v>834.2928</v>
      </c>
      <c r="M20" s="353"/>
      <c r="N20" s="218">
        <f>(VLOOKUP($F20,Factors,N$324))*$H20</f>
        <v>320.9328</v>
      </c>
      <c r="O20" s="353"/>
      <c r="P20" s="218">
        <f>(VLOOKUP($F20,Factors,P$324))*$H20</f>
        <v>181.8288</v>
      </c>
      <c r="Q20" s="353"/>
      <c r="R20" s="218">
        <f>(VLOOKUP($F20,Factors,R$324))*$H20</f>
        <v>152.6832</v>
      </c>
      <c r="S20" s="353"/>
      <c r="T20" s="218">
        <f>(VLOOKUP($F20,Factors,T$324))*$H20</f>
        <v>12.5856</v>
      </c>
      <c r="W20" s="144">
        <v>620.2</v>
      </c>
      <c r="X20" s="353"/>
      <c r="Y20" s="386" t="s">
        <v>334</v>
      </c>
      <c r="Z20" s="138"/>
      <c r="AA20" s="399">
        <f>+F20</f>
        <v>2</v>
      </c>
      <c r="AB20" s="138"/>
      <c r="AC20" s="399">
        <f>+H20</f>
        <v>3312</v>
      </c>
      <c r="AE20" s="160">
        <f>(VLOOKUP($AA20,func,AE$324))*$AC20</f>
        <v>2057.4144</v>
      </c>
      <c r="AF20" s="160"/>
      <c r="AG20" s="160">
        <f>(VLOOKUP($AA20,func,AG$324))*$AC20</f>
        <v>1242</v>
      </c>
      <c r="AH20" s="160"/>
      <c r="AI20" s="160">
        <f>(VLOOKUP($AA20,func,AI$324))*$AC20</f>
        <v>0</v>
      </c>
      <c r="AJ20" s="160"/>
      <c r="AK20" s="160">
        <f>(VLOOKUP($AA20,func,AK$324))*$AC20</f>
        <v>0</v>
      </c>
      <c r="AL20" s="160"/>
      <c r="AM20" s="160">
        <f>(VLOOKUP($AA20,func,AM$324))*$AC20</f>
        <v>0</v>
      </c>
      <c r="AN20" s="160"/>
      <c r="AO20" s="160">
        <f>(VLOOKUP($AA20,func,AO$324))*$AC20</f>
        <v>0</v>
      </c>
      <c r="AP20" s="160"/>
      <c r="AQ20" s="160">
        <f>(VLOOKUP($AA20,func,AQ$324))*$AC20</f>
        <v>12.5856</v>
      </c>
      <c r="AS20" s="159"/>
    </row>
    <row r="21" spans="2:45" ht="12.75">
      <c r="B21" s="443">
        <v>635.2</v>
      </c>
      <c r="D21" s="386" t="s">
        <v>346</v>
      </c>
      <c r="E21" s="138"/>
      <c r="F21" s="150">
        <v>2</v>
      </c>
      <c r="G21" s="139"/>
      <c r="H21" s="147">
        <v>7095</v>
      </c>
      <c r="I21" s="139"/>
      <c r="J21" s="405">
        <f>(VLOOKUP($F21,Factors,J$324))*$H21</f>
        <v>3876.708</v>
      </c>
      <c r="K21" s="353"/>
      <c r="L21" s="405">
        <f>(VLOOKUP($F21,Factors,L$324))*$H21</f>
        <v>1787.2305000000001</v>
      </c>
      <c r="M21" s="353"/>
      <c r="N21" s="405">
        <f>(VLOOKUP($F21,Factors,N$324))*$H21</f>
        <v>687.5055</v>
      </c>
      <c r="O21" s="353"/>
      <c r="P21" s="405">
        <f>(VLOOKUP($F21,Factors,P$324))*$H21</f>
        <v>389.5155</v>
      </c>
      <c r="Q21" s="353"/>
      <c r="R21" s="405">
        <f>(VLOOKUP($F21,Factors,R$324))*$H21</f>
        <v>327.0795</v>
      </c>
      <c r="S21" s="353"/>
      <c r="T21" s="405">
        <f>(VLOOKUP($F21,Factors,T$324))*$H21</f>
        <v>26.961</v>
      </c>
      <c r="W21" s="144">
        <v>635.2</v>
      </c>
      <c r="X21" s="353"/>
      <c r="Y21" s="386" t="s">
        <v>346</v>
      </c>
      <c r="Z21" s="138"/>
      <c r="AA21" s="399">
        <f>+F21</f>
        <v>2</v>
      </c>
      <c r="AB21" s="138"/>
      <c r="AC21" s="400">
        <f>+H21</f>
        <v>7095</v>
      </c>
      <c r="AE21" s="147">
        <f>(VLOOKUP($AA21,func,AE$324))*$AC21</f>
        <v>4407.414</v>
      </c>
      <c r="AF21" s="160"/>
      <c r="AG21" s="147">
        <f>(VLOOKUP($AA21,func,AG$324))*$AC21</f>
        <v>2660.625</v>
      </c>
      <c r="AH21" s="160"/>
      <c r="AI21" s="147">
        <f>(VLOOKUP($AA21,func,AI$324))*$AC21</f>
        <v>0</v>
      </c>
      <c r="AJ21" s="160"/>
      <c r="AK21" s="147">
        <f>(VLOOKUP($AA21,func,AK$324))*$AC21</f>
        <v>0</v>
      </c>
      <c r="AL21" s="160"/>
      <c r="AM21" s="147">
        <f>(VLOOKUP($AA21,func,AM$324))*$AC21</f>
        <v>0</v>
      </c>
      <c r="AN21" s="160"/>
      <c r="AO21" s="147">
        <f>(VLOOKUP($AA21,func,AO$324))*$AC21</f>
        <v>0</v>
      </c>
      <c r="AP21" s="160"/>
      <c r="AQ21" s="147">
        <f>(VLOOKUP($AA21,func,AQ$324))*$AC21</f>
        <v>26.961</v>
      </c>
      <c r="AS21" s="159"/>
    </row>
    <row r="22" spans="4:45" ht="12.75">
      <c r="D22" s="387" t="s">
        <v>372</v>
      </c>
      <c r="E22" s="138"/>
      <c r="F22" s="150"/>
      <c r="G22" s="139"/>
      <c r="H22" s="146">
        <f>SUM(H20:H21)</f>
        <v>10407</v>
      </c>
      <c r="I22" s="139"/>
      <c r="J22" s="146">
        <f>SUM(J20:J21)</f>
        <v>5686.3848</v>
      </c>
      <c r="K22" s="139"/>
      <c r="L22" s="146">
        <f>SUM(L20:L21)</f>
        <v>2621.5233000000003</v>
      </c>
      <c r="M22" s="139"/>
      <c r="N22" s="146">
        <f>SUM(N20:N21)</f>
        <v>1008.4383</v>
      </c>
      <c r="O22" s="139"/>
      <c r="P22" s="146">
        <f>SUM(P20:P21)</f>
        <v>571.3443</v>
      </c>
      <c r="Q22" s="139"/>
      <c r="R22" s="146">
        <f>SUM(R20:R21)</f>
        <v>479.7627</v>
      </c>
      <c r="S22" s="139"/>
      <c r="T22" s="146">
        <f>SUM(T20:T21)</f>
        <v>39.5466</v>
      </c>
      <c r="W22" s="144"/>
      <c r="X22" s="353"/>
      <c r="Y22" s="387" t="s">
        <v>372</v>
      </c>
      <c r="Z22" s="138"/>
      <c r="AA22" s="150"/>
      <c r="AC22" s="146">
        <f>SUM(AC20:AC21)</f>
        <v>10407</v>
      </c>
      <c r="AE22" s="146">
        <f>SUM(AE20:AE21)</f>
        <v>6464.8284</v>
      </c>
      <c r="AG22" s="146">
        <f>SUM(AG20:AG21)</f>
        <v>3902.625</v>
      </c>
      <c r="AI22" s="146">
        <f>SUM(AI20:AI21)</f>
        <v>0</v>
      </c>
      <c r="AK22" s="146">
        <f>SUM(AK20:AK21)</f>
        <v>0</v>
      </c>
      <c r="AM22" s="146">
        <f>SUM(AM20:AM21)</f>
        <v>0</v>
      </c>
      <c r="AO22" s="146">
        <f>SUM(AO20:AO21)</f>
        <v>0</v>
      </c>
      <c r="AQ22" s="146">
        <f>SUM(AQ20:AQ21)</f>
        <v>39.5466</v>
      </c>
      <c r="AS22" s="159"/>
    </row>
    <row r="23" spans="4:45" ht="12.75">
      <c r="D23" s="387"/>
      <c r="E23" s="138"/>
      <c r="F23" s="150"/>
      <c r="G23" s="139"/>
      <c r="H23" s="146"/>
      <c r="I23" s="139"/>
      <c r="J23" s="146"/>
      <c r="K23" s="139"/>
      <c r="L23" s="146"/>
      <c r="M23" s="139"/>
      <c r="N23" s="146"/>
      <c r="O23" s="139"/>
      <c r="P23" s="146"/>
      <c r="Q23" s="139"/>
      <c r="R23" s="146"/>
      <c r="S23" s="139"/>
      <c r="T23" s="146"/>
      <c r="W23" s="144"/>
      <c r="X23" s="353"/>
      <c r="Y23" s="387"/>
      <c r="Z23" s="138"/>
      <c r="AA23" s="150"/>
      <c r="AC23" s="146"/>
      <c r="AS23" s="159"/>
    </row>
    <row r="24" spans="4:45" ht="12.75">
      <c r="D24" s="387" t="s">
        <v>373</v>
      </c>
      <c r="E24" s="138"/>
      <c r="F24" s="150"/>
      <c r="G24" s="139"/>
      <c r="H24" s="146">
        <f>+H22+H16</f>
        <v>773082.5099999999</v>
      </c>
      <c r="I24" s="139"/>
      <c r="J24" s="146">
        <f>+J22+J16</f>
        <v>404545.92506900005</v>
      </c>
      <c r="K24" s="139"/>
      <c r="L24" s="146">
        <f>+L22+L16</f>
        <v>201353.83822799998</v>
      </c>
      <c r="M24" s="139"/>
      <c r="N24" s="146">
        <f>+N22+N16</f>
        <v>79625.37275299999</v>
      </c>
      <c r="O24" s="139"/>
      <c r="P24" s="146">
        <f>+P22+P16</f>
        <v>45103.17679399999</v>
      </c>
      <c r="Q24" s="139"/>
      <c r="R24" s="146">
        <f>+R22+R16</f>
        <v>37843.888364</v>
      </c>
      <c r="S24" s="139"/>
      <c r="T24" s="146">
        <f>+T22+T16</f>
        <v>4610.308792</v>
      </c>
      <c r="W24" s="144"/>
      <c r="X24" s="353"/>
      <c r="Y24" s="387" t="s">
        <v>373</v>
      </c>
      <c r="Z24" s="138"/>
      <c r="AA24" s="150"/>
      <c r="AC24" s="146">
        <f>+AC22+AC16</f>
        <v>773082.5099999999</v>
      </c>
      <c r="AE24" s="146">
        <f>+AE22+AE16</f>
        <v>763667.723708</v>
      </c>
      <c r="AG24" s="146">
        <f>+AG22+AG16</f>
        <v>4804.4775</v>
      </c>
      <c r="AI24" s="146">
        <f>+AI22+AI16</f>
        <v>0</v>
      </c>
      <c r="AK24" s="146">
        <f>+AK22+AK16</f>
        <v>0</v>
      </c>
      <c r="AM24" s="146">
        <f>+AM22+AM16</f>
        <v>0</v>
      </c>
      <c r="AO24" s="146">
        <f>+AO22+AO16</f>
        <v>0</v>
      </c>
      <c r="AQ24" s="146">
        <f>+AQ22+AQ16</f>
        <v>4610.308792</v>
      </c>
      <c r="AS24" s="159"/>
    </row>
    <row r="25" spans="4:45" ht="12.75">
      <c r="D25" s="386"/>
      <c r="E25" s="138"/>
      <c r="F25" s="150"/>
      <c r="G25" s="139"/>
      <c r="H25" s="146"/>
      <c r="I25" s="139"/>
      <c r="J25" s="146"/>
      <c r="W25" s="144"/>
      <c r="X25" s="353"/>
      <c r="Y25" s="386"/>
      <c r="Z25" s="138"/>
      <c r="AA25" s="150"/>
      <c r="AS25" s="159"/>
    </row>
    <row r="26" spans="4:45" ht="12.75">
      <c r="D26" s="388" t="s">
        <v>433</v>
      </c>
      <c r="E26" s="138"/>
      <c r="F26" s="150"/>
      <c r="G26" s="139"/>
      <c r="H26" s="146"/>
      <c r="I26" s="139"/>
      <c r="J26" s="146"/>
      <c r="W26" s="144"/>
      <c r="X26" s="353"/>
      <c r="Y26" s="388" t="s">
        <v>433</v>
      </c>
      <c r="Z26" s="138"/>
      <c r="AA26" s="150"/>
      <c r="AS26" s="159"/>
    </row>
    <row r="27" spans="4:45" ht="12.75">
      <c r="D27" s="388" t="s">
        <v>434</v>
      </c>
      <c r="E27" s="138"/>
      <c r="F27" s="150"/>
      <c r="G27" s="139"/>
      <c r="H27" s="146"/>
      <c r="I27" s="139"/>
      <c r="J27" s="146"/>
      <c r="W27" s="144"/>
      <c r="X27" s="353"/>
      <c r="Y27" s="388" t="s">
        <v>434</v>
      </c>
      <c r="Z27" s="138"/>
      <c r="AA27" s="150"/>
      <c r="AS27" s="159"/>
    </row>
    <row r="28" spans="2:45" ht="12.75">
      <c r="B28" s="443">
        <v>601.3</v>
      </c>
      <c r="D28" s="386" t="s">
        <v>436</v>
      </c>
      <c r="E28" s="138"/>
      <c r="F28" s="150">
        <v>2</v>
      </c>
      <c r="G28" s="139"/>
      <c r="H28" s="332">
        <v>1243463.0997902795</v>
      </c>
      <c r="I28" s="207"/>
      <c r="J28" s="218">
        <f aca="true" t="shared" si="0" ref="J28:J39">(VLOOKUP($F28,Factors,J$324))*$H28</f>
        <v>679428.2377254087</v>
      </c>
      <c r="K28" s="353"/>
      <c r="L28" s="218">
        <f aca="true" t="shared" si="1" ref="L28:L39">(VLOOKUP($F28,Factors,L$324))*$H28</f>
        <v>313228.35483717144</v>
      </c>
      <c r="M28" s="353"/>
      <c r="N28" s="218">
        <f aca="true" t="shared" si="2" ref="N28:N39">(VLOOKUP($F28,Factors,N$324))*$H28</f>
        <v>120491.57436967808</v>
      </c>
      <c r="O28" s="353"/>
      <c r="P28" s="218">
        <f aca="true" t="shared" si="3" ref="P28:P39">(VLOOKUP($F28,Factors,P$324))*$H28</f>
        <v>68266.12417848634</v>
      </c>
      <c r="Q28" s="353"/>
      <c r="R28" s="218">
        <f aca="true" t="shared" si="4" ref="R28:R39">(VLOOKUP($F28,Factors,R$324))*$H28</f>
        <v>57323.648900331886</v>
      </c>
      <c r="S28" s="353"/>
      <c r="T28" s="218">
        <f aca="true" t="shared" si="5" ref="T28:T39">(VLOOKUP($F28,Factors,T$324))*$H28</f>
        <v>4725.1597792030625</v>
      </c>
      <c r="W28" s="144">
        <v>601.3</v>
      </c>
      <c r="X28" s="353"/>
      <c r="Y28" s="386" t="s">
        <v>436</v>
      </c>
      <c r="Z28" s="138"/>
      <c r="AA28" s="399">
        <f aca="true" t="shared" si="6" ref="AA28:AA39">+F28</f>
        <v>2</v>
      </c>
      <c r="AB28" s="138"/>
      <c r="AC28" s="399">
        <f aca="true" t="shared" si="7" ref="AC28:AC39">+H28</f>
        <v>1243463.0997902795</v>
      </c>
      <c r="AE28" s="160">
        <f aca="true" t="shared" si="8" ref="AE28:AE39">(VLOOKUP($AA28,func,AE$324))*$AC28</f>
        <v>772439.2775897216</v>
      </c>
      <c r="AF28" s="160"/>
      <c r="AG28" s="160">
        <f aca="true" t="shared" si="9" ref="AG28:AG39">(VLOOKUP($AA28,func,AG$324))*$AC28</f>
        <v>466298.6624213548</v>
      </c>
      <c r="AH28" s="160"/>
      <c r="AI28" s="160">
        <f aca="true" t="shared" si="10" ref="AI28:AI39">(VLOOKUP($AA28,func,AI$324))*$AC28</f>
        <v>0</v>
      </c>
      <c r="AJ28" s="160"/>
      <c r="AK28" s="160">
        <f aca="true" t="shared" si="11" ref="AK28:AK39">(VLOOKUP($AA28,func,AK$324))*$AC28</f>
        <v>0</v>
      </c>
      <c r="AL28" s="160"/>
      <c r="AM28" s="160">
        <f aca="true" t="shared" si="12" ref="AM28:AM39">(VLOOKUP($AA28,func,AM$324))*$AC28</f>
        <v>0</v>
      </c>
      <c r="AN28" s="160"/>
      <c r="AO28" s="160">
        <f aca="true" t="shared" si="13" ref="AO28:AO39">(VLOOKUP($AA28,func,AO$324))*$AC28</f>
        <v>0</v>
      </c>
      <c r="AP28" s="160"/>
      <c r="AQ28" s="160">
        <f aca="true" t="shared" si="14" ref="AQ28:AQ39">(VLOOKUP($AA28,func,AQ$324))*$AC28</f>
        <v>4725.1597792030625</v>
      </c>
      <c r="AS28" s="159"/>
    </row>
    <row r="29" spans="1:45" s="162" customFormat="1" ht="12.75">
      <c r="A29" s="401"/>
      <c r="B29" s="444">
        <v>601.3</v>
      </c>
      <c r="D29" s="386" t="s">
        <v>435</v>
      </c>
      <c r="E29" s="202"/>
      <c r="F29" s="148">
        <v>2</v>
      </c>
      <c r="G29" s="203"/>
      <c r="H29" s="332">
        <v>433779.3152137071</v>
      </c>
      <c r="I29" s="203"/>
      <c r="J29" s="218">
        <f t="shared" si="0"/>
        <v>237017.01783276955</v>
      </c>
      <c r="K29" s="353"/>
      <c r="L29" s="218">
        <f t="shared" si="1"/>
        <v>109269.00950233282</v>
      </c>
      <c r="M29" s="353"/>
      <c r="N29" s="218">
        <f t="shared" si="2"/>
        <v>42033.21564420822</v>
      </c>
      <c r="O29" s="353"/>
      <c r="P29" s="218">
        <f t="shared" si="3"/>
        <v>23814.484405232517</v>
      </c>
      <c r="Q29" s="353"/>
      <c r="R29" s="218">
        <f t="shared" si="4"/>
        <v>19997.226431351897</v>
      </c>
      <c r="S29" s="353"/>
      <c r="T29" s="218">
        <f t="shared" si="5"/>
        <v>1648.361397812087</v>
      </c>
      <c r="U29"/>
      <c r="V29"/>
      <c r="W29" s="384">
        <v>601.3</v>
      </c>
      <c r="Y29" s="386" t="s">
        <v>435</v>
      </c>
      <c r="Z29" s="202"/>
      <c r="AA29" s="399">
        <f t="shared" si="6"/>
        <v>2</v>
      </c>
      <c r="AB29" s="138"/>
      <c r="AC29" s="399">
        <f t="shared" si="7"/>
        <v>433779.3152137071</v>
      </c>
      <c r="AE29" s="160">
        <f t="shared" si="8"/>
        <v>269463.71061075485</v>
      </c>
      <c r="AF29" s="160"/>
      <c r="AG29" s="160">
        <f t="shared" si="9"/>
        <v>162667.24320514017</v>
      </c>
      <c r="AH29" s="160"/>
      <c r="AI29" s="160">
        <f t="shared" si="10"/>
        <v>0</v>
      </c>
      <c r="AJ29" s="160"/>
      <c r="AK29" s="160">
        <f t="shared" si="11"/>
        <v>0</v>
      </c>
      <c r="AL29" s="160"/>
      <c r="AM29" s="160">
        <f t="shared" si="12"/>
        <v>0</v>
      </c>
      <c r="AN29" s="160"/>
      <c r="AO29" s="160">
        <f t="shared" si="13"/>
        <v>0</v>
      </c>
      <c r="AP29" s="160"/>
      <c r="AQ29" s="160">
        <f t="shared" si="14"/>
        <v>1648.361397812087</v>
      </c>
      <c r="AS29" s="159"/>
    </row>
    <row r="30" spans="1:45" s="162" customFormat="1" ht="12.75">
      <c r="A30" s="401"/>
      <c r="B30" s="444">
        <v>615.3</v>
      </c>
      <c r="D30" s="386" t="s">
        <v>330</v>
      </c>
      <c r="E30" s="202"/>
      <c r="F30" s="148">
        <v>1</v>
      </c>
      <c r="G30" s="203"/>
      <c r="H30" s="332">
        <v>201253.3</v>
      </c>
      <c r="I30" s="203"/>
      <c r="J30" s="218">
        <f t="shared" si="0"/>
        <v>105235.35057</v>
      </c>
      <c r="K30" s="353"/>
      <c r="L30" s="218">
        <f t="shared" si="1"/>
        <v>52446.609979999994</v>
      </c>
      <c r="M30" s="353"/>
      <c r="N30" s="218">
        <f t="shared" si="2"/>
        <v>20749.215229999998</v>
      </c>
      <c r="O30" s="353"/>
      <c r="P30" s="218">
        <f t="shared" si="3"/>
        <v>11753.19272</v>
      </c>
      <c r="Q30" s="353"/>
      <c r="R30" s="218">
        <f t="shared" si="4"/>
        <v>9861.4117</v>
      </c>
      <c r="S30" s="353"/>
      <c r="T30" s="218">
        <f t="shared" si="5"/>
        <v>1207.5198</v>
      </c>
      <c r="U30"/>
      <c r="V30"/>
      <c r="W30" s="384">
        <v>615.3</v>
      </c>
      <c r="Y30" s="386" t="s">
        <v>330</v>
      </c>
      <c r="Z30" s="202"/>
      <c r="AA30" s="399">
        <f t="shared" si="6"/>
        <v>1</v>
      </c>
      <c r="AB30" s="138"/>
      <c r="AC30" s="399">
        <f t="shared" si="7"/>
        <v>201253.3</v>
      </c>
      <c r="AE30" s="160">
        <f t="shared" si="8"/>
        <v>200045.78019999998</v>
      </c>
      <c r="AF30" s="160"/>
      <c r="AG30" s="160">
        <f t="shared" si="9"/>
        <v>0</v>
      </c>
      <c r="AH30" s="160"/>
      <c r="AI30" s="160">
        <f t="shared" si="10"/>
        <v>0</v>
      </c>
      <c r="AJ30" s="160"/>
      <c r="AK30" s="160">
        <f t="shared" si="11"/>
        <v>0</v>
      </c>
      <c r="AL30" s="160"/>
      <c r="AM30" s="160">
        <f t="shared" si="12"/>
        <v>0</v>
      </c>
      <c r="AN30" s="160"/>
      <c r="AO30" s="160">
        <f t="shared" si="13"/>
        <v>0</v>
      </c>
      <c r="AP30" s="160"/>
      <c r="AQ30" s="160">
        <f t="shared" si="14"/>
        <v>1207.5198</v>
      </c>
      <c r="AS30" s="159"/>
    </row>
    <row r="31" spans="1:45" s="162" customFormat="1" ht="12.75">
      <c r="A31" s="401"/>
      <c r="B31" s="444">
        <v>616.3</v>
      </c>
      <c r="D31" s="386" t="s">
        <v>332</v>
      </c>
      <c r="E31" s="202"/>
      <c r="F31" s="148">
        <v>1</v>
      </c>
      <c r="G31" s="203"/>
      <c r="H31" s="332">
        <v>126539.27</v>
      </c>
      <c r="I31" s="203"/>
      <c r="J31" s="218">
        <f t="shared" si="0"/>
        <v>66167.384283</v>
      </c>
      <c r="K31" s="353"/>
      <c r="L31" s="218">
        <f t="shared" si="1"/>
        <v>32976.133762</v>
      </c>
      <c r="M31" s="353"/>
      <c r="N31" s="218">
        <f t="shared" si="2"/>
        <v>13046.198737</v>
      </c>
      <c r="O31" s="353"/>
      <c r="P31" s="218">
        <f t="shared" si="3"/>
        <v>7389.893368</v>
      </c>
      <c r="Q31" s="353"/>
      <c r="R31" s="218">
        <f t="shared" si="4"/>
        <v>6200.4242300000005</v>
      </c>
      <c r="S31" s="353"/>
      <c r="T31" s="218">
        <f t="shared" si="5"/>
        <v>759.23562</v>
      </c>
      <c r="U31"/>
      <c r="V31"/>
      <c r="W31" s="384">
        <v>616.3</v>
      </c>
      <c r="Y31" s="386" t="s">
        <v>332</v>
      </c>
      <c r="Z31" s="202"/>
      <c r="AA31" s="399">
        <f t="shared" si="6"/>
        <v>1</v>
      </c>
      <c r="AB31" s="138"/>
      <c r="AC31" s="399">
        <f t="shared" si="7"/>
        <v>126539.27</v>
      </c>
      <c r="AE31" s="160">
        <f t="shared" si="8"/>
        <v>125780.03438</v>
      </c>
      <c r="AF31" s="160"/>
      <c r="AG31" s="160">
        <f t="shared" si="9"/>
        <v>0</v>
      </c>
      <c r="AH31" s="160"/>
      <c r="AI31" s="160">
        <f t="shared" si="10"/>
        <v>0</v>
      </c>
      <c r="AJ31" s="160"/>
      <c r="AK31" s="160">
        <f t="shared" si="11"/>
        <v>0</v>
      </c>
      <c r="AL31" s="160"/>
      <c r="AM31" s="160">
        <f t="shared" si="12"/>
        <v>0</v>
      </c>
      <c r="AN31" s="160"/>
      <c r="AO31" s="160">
        <f t="shared" si="13"/>
        <v>0</v>
      </c>
      <c r="AP31" s="160"/>
      <c r="AQ31" s="160">
        <f t="shared" si="14"/>
        <v>759.23562</v>
      </c>
      <c r="AS31" s="159"/>
    </row>
    <row r="32" spans="1:45" s="162" customFormat="1" ht="12.75">
      <c r="A32" s="401"/>
      <c r="B32" s="444">
        <v>618.3</v>
      </c>
      <c r="D32" s="386" t="s">
        <v>333</v>
      </c>
      <c r="E32" s="202"/>
      <c r="F32" s="148">
        <v>1</v>
      </c>
      <c r="G32" s="203"/>
      <c r="H32" s="332">
        <v>1857066.6</v>
      </c>
      <c r="I32" s="160"/>
      <c r="J32" s="218">
        <f t="shared" si="0"/>
        <v>971060.1251400001</v>
      </c>
      <c r="K32" s="353"/>
      <c r="L32" s="218">
        <f t="shared" si="1"/>
        <v>483951.55596</v>
      </c>
      <c r="M32" s="353"/>
      <c r="N32" s="218">
        <f t="shared" si="2"/>
        <v>191463.56646</v>
      </c>
      <c r="O32" s="353"/>
      <c r="P32" s="218">
        <f t="shared" si="3"/>
        <v>108452.68944</v>
      </c>
      <c r="Q32" s="353"/>
      <c r="R32" s="218">
        <f t="shared" si="4"/>
        <v>90996.26340000001</v>
      </c>
      <c r="S32" s="353"/>
      <c r="T32" s="218">
        <f t="shared" si="5"/>
        <v>11142.3996</v>
      </c>
      <c r="U32"/>
      <c r="V32"/>
      <c r="W32" s="384">
        <v>618.3</v>
      </c>
      <c r="Y32" s="386" t="s">
        <v>333</v>
      </c>
      <c r="Z32" s="202"/>
      <c r="AA32" s="399">
        <f t="shared" si="6"/>
        <v>1</v>
      </c>
      <c r="AB32" s="138"/>
      <c r="AC32" s="399">
        <f t="shared" si="7"/>
        <v>1857066.6</v>
      </c>
      <c r="AD32" s="160"/>
      <c r="AE32" s="160">
        <f t="shared" si="8"/>
        <v>1845924.2004</v>
      </c>
      <c r="AF32" s="160"/>
      <c r="AG32" s="160">
        <f t="shared" si="9"/>
        <v>0</v>
      </c>
      <c r="AH32" s="160"/>
      <c r="AI32" s="160">
        <f t="shared" si="10"/>
        <v>0</v>
      </c>
      <c r="AJ32" s="160"/>
      <c r="AK32" s="160">
        <f t="shared" si="11"/>
        <v>0</v>
      </c>
      <c r="AL32" s="160"/>
      <c r="AM32" s="160">
        <f t="shared" si="12"/>
        <v>0</v>
      </c>
      <c r="AN32" s="160"/>
      <c r="AO32" s="160">
        <f t="shared" si="13"/>
        <v>0</v>
      </c>
      <c r="AP32" s="160"/>
      <c r="AQ32" s="160">
        <f t="shared" si="14"/>
        <v>11142.3996</v>
      </c>
      <c r="AS32" s="159"/>
    </row>
    <row r="33" spans="1:45" s="162" customFormat="1" ht="12.75">
      <c r="A33" s="401"/>
      <c r="B33" s="444">
        <v>620.3</v>
      </c>
      <c r="D33" s="386" t="s">
        <v>334</v>
      </c>
      <c r="E33" s="202"/>
      <c r="F33" s="148">
        <v>2</v>
      </c>
      <c r="G33" s="203"/>
      <c r="H33" s="332">
        <v>199637.24</v>
      </c>
      <c r="I33" s="203"/>
      <c r="J33" s="218">
        <f t="shared" si="0"/>
        <v>109081.787936</v>
      </c>
      <c r="K33" s="353"/>
      <c r="L33" s="218">
        <f t="shared" si="1"/>
        <v>50288.620756</v>
      </c>
      <c r="M33" s="353"/>
      <c r="N33" s="218">
        <f t="shared" si="2"/>
        <v>19344.848556</v>
      </c>
      <c r="O33" s="353"/>
      <c r="P33" s="218">
        <f t="shared" si="3"/>
        <v>10960.084475999998</v>
      </c>
      <c r="Q33" s="353"/>
      <c r="R33" s="218">
        <f t="shared" si="4"/>
        <v>9203.276764</v>
      </c>
      <c r="S33" s="353"/>
      <c r="T33" s="218">
        <f t="shared" si="5"/>
        <v>758.6215119999999</v>
      </c>
      <c r="U33"/>
      <c r="V33"/>
      <c r="W33" s="384">
        <v>620.3</v>
      </c>
      <c r="Y33" s="386" t="s">
        <v>334</v>
      </c>
      <c r="Z33" s="202"/>
      <c r="AA33" s="399">
        <f t="shared" si="6"/>
        <v>2</v>
      </c>
      <c r="AB33" s="138"/>
      <c r="AC33" s="399">
        <f t="shared" si="7"/>
        <v>199637.24</v>
      </c>
      <c r="AE33" s="160">
        <f t="shared" si="8"/>
        <v>124014.653488</v>
      </c>
      <c r="AF33" s="160"/>
      <c r="AG33" s="160">
        <f t="shared" si="9"/>
        <v>74863.965</v>
      </c>
      <c r="AH33" s="160"/>
      <c r="AI33" s="160">
        <f t="shared" si="10"/>
        <v>0</v>
      </c>
      <c r="AJ33" s="160"/>
      <c r="AK33" s="160">
        <f t="shared" si="11"/>
        <v>0</v>
      </c>
      <c r="AL33" s="160"/>
      <c r="AM33" s="160">
        <f t="shared" si="12"/>
        <v>0</v>
      </c>
      <c r="AN33" s="160"/>
      <c r="AO33" s="160">
        <f t="shared" si="13"/>
        <v>0</v>
      </c>
      <c r="AP33" s="160"/>
      <c r="AQ33" s="160">
        <f t="shared" si="14"/>
        <v>758.6215119999999</v>
      </c>
      <c r="AS33" s="159"/>
    </row>
    <row r="34" spans="1:45" s="162" customFormat="1" ht="12.75">
      <c r="A34" s="401"/>
      <c r="B34" s="444">
        <v>631.3</v>
      </c>
      <c r="D34" s="386" t="s">
        <v>340</v>
      </c>
      <c r="E34" s="202"/>
      <c r="F34" s="148">
        <v>2</v>
      </c>
      <c r="G34" s="203"/>
      <c r="H34" s="332">
        <v>16379.62</v>
      </c>
      <c r="I34" s="203"/>
      <c r="J34" s="218">
        <f t="shared" si="0"/>
        <v>8949.824368</v>
      </c>
      <c r="K34" s="353"/>
      <c r="L34" s="218">
        <f t="shared" si="1"/>
        <v>4126.026278</v>
      </c>
      <c r="M34" s="353"/>
      <c r="N34" s="218">
        <f t="shared" si="2"/>
        <v>1587.1851780000002</v>
      </c>
      <c r="O34" s="353"/>
      <c r="P34" s="218">
        <f t="shared" si="3"/>
        <v>899.241138</v>
      </c>
      <c r="Q34" s="353"/>
      <c r="R34" s="218">
        <f t="shared" si="4"/>
        <v>755.100482</v>
      </c>
      <c r="S34" s="353"/>
      <c r="T34" s="218">
        <f t="shared" si="5"/>
        <v>62.242556</v>
      </c>
      <c r="U34"/>
      <c r="V34"/>
      <c r="W34" s="384">
        <v>631.3</v>
      </c>
      <c r="Y34" s="386" t="s">
        <v>340</v>
      </c>
      <c r="Z34" s="202"/>
      <c r="AA34" s="399">
        <f t="shared" si="6"/>
        <v>2</v>
      </c>
      <c r="AB34" s="138"/>
      <c r="AC34" s="399">
        <f t="shared" si="7"/>
        <v>16379.62</v>
      </c>
      <c r="AE34" s="160">
        <f t="shared" si="8"/>
        <v>10175.019944</v>
      </c>
      <c r="AF34" s="160"/>
      <c r="AG34" s="160">
        <f t="shared" si="9"/>
        <v>6142.3575</v>
      </c>
      <c r="AH34" s="160"/>
      <c r="AI34" s="160">
        <f t="shared" si="10"/>
        <v>0</v>
      </c>
      <c r="AJ34" s="160"/>
      <c r="AK34" s="160">
        <f t="shared" si="11"/>
        <v>0</v>
      </c>
      <c r="AL34" s="160"/>
      <c r="AM34" s="160">
        <f t="shared" si="12"/>
        <v>0</v>
      </c>
      <c r="AN34" s="160"/>
      <c r="AO34" s="160">
        <f t="shared" si="13"/>
        <v>0</v>
      </c>
      <c r="AP34" s="160"/>
      <c r="AQ34" s="160">
        <f t="shared" si="14"/>
        <v>62.242556</v>
      </c>
      <c r="AS34" s="159"/>
    </row>
    <row r="35" spans="1:45" s="162" customFormat="1" ht="12.75">
      <c r="A35" s="401"/>
      <c r="B35" s="444">
        <v>633.3</v>
      </c>
      <c r="D35" s="386" t="s">
        <v>342</v>
      </c>
      <c r="E35" s="202"/>
      <c r="F35" s="148">
        <v>2</v>
      </c>
      <c r="G35" s="203"/>
      <c r="H35" s="332">
        <v>1396.5</v>
      </c>
      <c r="I35" s="203"/>
      <c r="J35" s="218">
        <f t="shared" si="0"/>
        <v>763.0476</v>
      </c>
      <c r="K35" s="353"/>
      <c r="L35" s="218">
        <f t="shared" si="1"/>
        <v>351.77835000000005</v>
      </c>
      <c r="M35" s="353"/>
      <c r="N35" s="218">
        <f t="shared" si="2"/>
        <v>135.32085</v>
      </c>
      <c r="O35" s="353"/>
      <c r="P35" s="218">
        <f t="shared" si="3"/>
        <v>76.66785</v>
      </c>
      <c r="Q35" s="353"/>
      <c r="R35" s="218">
        <f t="shared" si="4"/>
        <v>64.37865000000001</v>
      </c>
      <c r="S35" s="353"/>
      <c r="T35" s="218">
        <f t="shared" si="5"/>
        <v>5.3067</v>
      </c>
      <c r="U35"/>
      <c r="V35"/>
      <c r="W35" s="384">
        <v>633.3</v>
      </c>
      <c r="Y35" s="386" t="s">
        <v>342</v>
      </c>
      <c r="Z35" s="202"/>
      <c r="AA35" s="399">
        <f t="shared" si="6"/>
        <v>2</v>
      </c>
      <c r="AB35" s="138"/>
      <c r="AC35" s="399">
        <f t="shared" si="7"/>
        <v>1396.5</v>
      </c>
      <c r="AE35" s="160">
        <f t="shared" si="8"/>
        <v>867.5057999999999</v>
      </c>
      <c r="AF35" s="160"/>
      <c r="AG35" s="160">
        <f t="shared" si="9"/>
        <v>523.6875</v>
      </c>
      <c r="AH35" s="160"/>
      <c r="AI35" s="160">
        <f t="shared" si="10"/>
        <v>0</v>
      </c>
      <c r="AJ35" s="160"/>
      <c r="AK35" s="160">
        <f t="shared" si="11"/>
        <v>0</v>
      </c>
      <c r="AL35" s="160"/>
      <c r="AM35" s="160">
        <f t="shared" si="12"/>
        <v>0</v>
      </c>
      <c r="AN35" s="160"/>
      <c r="AO35" s="160">
        <f t="shared" si="13"/>
        <v>0</v>
      </c>
      <c r="AP35" s="160"/>
      <c r="AQ35" s="160">
        <f t="shared" si="14"/>
        <v>5.3067</v>
      </c>
      <c r="AS35" s="159"/>
    </row>
    <row r="36" spans="1:45" s="162" customFormat="1" ht="12.75">
      <c r="A36" s="401"/>
      <c r="B36" s="444">
        <v>635.3</v>
      </c>
      <c r="D36" s="386" t="s">
        <v>347</v>
      </c>
      <c r="E36" s="202"/>
      <c r="F36" s="148">
        <v>2</v>
      </c>
      <c r="G36" s="203"/>
      <c r="H36" s="332">
        <v>128085.63</v>
      </c>
      <c r="I36" s="203"/>
      <c r="J36" s="218">
        <f t="shared" si="0"/>
        <v>69985.988232</v>
      </c>
      <c r="K36" s="353"/>
      <c r="L36" s="218">
        <f t="shared" si="1"/>
        <v>32264.770197</v>
      </c>
      <c r="M36" s="353"/>
      <c r="N36" s="218">
        <f t="shared" si="2"/>
        <v>12411.497547</v>
      </c>
      <c r="O36" s="353"/>
      <c r="P36" s="218">
        <f t="shared" si="3"/>
        <v>7031.901087</v>
      </c>
      <c r="Q36" s="353"/>
      <c r="R36" s="218">
        <f t="shared" si="4"/>
        <v>5904.747543</v>
      </c>
      <c r="S36" s="353"/>
      <c r="T36" s="218">
        <f t="shared" si="5"/>
        <v>486.725394</v>
      </c>
      <c r="U36"/>
      <c r="V36"/>
      <c r="W36" s="384">
        <v>635.3</v>
      </c>
      <c r="Y36" s="386" t="s">
        <v>347</v>
      </c>
      <c r="Z36" s="202"/>
      <c r="AA36" s="399">
        <f t="shared" si="6"/>
        <v>2</v>
      </c>
      <c r="AB36" s="138"/>
      <c r="AC36" s="399">
        <f t="shared" si="7"/>
        <v>128085.63</v>
      </c>
      <c r="AE36" s="160">
        <f t="shared" si="8"/>
        <v>79566.793356</v>
      </c>
      <c r="AF36" s="160"/>
      <c r="AG36" s="160">
        <f t="shared" si="9"/>
        <v>48032.11125</v>
      </c>
      <c r="AH36" s="160"/>
      <c r="AI36" s="160">
        <f t="shared" si="10"/>
        <v>0</v>
      </c>
      <c r="AJ36" s="160"/>
      <c r="AK36" s="160">
        <f t="shared" si="11"/>
        <v>0</v>
      </c>
      <c r="AL36" s="160"/>
      <c r="AM36" s="160">
        <f t="shared" si="12"/>
        <v>0</v>
      </c>
      <c r="AN36" s="160"/>
      <c r="AO36" s="160">
        <f t="shared" si="13"/>
        <v>0</v>
      </c>
      <c r="AP36" s="160"/>
      <c r="AQ36" s="160">
        <f t="shared" si="14"/>
        <v>486.725394</v>
      </c>
      <c r="AS36" s="159"/>
    </row>
    <row r="37" spans="1:45" s="162" customFormat="1" ht="12.75">
      <c r="A37" s="401"/>
      <c r="B37" s="444">
        <v>635.3</v>
      </c>
      <c r="D37" s="386" t="s">
        <v>348</v>
      </c>
      <c r="E37" s="202"/>
      <c r="F37" s="148">
        <v>2</v>
      </c>
      <c r="G37" s="203"/>
      <c r="H37" s="332">
        <v>56571.31</v>
      </c>
      <c r="I37" s="203"/>
      <c r="J37" s="218">
        <f t="shared" si="0"/>
        <v>30910.563783999998</v>
      </c>
      <c r="K37" s="353"/>
      <c r="L37" s="218">
        <f t="shared" si="1"/>
        <v>14250.312989</v>
      </c>
      <c r="M37" s="353"/>
      <c r="N37" s="218">
        <f t="shared" si="2"/>
        <v>5481.759939</v>
      </c>
      <c r="O37" s="353"/>
      <c r="P37" s="218">
        <f t="shared" si="3"/>
        <v>3105.7649189999997</v>
      </c>
      <c r="Q37" s="353"/>
      <c r="R37" s="218">
        <f t="shared" si="4"/>
        <v>2607.937391</v>
      </c>
      <c r="S37" s="353"/>
      <c r="T37" s="218">
        <f t="shared" si="5"/>
        <v>214.970978</v>
      </c>
      <c r="U37"/>
      <c r="V37"/>
      <c r="W37" s="384">
        <v>635.3</v>
      </c>
      <c r="Y37" s="386" t="s">
        <v>348</v>
      </c>
      <c r="Z37" s="202"/>
      <c r="AA37" s="399">
        <f t="shared" si="6"/>
        <v>2</v>
      </c>
      <c r="AB37" s="138"/>
      <c r="AC37" s="399">
        <f t="shared" si="7"/>
        <v>56571.31</v>
      </c>
      <c r="AE37" s="160">
        <f t="shared" si="8"/>
        <v>35142.097771999994</v>
      </c>
      <c r="AF37" s="160"/>
      <c r="AG37" s="160">
        <f t="shared" si="9"/>
        <v>21214.24125</v>
      </c>
      <c r="AH37" s="160"/>
      <c r="AI37" s="160">
        <f t="shared" si="10"/>
        <v>0</v>
      </c>
      <c r="AJ37" s="160"/>
      <c r="AK37" s="160">
        <f t="shared" si="11"/>
        <v>0</v>
      </c>
      <c r="AL37" s="160"/>
      <c r="AM37" s="160">
        <f t="shared" si="12"/>
        <v>0</v>
      </c>
      <c r="AN37" s="160"/>
      <c r="AO37" s="160">
        <f t="shared" si="13"/>
        <v>0</v>
      </c>
      <c r="AP37" s="160"/>
      <c r="AQ37" s="160">
        <f t="shared" si="14"/>
        <v>214.970978</v>
      </c>
      <c r="AS37" s="159"/>
    </row>
    <row r="38" spans="1:45" s="162" customFormat="1" ht="12.75">
      <c r="A38" s="401"/>
      <c r="B38" s="444">
        <v>635.3</v>
      </c>
      <c r="D38" s="386" t="s">
        <v>349</v>
      </c>
      <c r="E38" s="202"/>
      <c r="F38" s="148">
        <v>2</v>
      </c>
      <c r="G38" s="203"/>
      <c r="H38" s="332">
        <v>182252.46</v>
      </c>
      <c r="I38" s="203"/>
      <c r="J38" s="218">
        <f t="shared" si="0"/>
        <v>99582.744144</v>
      </c>
      <c r="K38" s="353"/>
      <c r="L38" s="218">
        <f t="shared" si="1"/>
        <v>45909.394674</v>
      </c>
      <c r="M38" s="353"/>
      <c r="N38" s="218">
        <f t="shared" si="2"/>
        <v>17660.263374</v>
      </c>
      <c r="O38" s="353"/>
      <c r="P38" s="218">
        <f t="shared" si="3"/>
        <v>10005.660054</v>
      </c>
      <c r="Q38" s="353"/>
      <c r="R38" s="218">
        <f t="shared" si="4"/>
        <v>8401.838406</v>
      </c>
      <c r="S38" s="355"/>
      <c r="T38" s="218">
        <f t="shared" si="5"/>
        <v>692.559348</v>
      </c>
      <c r="U38"/>
      <c r="V38"/>
      <c r="W38" s="384">
        <v>635.3</v>
      </c>
      <c r="Y38" s="386" t="s">
        <v>349</v>
      </c>
      <c r="Z38" s="202"/>
      <c r="AA38" s="399">
        <f t="shared" si="6"/>
        <v>2</v>
      </c>
      <c r="AB38" s="138"/>
      <c r="AC38" s="399">
        <f t="shared" si="7"/>
        <v>182252.46</v>
      </c>
      <c r="AE38" s="160">
        <f t="shared" si="8"/>
        <v>113215.228152</v>
      </c>
      <c r="AF38" s="160"/>
      <c r="AG38" s="160">
        <f t="shared" si="9"/>
        <v>68344.6725</v>
      </c>
      <c r="AH38" s="160"/>
      <c r="AI38" s="160">
        <f t="shared" si="10"/>
        <v>0</v>
      </c>
      <c r="AJ38" s="160"/>
      <c r="AK38" s="160">
        <f t="shared" si="11"/>
        <v>0</v>
      </c>
      <c r="AL38" s="160"/>
      <c r="AM38" s="160">
        <f t="shared" si="12"/>
        <v>0</v>
      </c>
      <c r="AN38" s="160"/>
      <c r="AO38" s="160">
        <f t="shared" si="13"/>
        <v>0</v>
      </c>
      <c r="AP38" s="160"/>
      <c r="AQ38" s="160">
        <f t="shared" si="14"/>
        <v>692.559348</v>
      </c>
      <c r="AS38" s="159"/>
    </row>
    <row r="39" spans="1:45" s="162" customFormat="1" ht="12.75">
      <c r="A39" s="401"/>
      <c r="B39" s="444">
        <v>650.3</v>
      </c>
      <c r="D39" s="386" t="s">
        <v>361</v>
      </c>
      <c r="E39" s="202"/>
      <c r="F39" s="148">
        <v>2</v>
      </c>
      <c r="G39" s="203"/>
      <c r="H39" s="394">
        <v>48567.93</v>
      </c>
      <c r="I39" s="203"/>
      <c r="J39" s="405">
        <f t="shared" si="0"/>
        <v>26537.516952</v>
      </c>
      <c r="K39" s="353"/>
      <c r="L39" s="405">
        <f t="shared" si="1"/>
        <v>12234.261567000001</v>
      </c>
      <c r="M39" s="353"/>
      <c r="N39" s="405">
        <f t="shared" si="2"/>
        <v>4706.232417</v>
      </c>
      <c r="O39" s="353"/>
      <c r="P39" s="405">
        <f t="shared" si="3"/>
        <v>2666.379357</v>
      </c>
      <c r="Q39" s="353"/>
      <c r="R39" s="405">
        <f t="shared" si="4"/>
        <v>2238.981573</v>
      </c>
      <c r="S39" s="355"/>
      <c r="T39" s="405">
        <f t="shared" si="5"/>
        <v>184.558134</v>
      </c>
      <c r="U39"/>
      <c r="V39"/>
      <c r="W39" s="384">
        <v>650.3</v>
      </c>
      <c r="Y39" s="386" t="s">
        <v>361</v>
      </c>
      <c r="Z39" s="202"/>
      <c r="AA39" s="399">
        <f t="shared" si="6"/>
        <v>2</v>
      </c>
      <c r="AB39" s="138"/>
      <c r="AC39" s="400">
        <f t="shared" si="7"/>
        <v>48567.93</v>
      </c>
      <c r="AE39" s="147">
        <f t="shared" si="8"/>
        <v>30170.398116</v>
      </c>
      <c r="AF39" s="160"/>
      <c r="AG39" s="147">
        <f t="shared" si="9"/>
        <v>18212.97375</v>
      </c>
      <c r="AH39" s="160"/>
      <c r="AI39" s="147">
        <f t="shared" si="10"/>
        <v>0</v>
      </c>
      <c r="AJ39" s="160"/>
      <c r="AK39" s="147">
        <f t="shared" si="11"/>
        <v>0</v>
      </c>
      <c r="AL39" s="160"/>
      <c r="AM39" s="147">
        <f t="shared" si="12"/>
        <v>0</v>
      </c>
      <c r="AN39" s="160"/>
      <c r="AO39" s="147">
        <f t="shared" si="13"/>
        <v>0</v>
      </c>
      <c r="AP39" s="160"/>
      <c r="AQ39" s="147">
        <f t="shared" si="14"/>
        <v>184.558134</v>
      </c>
      <c r="AS39" s="159"/>
    </row>
    <row r="40" spans="1:45" s="162" customFormat="1" ht="12.75">
      <c r="A40" s="431"/>
      <c r="B40" s="444"/>
      <c r="D40" s="390" t="s">
        <v>371</v>
      </c>
      <c r="E40" s="202"/>
      <c r="F40" s="148"/>
      <c r="G40" s="203"/>
      <c r="H40" s="393">
        <f>SUM(H28:H39)</f>
        <v>4494992.275003986</v>
      </c>
      <c r="I40" s="203"/>
      <c r="J40" s="393">
        <f>SUM(J28:J39)</f>
        <v>2404719.5885671787</v>
      </c>
      <c r="K40" s="203"/>
      <c r="L40" s="393">
        <f>SUM(L28:L39)</f>
        <v>1151296.8288525045</v>
      </c>
      <c r="M40" s="203"/>
      <c r="N40" s="393">
        <f>SUM(N28:N39)</f>
        <v>449110.87830188626</v>
      </c>
      <c r="O40" s="203"/>
      <c r="P40" s="393">
        <f>SUM(P28:P39)</f>
        <v>254422.08299271888</v>
      </c>
      <c r="Q40" s="203"/>
      <c r="R40" s="393">
        <f>SUM(R28:R39)</f>
        <v>213555.2354706838</v>
      </c>
      <c r="S40" s="203"/>
      <c r="T40" s="393">
        <f>SUM(T28:T39)</f>
        <v>21887.660819015153</v>
      </c>
      <c r="V40"/>
      <c r="W40" s="384"/>
      <c r="Y40" s="390" t="s">
        <v>371</v>
      </c>
      <c r="Z40" s="202"/>
      <c r="AA40" s="148"/>
      <c r="AC40" s="393">
        <f>SUM(AC28:AC39)</f>
        <v>4494992.275003986</v>
      </c>
      <c r="AE40" s="393">
        <f>SUM(AE28:AE39)</f>
        <v>3606804.699808476</v>
      </c>
      <c r="AG40" s="393">
        <f>SUM(AG28:AG39)</f>
        <v>866299.9143764948</v>
      </c>
      <c r="AI40" s="393">
        <f>SUM(AI28:AI39)</f>
        <v>0</v>
      </c>
      <c r="AK40" s="393">
        <f>SUM(AK28:AK39)</f>
        <v>0</v>
      </c>
      <c r="AM40" s="393">
        <f>SUM(AM28:AM39)</f>
        <v>0</v>
      </c>
      <c r="AO40" s="393">
        <f>SUM(AO28:AO39)</f>
        <v>0</v>
      </c>
      <c r="AQ40" s="393">
        <f>SUM(AQ28:AQ39)</f>
        <v>21887.660819015153</v>
      </c>
      <c r="AS40" s="159"/>
    </row>
    <row r="41" spans="1:45" s="162" customFormat="1" ht="12.75">
      <c r="A41" s="401"/>
      <c r="B41" s="444"/>
      <c r="D41" s="391"/>
      <c r="E41" s="202"/>
      <c r="F41" s="148"/>
      <c r="G41" s="203"/>
      <c r="H41" s="160"/>
      <c r="I41" s="203"/>
      <c r="J41" s="160"/>
      <c r="K41" s="204"/>
      <c r="L41" s="160"/>
      <c r="M41" s="204"/>
      <c r="N41" s="160"/>
      <c r="O41" s="204"/>
      <c r="P41" s="160"/>
      <c r="Q41" s="204"/>
      <c r="R41" s="160"/>
      <c r="S41" s="204"/>
      <c r="T41" s="160"/>
      <c r="V41"/>
      <c r="W41" s="384"/>
      <c r="Y41" s="391"/>
      <c r="Z41" s="202"/>
      <c r="AA41" s="148"/>
      <c r="AC41" s="377"/>
      <c r="AE41" s="160"/>
      <c r="AF41" s="160"/>
      <c r="AG41" s="160"/>
      <c r="AH41" s="160"/>
      <c r="AI41" s="160"/>
      <c r="AJ41" s="160"/>
      <c r="AK41" s="160"/>
      <c r="AL41" s="160"/>
      <c r="AM41" s="160"/>
      <c r="AN41" s="160"/>
      <c r="AO41" s="160"/>
      <c r="AP41" s="160"/>
      <c r="AQ41" s="160"/>
      <c r="AS41" s="159"/>
    </row>
    <row r="42" spans="1:45" s="162" customFormat="1" ht="12.75">
      <c r="A42" s="401"/>
      <c r="B42" s="444"/>
      <c r="D42" s="382" t="s">
        <v>238</v>
      </c>
      <c r="E42" s="202"/>
      <c r="F42" s="148"/>
      <c r="G42" s="203"/>
      <c r="H42" s="160"/>
      <c r="I42" s="203"/>
      <c r="J42" s="160"/>
      <c r="K42" s="204"/>
      <c r="L42" s="160"/>
      <c r="M42" s="204"/>
      <c r="N42" s="160"/>
      <c r="O42" s="204"/>
      <c r="P42" s="160"/>
      <c r="Q42" s="204"/>
      <c r="R42" s="160"/>
      <c r="S42" s="204"/>
      <c r="T42" s="160"/>
      <c r="V42"/>
      <c r="W42" s="384"/>
      <c r="Y42" s="382" t="s">
        <v>238</v>
      </c>
      <c r="Z42" s="202"/>
      <c r="AA42" s="148"/>
      <c r="AC42" s="377"/>
      <c r="AE42" s="160"/>
      <c r="AF42" s="160"/>
      <c r="AG42" s="160"/>
      <c r="AH42" s="160"/>
      <c r="AI42" s="160"/>
      <c r="AJ42" s="160"/>
      <c r="AK42" s="160"/>
      <c r="AL42" s="160"/>
      <c r="AM42" s="160"/>
      <c r="AN42" s="160"/>
      <c r="AO42" s="160"/>
      <c r="AP42" s="160"/>
      <c r="AQ42" s="160"/>
      <c r="AS42" s="159"/>
    </row>
    <row r="43" spans="1:45" s="162" customFormat="1" ht="12.75">
      <c r="A43" s="401"/>
      <c r="B43" s="444">
        <v>601.4</v>
      </c>
      <c r="D43" s="386" t="s">
        <v>436</v>
      </c>
      <c r="E43" s="202"/>
      <c r="F43" s="148">
        <v>2</v>
      </c>
      <c r="G43" s="203"/>
      <c r="H43" s="332">
        <v>756821.574179752</v>
      </c>
      <c r="I43" s="203"/>
      <c r="J43" s="218">
        <f>(VLOOKUP($F43,Factors,J$324))*$H43</f>
        <v>413527.3081318165</v>
      </c>
      <c r="K43" s="353"/>
      <c r="L43" s="218">
        <f>(VLOOKUP($F43,Factors,L$324))*$H43</f>
        <v>190643.35453587954</v>
      </c>
      <c r="M43" s="353"/>
      <c r="N43" s="218">
        <f>(VLOOKUP($F43,Factors,N$324))*$H43</f>
        <v>73336.01053801797</v>
      </c>
      <c r="O43" s="353"/>
      <c r="P43" s="218">
        <f>(VLOOKUP($F43,Factors,P$324))*$H43</f>
        <v>41549.50442246839</v>
      </c>
      <c r="Q43" s="353"/>
      <c r="R43" s="218">
        <f>(VLOOKUP($F43,Factors,R$324))*$H43</f>
        <v>34889.47456968657</v>
      </c>
      <c r="S43" s="353"/>
      <c r="T43" s="218">
        <f>(VLOOKUP($F43,Factors,T$324))*$H43</f>
        <v>2875.921981883058</v>
      </c>
      <c r="V43"/>
      <c r="W43" s="384">
        <v>601.4</v>
      </c>
      <c r="Y43" s="386" t="s">
        <v>436</v>
      </c>
      <c r="Z43" s="202"/>
      <c r="AA43" s="399">
        <f>+F43</f>
        <v>2</v>
      </c>
      <c r="AB43" s="138"/>
      <c r="AC43" s="399">
        <f>+H43</f>
        <v>756821.574179752</v>
      </c>
      <c r="AE43" s="160">
        <f>(VLOOKUP($AA43,func,AE$324))*$AC43</f>
        <v>470137.56188046193</v>
      </c>
      <c r="AF43" s="160"/>
      <c r="AG43" s="160">
        <f>(VLOOKUP($AA43,func,AG$324))*$AC43</f>
        <v>283808.09031740704</v>
      </c>
      <c r="AH43" s="160"/>
      <c r="AI43" s="160">
        <f>(VLOOKUP($AA43,func,AI$324))*$AC43</f>
        <v>0</v>
      </c>
      <c r="AJ43" s="160"/>
      <c r="AK43" s="160">
        <f>(VLOOKUP($AA43,func,AK$324))*$AC43</f>
        <v>0</v>
      </c>
      <c r="AL43" s="160"/>
      <c r="AM43" s="160">
        <f>(VLOOKUP($AA43,func,AM$324))*$AC43</f>
        <v>0</v>
      </c>
      <c r="AN43" s="160"/>
      <c r="AO43" s="160">
        <f>(VLOOKUP($AA43,func,AO$324))*$AC43</f>
        <v>0</v>
      </c>
      <c r="AP43" s="160"/>
      <c r="AQ43" s="160">
        <f>(VLOOKUP($AA43,func,AQ$324))*$AC43</f>
        <v>2875.921981883058</v>
      </c>
      <c r="AS43" s="159"/>
    </row>
    <row r="44" spans="1:45" s="162" customFormat="1" ht="12.75">
      <c r="A44" s="401"/>
      <c r="B44" s="444">
        <v>620.4</v>
      </c>
      <c r="D44" s="386" t="s">
        <v>334</v>
      </c>
      <c r="E44" s="202"/>
      <c r="F44" s="148">
        <v>2</v>
      </c>
      <c r="G44" s="203"/>
      <c r="H44" s="332">
        <v>191116.59</v>
      </c>
      <c r="I44" s="203"/>
      <c r="J44" s="218">
        <f>(VLOOKUP($F44,Factors,J$324))*$H44</f>
        <v>104426.104776</v>
      </c>
      <c r="K44" s="353"/>
      <c r="L44" s="218">
        <f>(VLOOKUP($F44,Factors,L$324))*$H44</f>
        <v>48142.269021</v>
      </c>
      <c r="M44" s="353"/>
      <c r="N44" s="218">
        <f>(VLOOKUP($F44,Factors,N$324))*$H44</f>
        <v>18519.197571</v>
      </c>
      <c r="O44" s="353"/>
      <c r="P44" s="218">
        <f>(VLOOKUP($F44,Factors,P$324))*$H44</f>
        <v>10492.300791</v>
      </c>
      <c r="Q44" s="353"/>
      <c r="R44" s="218">
        <f>(VLOOKUP($F44,Factors,R$324))*$H44</f>
        <v>8810.474799</v>
      </c>
      <c r="S44" s="353"/>
      <c r="T44" s="218">
        <f>(VLOOKUP($F44,Factors,T$324))*$H44</f>
        <v>726.243042</v>
      </c>
      <c r="V44"/>
      <c r="W44" s="384">
        <v>620.4</v>
      </c>
      <c r="Y44" s="386" t="s">
        <v>334</v>
      </c>
      <c r="Z44" s="202"/>
      <c r="AA44" s="399">
        <f>+F44</f>
        <v>2</v>
      </c>
      <c r="AB44" s="138"/>
      <c r="AC44" s="399">
        <f>+H44</f>
        <v>191116.59</v>
      </c>
      <c r="AE44" s="160">
        <f>(VLOOKUP($AA44,func,AE$324))*$AC44</f>
        <v>118721.62570799999</v>
      </c>
      <c r="AF44" s="160"/>
      <c r="AG44" s="160">
        <f>(VLOOKUP($AA44,func,AG$324))*$AC44</f>
        <v>71668.72125</v>
      </c>
      <c r="AH44" s="160"/>
      <c r="AI44" s="160">
        <f>(VLOOKUP($AA44,func,AI$324))*$AC44</f>
        <v>0</v>
      </c>
      <c r="AJ44" s="160"/>
      <c r="AK44" s="160">
        <f>(VLOOKUP($AA44,func,AK$324))*$AC44</f>
        <v>0</v>
      </c>
      <c r="AL44" s="160"/>
      <c r="AM44" s="160">
        <f>(VLOOKUP($AA44,func,AM$324))*$AC44</f>
        <v>0</v>
      </c>
      <c r="AN44" s="160"/>
      <c r="AO44" s="160">
        <f>(VLOOKUP($AA44,func,AO$324))*$AC44</f>
        <v>0</v>
      </c>
      <c r="AP44" s="160"/>
      <c r="AQ44" s="160">
        <f>(VLOOKUP($AA44,func,AQ$324))*$AC44</f>
        <v>726.243042</v>
      </c>
      <c r="AS44" s="159"/>
    </row>
    <row r="45" spans="1:45" s="162" customFormat="1" ht="12.75">
      <c r="A45" s="401"/>
      <c r="B45" s="444">
        <v>635.4</v>
      </c>
      <c r="D45" s="386" t="s">
        <v>349</v>
      </c>
      <c r="E45" s="202"/>
      <c r="F45" s="148">
        <v>2</v>
      </c>
      <c r="G45" s="203"/>
      <c r="H45" s="332">
        <v>304397.4</v>
      </c>
      <c r="I45" s="203"/>
      <c r="J45" s="218">
        <f>(VLOOKUP($F45,Factors,J$324))*$H45</f>
        <v>166322.73936</v>
      </c>
      <c r="K45" s="353"/>
      <c r="L45" s="218">
        <f>(VLOOKUP($F45,Factors,L$324))*$H45</f>
        <v>76677.70506000001</v>
      </c>
      <c r="M45" s="353"/>
      <c r="N45" s="218">
        <f>(VLOOKUP($F45,Factors,N$324))*$H45</f>
        <v>29496.108060000002</v>
      </c>
      <c r="O45" s="353"/>
      <c r="P45" s="218">
        <f>(VLOOKUP($F45,Factors,P$324))*$H45</f>
        <v>16711.417260000002</v>
      </c>
      <c r="Q45" s="353"/>
      <c r="R45" s="218">
        <f>(VLOOKUP($F45,Factors,R$324))*$H45</f>
        <v>14032.720140000001</v>
      </c>
      <c r="S45" s="353"/>
      <c r="T45" s="218">
        <f>(VLOOKUP($F45,Factors,T$324))*$H45</f>
        <v>1156.7101200000002</v>
      </c>
      <c r="V45"/>
      <c r="W45" s="384">
        <v>635.4</v>
      </c>
      <c r="Y45" s="386" t="s">
        <v>349</v>
      </c>
      <c r="Z45" s="202"/>
      <c r="AA45" s="399">
        <f>+F45</f>
        <v>2</v>
      </c>
      <c r="AB45" s="138"/>
      <c r="AC45" s="399">
        <f>+H45</f>
        <v>304397.4</v>
      </c>
      <c r="AE45" s="160">
        <f>(VLOOKUP($AA45,func,AE$324))*$AC45</f>
        <v>189091.66488</v>
      </c>
      <c r="AF45" s="160"/>
      <c r="AG45" s="160">
        <f>(VLOOKUP($AA45,func,AG$324))*$AC45</f>
        <v>114149.02500000001</v>
      </c>
      <c r="AH45" s="160"/>
      <c r="AI45" s="160">
        <f>(VLOOKUP($AA45,func,AI$324))*$AC45</f>
        <v>0</v>
      </c>
      <c r="AJ45" s="160"/>
      <c r="AK45" s="160">
        <f>(VLOOKUP($AA45,func,AK$324))*$AC45</f>
        <v>0</v>
      </c>
      <c r="AL45" s="160"/>
      <c r="AM45" s="160">
        <f>(VLOOKUP($AA45,func,AM$324))*$AC45</f>
        <v>0</v>
      </c>
      <c r="AN45" s="160"/>
      <c r="AO45" s="160">
        <f>(VLOOKUP($AA45,func,AO$324))*$AC45</f>
        <v>0</v>
      </c>
      <c r="AP45" s="160"/>
      <c r="AQ45" s="160">
        <f>(VLOOKUP($AA45,func,AQ$324))*$AC45</f>
        <v>1156.7101200000002</v>
      </c>
      <c r="AS45" s="159"/>
    </row>
    <row r="46" spans="1:45" s="162" customFormat="1" ht="12.75">
      <c r="A46" s="401"/>
      <c r="B46" s="444">
        <v>650.4</v>
      </c>
      <c r="D46" s="386" t="s">
        <v>361</v>
      </c>
      <c r="E46" s="378"/>
      <c r="F46" s="379">
        <v>2</v>
      </c>
      <c r="G46" s="380"/>
      <c r="H46" s="394">
        <v>93.5</v>
      </c>
      <c r="I46" s="380"/>
      <c r="J46" s="405">
        <f>(VLOOKUP($F46,Factors,J$324))*$H46</f>
        <v>51.0884</v>
      </c>
      <c r="K46" s="353"/>
      <c r="L46" s="405">
        <f>(VLOOKUP($F46,Factors,L$324))*$H46</f>
        <v>23.55265</v>
      </c>
      <c r="M46" s="353"/>
      <c r="N46" s="405">
        <f>(VLOOKUP($F46,Factors,N$324))*$H46</f>
        <v>9.06015</v>
      </c>
      <c r="O46" s="353"/>
      <c r="P46" s="405">
        <f>(VLOOKUP($F46,Factors,P$324))*$H46</f>
        <v>5.13315</v>
      </c>
      <c r="Q46" s="353"/>
      <c r="R46" s="405">
        <f>(VLOOKUP($F46,Factors,R$324))*$H46</f>
        <v>4.310350000000001</v>
      </c>
      <c r="S46" s="353"/>
      <c r="T46" s="405">
        <f>(VLOOKUP($F46,Factors,T$324))*$H46</f>
        <v>0.3553</v>
      </c>
      <c r="V46"/>
      <c r="W46" s="384">
        <v>650.4</v>
      </c>
      <c r="Y46" s="386" t="s">
        <v>361</v>
      </c>
      <c r="Z46" s="378"/>
      <c r="AA46" s="399">
        <f>+F46</f>
        <v>2</v>
      </c>
      <c r="AB46" s="138"/>
      <c r="AC46" s="400">
        <f>+H46</f>
        <v>93.5</v>
      </c>
      <c r="AE46" s="147">
        <f>(VLOOKUP($AA46,func,AE$324))*$AC46</f>
        <v>58.0822</v>
      </c>
      <c r="AF46" s="160"/>
      <c r="AG46" s="147">
        <f>(VLOOKUP($AA46,func,AG$324))*$AC46</f>
        <v>35.0625</v>
      </c>
      <c r="AH46" s="160"/>
      <c r="AI46" s="147">
        <f>(VLOOKUP($AA46,func,AI$324))*$AC46</f>
        <v>0</v>
      </c>
      <c r="AJ46" s="160"/>
      <c r="AK46" s="147">
        <f>(VLOOKUP($AA46,func,AK$324))*$AC46</f>
        <v>0</v>
      </c>
      <c r="AL46" s="160"/>
      <c r="AM46" s="147">
        <f>(VLOOKUP($AA46,func,AM$324))*$AC46</f>
        <v>0</v>
      </c>
      <c r="AN46" s="160"/>
      <c r="AO46" s="147">
        <f>(VLOOKUP($AA46,func,AO$324))*$AC46</f>
        <v>0</v>
      </c>
      <c r="AP46" s="160"/>
      <c r="AQ46" s="147">
        <f>(VLOOKUP($AA46,func,AQ$324))*$AC46</f>
        <v>0.3553</v>
      </c>
      <c r="AS46" s="159"/>
    </row>
    <row r="47" spans="1:45" s="162" customFormat="1" ht="12.75">
      <c r="A47" s="401"/>
      <c r="B47" s="444"/>
      <c r="D47" s="382" t="s">
        <v>372</v>
      </c>
      <c r="E47" s="202"/>
      <c r="F47" s="148"/>
      <c r="G47" s="203"/>
      <c r="H47" s="160">
        <f>SUM(H43:H46)</f>
        <v>1252429.064179752</v>
      </c>
      <c r="I47" s="203"/>
      <c r="J47" s="160">
        <f>SUM(J43:J46)</f>
        <v>684327.2406678165</v>
      </c>
      <c r="K47" s="203"/>
      <c r="L47" s="160">
        <f>SUM(L43:L46)</f>
        <v>315486.88126687956</v>
      </c>
      <c r="M47" s="203"/>
      <c r="N47" s="160">
        <f>SUM(N43:N46)</f>
        <v>121360.37631901797</v>
      </c>
      <c r="O47" s="203"/>
      <c r="P47" s="160">
        <f>SUM(P43:P46)</f>
        <v>68758.3556234684</v>
      </c>
      <c r="Q47" s="203"/>
      <c r="R47" s="160">
        <f>SUM(R43:R46)</f>
        <v>57736.97985868658</v>
      </c>
      <c r="S47" s="203"/>
      <c r="T47" s="160">
        <f>SUM(T43:T46)</f>
        <v>4759.230443883059</v>
      </c>
      <c r="V47"/>
      <c r="W47" s="384"/>
      <c r="Y47" s="382" t="s">
        <v>372</v>
      </c>
      <c r="Z47" s="202"/>
      <c r="AA47" s="148"/>
      <c r="AC47" s="160">
        <f>SUM(AC43:AC46)</f>
        <v>1252429.064179752</v>
      </c>
      <c r="AE47" s="160">
        <f>SUM(AE43:AE46)</f>
        <v>778008.9346684619</v>
      </c>
      <c r="AG47" s="160">
        <f>SUM(AG43:AG46)</f>
        <v>469660.89906740707</v>
      </c>
      <c r="AI47" s="160">
        <f>SUM(AI43:AI46)</f>
        <v>0</v>
      </c>
      <c r="AK47" s="160">
        <f>SUM(AK43:AK46)</f>
        <v>0</v>
      </c>
      <c r="AM47" s="160">
        <f>SUM(AM43:AM46)</f>
        <v>0</v>
      </c>
      <c r="AO47" s="160">
        <f>SUM(AO43:AO46)</f>
        <v>0</v>
      </c>
      <c r="AQ47" s="160">
        <f>SUM(AQ43:AQ46)</f>
        <v>4759.230443883059</v>
      </c>
      <c r="AS47" s="159"/>
    </row>
    <row r="48" spans="1:45" s="162" customFormat="1" ht="12.75">
      <c r="A48" s="401"/>
      <c r="B48" s="444"/>
      <c r="D48" s="280"/>
      <c r="E48" s="202"/>
      <c r="F48" s="148"/>
      <c r="G48" s="203"/>
      <c r="H48" s="160"/>
      <c r="I48" s="203"/>
      <c r="J48" s="160"/>
      <c r="K48" s="203"/>
      <c r="L48" s="160"/>
      <c r="M48" s="203"/>
      <c r="N48" s="160"/>
      <c r="O48" s="203"/>
      <c r="P48" s="160"/>
      <c r="Q48" s="203"/>
      <c r="R48" s="160"/>
      <c r="S48" s="203"/>
      <c r="T48" s="160"/>
      <c r="V48"/>
      <c r="W48" s="384"/>
      <c r="Y48" s="280"/>
      <c r="Z48" s="202"/>
      <c r="AA48" s="148"/>
      <c r="AC48" s="160"/>
      <c r="AE48" s="160"/>
      <c r="AG48" s="160"/>
      <c r="AI48" s="160"/>
      <c r="AK48" s="160"/>
      <c r="AM48" s="160"/>
      <c r="AO48" s="160"/>
      <c r="AQ48" s="160"/>
      <c r="AS48" s="159"/>
    </row>
    <row r="49" spans="1:45" s="162" customFormat="1" ht="12.75">
      <c r="A49" s="401"/>
      <c r="B49" s="444"/>
      <c r="D49" s="382" t="s">
        <v>374</v>
      </c>
      <c r="E49" s="202"/>
      <c r="F49" s="148"/>
      <c r="G49" s="203"/>
      <c r="H49" s="160">
        <f>+H40+H47</f>
        <v>5747421.339183738</v>
      </c>
      <c r="I49" s="203"/>
      <c r="J49" s="160">
        <f>+J40+J47</f>
        <v>3089046.829234995</v>
      </c>
      <c r="K49" s="203"/>
      <c r="L49" s="160">
        <f>+L40+L47</f>
        <v>1466783.710119384</v>
      </c>
      <c r="M49" s="203"/>
      <c r="N49" s="160">
        <f>+N40+N47</f>
        <v>570471.2546209042</v>
      </c>
      <c r="O49" s="203"/>
      <c r="P49" s="160">
        <f>+P40+P47</f>
        <v>323180.43861618725</v>
      </c>
      <c r="Q49" s="203"/>
      <c r="R49" s="160">
        <f>+R40+R47</f>
        <v>271292.2153293704</v>
      </c>
      <c r="S49" s="203"/>
      <c r="T49" s="160">
        <f>+T40+T47</f>
        <v>26646.89126289821</v>
      </c>
      <c r="V49"/>
      <c r="W49" s="384"/>
      <c r="Y49" s="382" t="s">
        <v>374</v>
      </c>
      <c r="Z49" s="202"/>
      <c r="AA49" s="148"/>
      <c r="AC49" s="160">
        <f>+AC40+AC47</f>
        <v>5747421.339183738</v>
      </c>
      <c r="AE49" s="160">
        <f>+AE40+AE47</f>
        <v>4384813.634476938</v>
      </c>
      <c r="AG49" s="160">
        <f>+AG40+AG47</f>
        <v>1335960.813443902</v>
      </c>
      <c r="AI49" s="160">
        <f>+AI40+AI47</f>
        <v>0</v>
      </c>
      <c r="AK49" s="160">
        <f>+AK40+AK47</f>
        <v>0</v>
      </c>
      <c r="AM49" s="160">
        <f>+AM40+AM47</f>
        <v>0</v>
      </c>
      <c r="AO49" s="160">
        <f>+AO40+AO47</f>
        <v>0</v>
      </c>
      <c r="AQ49" s="160">
        <f>+AQ40+AQ47</f>
        <v>26646.89126289821</v>
      </c>
      <c r="AS49" s="159"/>
    </row>
    <row r="50" spans="1:45" s="162" customFormat="1" ht="12.75">
      <c r="A50" s="401"/>
      <c r="B50" s="444"/>
      <c r="D50" s="280"/>
      <c r="E50" s="202"/>
      <c r="F50" s="148"/>
      <c r="G50" s="203"/>
      <c r="H50" s="160"/>
      <c r="I50" s="203"/>
      <c r="J50" s="160"/>
      <c r="K50" s="204"/>
      <c r="L50" s="160"/>
      <c r="M50" s="204"/>
      <c r="N50" s="160"/>
      <c r="O50" s="204"/>
      <c r="P50" s="160"/>
      <c r="Q50" s="204"/>
      <c r="R50" s="160"/>
      <c r="S50" s="204"/>
      <c r="T50" s="160"/>
      <c r="V50"/>
      <c r="W50" s="384"/>
      <c r="Y50" s="280"/>
      <c r="Z50" s="202"/>
      <c r="AA50" s="148"/>
      <c r="AC50" s="377"/>
      <c r="AE50" s="160"/>
      <c r="AF50" s="160"/>
      <c r="AG50" s="160"/>
      <c r="AH50" s="160"/>
      <c r="AI50" s="160"/>
      <c r="AJ50" s="160"/>
      <c r="AK50" s="160"/>
      <c r="AL50" s="160"/>
      <c r="AM50" s="160"/>
      <c r="AN50" s="160"/>
      <c r="AO50" s="160"/>
      <c r="AP50" s="160"/>
      <c r="AQ50" s="160"/>
      <c r="AS50" s="159"/>
    </row>
    <row r="51" spans="1:45" s="162" customFormat="1" ht="12.75">
      <c r="A51" s="401"/>
      <c r="B51" s="444"/>
      <c r="D51" s="221" t="s">
        <v>437</v>
      </c>
      <c r="E51" s="378"/>
      <c r="F51" s="379"/>
      <c r="G51" s="380"/>
      <c r="H51" s="160"/>
      <c r="I51" s="380"/>
      <c r="J51" s="381"/>
      <c r="K51" s="377"/>
      <c r="L51" s="381"/>
      <c r="M51" s="377"/>
      <c r="N51" s="381"/>
      <c r="O51" s="377"/>
      <c r="P51" s="381"/>
      <c r="Q51" s="377"/>
      <c r="R51" s="381"/>
      <c r="S51" s="377"/>
      <c r="T51" s="381"/>
      <c r="V51"/>
      <c r="W51" s="384"/>
      <c r="Y51" s="221" t="s">
        <v>437</v>
      </c>
      <c r="Z51" s="378"/>
      <c r="AA51" s="379"/>
      <c r="AC51" s="377"/>
      <c r="AE51" s="381"/>
      <c r="AF51" s="381"/>
      <c r="AG51" s="381"/>
      <c r="AH51" s="381"/>
      <c r="AI51" s="381"/>
      <c r="AJ51" s="381"/>
      <c r="AK51" s="381"/>
      <c r="AL51" s="381"/>
      <c r="AM51" s="381"/>
      <c r="AN51" s="381"/>
      <c r="AO51" s="381"/>
      <c r="AP51" s="381"/>
      <c r="AQ51" s="381"/>
      <c r="AS51" s="159"/>
    </row>
    <row r="52" spans="1:45" s="162" customFormat="1" ht="12.75">
      <c r="A52" s="401"/>
      <c r="B52" s="444"/>
      <c r="D52" s="382" t="s">
        <v>434</v>
      </c>
      <c r="E52" s="378"/>
      <c r="F52" s="379"/>
      <c r="G52" s="380"/>
      <c r="H52" s="160"/>
      <c r="I52" s="380"/>
      <c r="J52" s="381"/>
      <c r="K52" s="377"/>
      <c r="L52" s="381"/>
      <c r="M52" s="377"/>
      <c r="N52" s="381"/>
      <c r="O52" s="377"/>
      <c r="P52" s="381"/>
      <c r="Q52" s="377"/>
      <c r="R52" s="381"/>
      <c r="S52" s="377"/>
      <c r="T52" s="381"/>
      <c r="V52"/>
      <c r="W52" s="384"/>
      <c r="Y52" s="382" t="s">
        <v>434</v>
      </c>
      <c r="Z52" s="378"/>
      <c r="AA52" s="379"/>
      <c r="AC52" s="377"/>
      <c r="AE52" s="381"/>
      <c r="AF52" s="381"/>
      <c r="AG52" s="381"/>
      <c r="AH52" s="381"/>
      <c r="AI52" s="381"/>
      <c r="AJ52" s="381"/>
      <c r="AK52" s="381"/>
      <c r="AL52" s="381"/>
      <c r="AM52" s="381"/>
      <c r="AN52" s="381"/>
      <c r="AO52" s="381"/>
      <c r="AP52" s="381"/>
      <c r="AQ52" s="381"/>
      <c r="AS52" s="159"/>
    </row>
    <row r="53" spans="1:45" s="162" customFormat="1" ht="12.75">
      <c r="A53" s="401"/>
      <c r="B53" s="444">
        <v>601.5</v>
      </c>
      <c r="D53" s="138" t="s">
        <v>436</v>
      </c>
      <c r="E53" s="378"/>
      <c r="F53" s="379">
        <v>6</v>
      </c>
      <c r="G53" s="380"/>
      <c r="H53" s="160">
        <v>813920.9140144978</v>
      </c>
      <c r="I53" s="380"/>
      <c r="J53" s="218">
        <f aca="true" t="shared" si="15" ref="J53:J60">(VLOOKUP($F53,Factors,J$324))*$H53</f>
        <v>390356.47036135313</v>
      </c>
      <c r="K53" s="353"/>
      <c r="L53" s="218">
        <f aca="true" t="shared" si="16" ref="L53:L60">(VLOOKUP($F53,Factors,L$324))*$H53</f>
        <v>167911.88456119088</v>
      </c>
      <c r="M53" s="353"/>
      <c r="N53" s="218">
        <f aca="true" t="shared" si="17" ref="N53:N60">(VLOOKUP($F53,Factors,N$324))*$H53</f>
        <v>56811.679798211946</v>
      </c>
      <c r="O53" s="353"/>
      <c r="P53" s="218">
        <f aca="true" t="shared" si="18" ref="P53:P60">(VLOOKUP($F53,Factors,P$324))*$H53</f>
        <v>32149.876103572664</v>
      </c>
      <c r="Q53" s="353"/>
      <c r="R53" s="218">
        <f aca="true" t="shared" si="19" ref="R53:R60">(VLOOKUP($F53,Factors,R$324))*$H53</f>
        <v>7895.032865940629</v>
      </c>
      <c r="S53" s="353"/>
      <c r="T53" s="218">
        <f aca="true" t="shared" si="20" ref="T53:T60">(VLOOKUP($F53,Factors,T$324))*$H53</f>
        <v>158795.97032422852</v>
      </c>
      <c r="V53"/>
      <c r="W53" s="384">
        <v>601.5</v>
      </c>
      <c r="Y53" s="138" t="s">
        <v>436</v>
      </c>
      <c r="Z53" s="378"/>
      <c r="AA53" s="399">
        <f aca="true" t="shared" si="21" ref="AA53:AA60">+F53</f>
        <v>6</v>
      </c>
      <c r="AB53" s="138"/>
      <c r="AC53" s="399">
        <f aca="true" t="shared" si="22" ref="AC53:AC60">+H53</f>
        <v>813920.9140144978</v>
      </c>
      <c r="AE53" s="160">
        <f aca="true" t="shared" si="23" ref="AE53:AE60">(VLOOKUP($AA53,func,AE$324))*$AC53</f>
        <v>307580.7134060787</v>
      </c>
      <c r="AF53" s="160"/>
      <c r="AG53" s="160">
        <f aca="true" t="shared" si="24" ref="AG53:AG60">(VLOOKUP($AA53,func,AG$324))*$AC53</f>
        <v>64136.96802434242</v>
      </c>
      <c r="AH53" s="160"/>
      <c r="AI53" s="160">
        <f aca="true" t="shared" si="25" ref="AI53:AI60">(VLOOKUP($AA53,func,AI$324))*$AC53</f>
        <v>283407.2622598481</v>
      </c>
      <c r="AJ53" s="160"/>
      <c r="AK53" s="160">
        <f aca="true" t="shared" si="26" ref="AK53:AK60">(VLOOKUP($AA53,func,AK$324))*$AC53</f>
        <v>0</v>
      </c>
      <c r="AL53" s="160"/>
      <c r="AM53" s="160">
        <f aca="true" t="shared" si="27" ref="AM53:AM60">(VLOOKUP($AA53,func,AM$324))*$AC53</f>
        <v>0</v>
      </c>
      <c r="AN53" s="160"/>
      <c r="AO53" s="160">
        <f aca="true" t="shared" si="28" ref="AO53:AO60">(VLOOKUP($AA53,func,AO$324))*$AC53</f>
        <v>0</v>
      </c>
      <c r="AP53" s="160"/>
      <c r="AQ53" s="160">
        <f aca="true" t="shared" si="29" ref="AQ53:AQ60">(VLOOKUP($AA53,func,AQ$324))*$AC53</f>
        <v>158795.97032422852</v>
      </c>
      <c r="AS53" s="159"/>
    </row>
    <row r="54" spans="1:45" s="162" customFormat="1" ht="12.75">
      <c r="A54" s="401"/>
      <c r="B54" s="444">
        <v>615.5</v>
      </c>
      <c r="D54" s="138" t="s">
        <v>330</v>
      </c>
      <c r="E54" s="202"/>
      <c r="F54" s="148">
        <v>1</v>
      </c>
      <c r="G54" s="203"/>
      <c r="H54" s="160">
        <v>1266476.04</v>
      </c>
      <c r="I54" s="203"/>
      <c r="J54" s="218">
        <f t="shared" si="15"/>
        <v>662240.3213160001</v>
      </c>
      <c r="K54" s="353"/>
      <c r="L54" s="218">
        <f t="shared" si="16"/>
        <v>330043.656024</v>
      </c>
      <c r="M54" s="353"/>
      <c r="N54" s="218">
        <f t="shared" si="17"/>
        <v>130573.679724</v>
      </c>
      <c r="O54" s="353"/>
      <c r="P54" s="218">
        <f t="shared" si="18"/>
        <v>73962.200736</v>
      </c>
      <c r="Q54" s="353"/>
      <c r="R54" s="218">
        <f t="shared" si="19"/>
        <v>62057.32596</v>
      </c>
      <c r="S54" s="353"/>
      <c r="T54" s="218">
        <f t="shared" si="20"/>
        <v>7598.85624</v>
      </c>
      <c r="V54"/>
      <c r="W54" s="384">
        <v>615.5</v>
      </c>
      <c r="Y54" s="138" t="s">
        <v>330</v>
      </c>
      <c r="Z54" s="202"/>
      <c r="AA54" s="399">
        <f t="shared" si="21"/>
        <v>1</v>
      </c>
      <c r="AB54" s="138"/>
      <c r="AC54" s="399">
        <f t="shared" si="22"/>
        <v>1266476.04</v>
      </c>
      <c r="AE54" s="160">
        <f t="shared" si="23"/>
        <v>1258877.18376</v>
      </c>
      <c r="AF54" s="160"/>
      <c r="AG54" s="160">
        <f t="shared" si="24"/>
        <v>0</v>
      </c>
      <c r="AH54" s="160"/>
      <c r="AI54" s="160">
        <f t="shared" si="25"/>
        <v>0</v>
      </c>
      <c r="AJ54" s="160"/>
      <c r="AK54" s="160">
        <f t="shared" si="26"/>
        <v>0</v>
      </c>
      <c r="AL54" s="160"/>
      <c r="AM54" s="160">
        <f t="shared" si="27"/>
        <v>0</v>
      </c>
      <c r="AN54" s="160"/>
      <c r="AO54" s="160">
        <f t="shared" si="28"/>
        <v>0</v>
      </c>
      <c r="AP54" s="160"/>
      <c r="AQ54" s="160">
        <f t="shared" si="29"/>
        <v>7598.85624</v>
      </c>
      <c r="AS54" s="159"/>
    </row>
    <row r="55" spans="1:45" s="162" customFormat="1" ht="12.75">
      <c r="A55" s="401"/>
      <c r="B55" s="444">
        <v>616.5</v>
      </c>
      <c r="D55" s="138" t="s">
        <v>332</v>
      </c>
      <c r="E55" s="202"/>
      <c r="F55" s="148">
        <v>6</v>
      </c>
      <c r="G55" s="203"/>
      <c r="H55" s="160">
        <v>3372.8</v>
      </c>
      <c r="I55" s="203"/>
      <c r="J55" s="218">
        <f t="shared" si="15"/>
        <v>1617.5948799999999</v>
      </c>
      <c r="K55" s="353"/>
      <c r="L55" s="218">
        <f t="shared" si="16"/>
        <v>695.80864</v>
      </c>
      <c r="M55" s="353"/>
      <c r="N55" s="218">
        <f t="shared" si="17"/>
        <v>235.42144000000002</v>
      </c>
      <c r="O55" s="353"/>
      <c r="P55" s="218">
        <f t="shared" si="18"/>
        <v>133.22560000000001</v>
      </c>
      <c r="Q55" s="353"/>
      <c r="R55" s="218">
        <f t="shared" si="19"/>
        <v>32.71616</v>
      </c>
      <c r="S55" s="353"/>
      <c r="T55" s="218">
        <f t="shared" si="20"/>
        <v>658.03328</v>
      </c>
      <c r="V55"/>
      <c r="W55" s="384">
        <v>616.5</v>
      </c>
      <c r="Y55" s="138" t="s">
        <v>332</v>
      </c>
      <c r="Z55" s="202"/>
      <c r="AA55" s="399">
        <f t="shared" si="21"/>
        <v>6</v>
      </c>
      <c r="AB55" s="138"/>
      <c r="AC55" s="399">
        <f t="shared" si="22"/>
        <v>3372.8</v>
      </c>
      <c r="AE55" s="160">
        <f t="shared" si="23"/>
        <v>1274.58112</v>
      </c>
      <c r="AF55" s="160"/>
      <c r="AG55" s="160">
        <f t="shared" si="24"/>
        <v>265.77664</v>
      </c>
      <c r="AH55" s="160"/>
      <c r="AI55" s="160">
        <f t="shared" si="25"/>
        <v>1174.4089600000002</v>
      </c>
      <c r="AJ55" s="160"/>
      <c r="AK55" s="160">
        <f t="shared" si="26"/>
        <v>0</v>
      </c>
      <c r="AL55" s="160"/>
      <c r="AM55" s="160">
        <f t="shared" si="27"/>
        <v>0</v>
      </c>
      <c r="AN55" s="160"/>
      <c r="AO55" s="160">
        <f t="shared" si="28"/>
        <v>0</v>
      </c>
      <c r="AP55" s="160"/>
      <c r="AQ55" s="160">
        <f t="shared" si="29"/>
        <v>658.03328</v>
      </c>
      <c r="AS55" s="159"/>
    </row>
    <row r="56" spans="1:45" s="162" customFormat="1" ht="12.75">
      <c r="A56" s="401"/>
      <c r="B56" s="444">
        <v>620.5</v>
      </c>
      <c r="D56" s="138" t="s">
        <v>334</v>
      </c>
      <c r="E56" s="202"/>
      <c r="F56" s="148">
        <v>6</v>
      </c>
      <c r="G56" s="203"/>
      <c r="H56" s="160">
        <v>127498.05</v>
      </c>
      <c r="I56" s="203"/>
      <c r="J56" s="218">
        <f t="shared" si="15"/>
        <v>61148.06478</v>
      </c>
      <c r="K56" s="353"/>
      <c r="L56" s="218">
        <f t="shared" si="16"/>
        <v>26302.847715</v>
      </c>
      <c r="M56" s="353"/>
      <c r="N56" s="218">
        <f t="shared" si="17"/>
        <v>8899.36389</v>
      </c>
      <c r="O56" s="353"/>
      <c r="P56" s="218">
        <f t="shared" si="18"/>
        <v>5036.172975</v>
      </c>
      <c r="Q56" s="353"/>
      <c r="R56" s="218">
        <f t="shared" si="19"/>
        <v>1236.7310850000001</v>
      </c>
      <c r="S56" s="353"/>
      <c r="T56" s="218">
        <f t="shared" si="20"/>
        <v>24874.869555</v>
      </c>
      <c r="V56"/>
      <c r="W56" s="384">
        <v>620.5</v>
      </c>
      <c r="Y56" s="138" t="s">
        <v>334</v>
      </c>
      <c r="Z56" s="202"/>
      <c r="AA56" s="399">
        <f t="shared" si="21"/>
        <v>6</v>
      </c>
      <c r="AB56" s="138"/>
      <c r="AC56" s="399">
        <f t="shared" si="22"/>
        <v>127498.05</v>
      </c>
      <c r="AD56" s="203"/>
      <c r="AE56" s="160">
        <f t="shared" si="23"/>
        <v>48181.513095</v>
      </c>
      <c r="AF56" s="160"/>
      <c r="AG56" s="160">
        <f t="shared" si="24"/>
        <v>10046.84634</v>
      </c>
      <c r="AH56" s="160"/>
      <c r="AI56" s="160">
        <f t="shared" si="25"/>
        <v>44394.82101</v>
      </c>
      <c r="AJ56" s="160"/>
      <c r="AK56" s="160">
        <f t="shared" si="26"/>
        <v>0</v>
      </c>
      <c r="AL56" s="160"/>
      <c r="AM56" s="160">
        <f t="shared" si="27"/>
        <v>0</v>
      </c>
      <c r="AN56" s="160"/>
      <c r="AO56" s="160">
        <f t="shared" si="28"/>
        <v>0</v>
      </c>
      <c r="AP56" s="160"/>
      <c r="AQ56" s="160">
        <f t="shared" si="29"/>
        <v>24874.869555</v>
      </c>
      <c r="AS56" s="159"/>
    </row>
    <row r="57" spans="1:45" s="162" customFormat="1" ht="12.75">
      <c r="A57" s="401"/>
      <c r="B57" s="444">
        <v>631.5</v>
      </c>
      <c r="D57" s="138" t="s">
        <v>340</v>
      </c>
      <c r="E57" s="202"/>
      <c r="F57" s="148">
        <v>6</v>
      </c>
      <c r="G57" s="203"/>
      <c r="H57" s="160">
        <v>6345.09</v>
      </c>
      <c r="I57" s="203"/>
      <c r="J57" s="218">
        <f t="shared" si="15"/>
        <v>3043.105164</v>
      </c>
      <c r="K57" s="353"/>
      <c r="L57" s="218">
        <f t="shared" si="16"/>
        <v>1308.992067</v>
      </c>
      <c r="M57" s="353"/>
      <c r="N57" s="218">
        <f t="shared" si="17"/>
        <v>442.887282</v>
      </c>
      <c r="O57" s="353"/>
      <c r="P57" s="218">
        <f t="shared" si="18"/>
        <v>250.631055</v>
      </c>
      <c r="Q57" s="353"/>
      <c r="R57" s="218">
        <f t="shared" si="19"/>
        <v>61.547373</v>
      </c>
      <c r="S57" s="353"/>
      <c r="T57" s="218">
        <f t="shared" si="20"/>
        <v>1237.927059</v>
      </c>
      <c r="V57"/>
      <c r="W57" s="384">
        <v>631.5</v>
      </c>
      <c r="Y57" s="138" t="s">
        <v>340</v>
      </c>
      <c r="Z57" s="202"/>
      <c r="AA57" s="399">
        <f t="shared" si="21"/>
        <v>6</v>
      </c>
      <c r="AB57" s="138"/>
      <c r="AC57" s="399">
        <f t="shared" si="22"/>
        <v>6345.09</v>
      </c>
      <c r="AD57" s="203"/>
      <c r="AE57" s="160">
        <f t="shared" si="23"/>
        <v>2397.809511</v>
      </c>
      <c r="AF57" s="160"/>
      <c r="AG57" s="160">
        <f t="shared" si="24"/>
        <v>499.993092</v>
      </c>
      <c r="AH57" s="160"/>
      <c r="AI57" s="160">
        <f t="shared" si="25"/>
        <v>2209.360338</v>
      </c>
      <c r="AJ57" s="160"/>
      <c r="AK57" s="160">
        <f t="shared" si="26"/>
        <v>0</v>
      </c>
      <c r="AL57" s="160"/>
      <c r="AM57" s="160">
        <f t="shared" si="27"/>
        <v>0</v>
      </c>
      <c r="AN57" s="160"/>
      <c r="AO57" s="160">
        <f t="shared" si="28"/>
        <v>0</v>
      </c>
      <c r="AP57" s="160"/>
      <c r="AQ57" s="160">
        <f t="shared" si="29"/>
        <v>1237.927059</v>
      </c>
      <c r="AS57" s="159"/>
    </row>
    <row r="58" spans="1:45" s="162" customFormat="1" ht="12.75">
      <c r="A58" s="401"/>
      <c r="B58" s="444">
        <v>633.5</v>
      </c>
      <c r="D58" s="138" t="s">
        <v>342</v>
      </c>
      <c r="E58" s="202"/>
      <c r="F58" s="148">
        <v>6</v>
      </c>
      <c r="G58" s="203"/>
      <c r="H58" s="160">
        <v>19920.94</v>
      </c>
      <c r="I58" s="203"/>
      <c r="J58" s="218">
        <f t="shared" si="15"/>
        <v>9554.082824</v>
      </c>
      <c r="K58" s="353"/>
      <c r="L58" s="218">
        <f t="shared" si="16"/>
        <v>4109.689922</v>
      </c>
      <c r="M58" s="353"/>
      <c r="N58" s="218">
        <f t="shared" si="17"/>
        <v>1390.4816119999998</v>
      </c>
      <c r="O58" s="353"/>
      <c r="P58" s="218">
        <f t="shared" si="18"/>
        <v>786.87713</v>
      </c>
      <c r="Q58" s="353"/>
      <c r="R58" s="218">
        <f t="shared" si="19"/>
        <v>193.233118</v>
      </c>
      <c r="S58" s="353"/>
      <c r="T58" s="218">
        <f t="shared" si="20"/>
        <v>3886.5753939999995</v>
      </c>
      <c r="V58"/>
      <c r="W58" s="384">
        <v>633.5</v>
      </c>
      <c r="Y58" s="138" t="s">
        <v>342</v>
      </c>
      <c r="Z58" s="202"/>
      <c r="AA58" s="399">
        <f t="shared" si="21"/>
        <v>6</v>
      </c>
      <c r="AB58" s="138"/>
      <c r="AC58" s="399">
        <f t="shared" si="22"/>
        <v>19920.94</v>
      </c>
      <c r="AD58" s="203"/>
      <c r="AE58" s="160">
        <f t="shared" si="23"/>
        <v>7528.123226</v>
      </c>
      <c r="AF58" s="160"/>
      <c r="AG58" s="160">
        <f t="shared" si="24"/>
        <v>1569.7700719999998</v>
      </c>
      <c r="AH58" s="160"/>
      <c r="AI58" s="160">
        <f t="shared" si="25"/>
        <v>6936.471308</v>
      </c>
      <c r="AJ58" s="160"/>
      <c r="AK58" s="160">
        <f t="shared" si="26"/>
        <v>0</v>
      </c>
      <c r="AL58" s="160"/>
      <c r="AM58" s="160">
        <f t="shared" si="27"/>
        <v>0</v>
      </c>
      <c r="AN58" s="160"/>
      <c r="AO58" s="160">
        <f t="shared" si="28"/>
        <v>0</v>
      </c>
      <c r="AP58" s="160"/>
      <c r="AQ58" s="160">
        <f t="shared" si="29"/>
        <v>3886.5753939999995</v>
      </c>
      <c r="AS58" s="159"/>
    </row>
    <row r="59" spans="1:45" s="162" customFormat="1" ht="12.75">
      <c r="A59" s="401"/>
      <c r="B59" s="444">
        <v>635.5</v>
      </c>
      <c r="D59" s="138" t="s">
        <v>349</v>
      </c>
      <c r="E59" s="202"/>
      <c r="F59" s="148">
        <v>6</v>
      </c>
      <c r="G59" s="203"/>
      <c r="H59" s="160">
        <v>59138.42</v>
      </c>
      <c r="I59" s="203"/>
      <c r="J59" s="218">
        <f t="shared" si="15"/>
        <v>28362.786232</v>
      </c>
      <c r="K59" s="353"/>
      <c r="L59" s="218">
        <f t="shared" si="16"/>
        <v>12200.256045999999</v>
      </c>
      <c r="M59" s="353"/>
      <c r="N59" s="218">
        <f t="shared" si="17"/>
        <v>4127.861716</v>
      </c>
      <c r="O59" s="353"/>
      <c r="P59" s="218">
        <f t="shared" si="18"/>
        <v>2335.9675899999997</v>
      </c>
      <c r="Q59" s="353"/>
      <c r="R59" s="218">
        <f t="shared" si="19"/>
        <v>573.642674</v>
      </c>
      <c r="S59" s="353"/>
      <c r="T59" s="218">
        <f t="shared" si="20"/>
        <v>11537.905741999999</v>
      </c>
      <c r="V59"/>
      <c r="W59" s="384">
        <v>635.5</v>
      </c>
      <c r="Y59" s="138" t="s">
        <v>349</v>
      </c>
      <c r="Z59" s="202"/>
      <c r="AA59" s="399">
        <f t="shared" si="21"/>
        <v>6</v>
      </c>
      <c r="AB59" s="138"/>
      <c r="AC59" s="399">
        <f t="shared" si="22"/>
        <v>59138.42</v>
      </c>
      <c r="AD59" s="203"/>
      <c r="AE59" s="160">
        <f t="shared" si="23"/>
        <v>22348.408918</v>
      </c>
      <c r="AF59" s="160"/>
      <c r="AG59" s="160">
        <f t="shared" si="24"/>
        <v>4660.107496</v>
      </c>
      <c r="AH59" s="160"/>
      <c r="AI59" s="160">
        <f t="shared" si="25"/>
        <v>20591.997844</v>
      </c>
      <c r="AJ59" s="160"/>
      <c r="AK59" s="160">
        <f t="shared" si="26"/>
        <v>0</v>
      </c>
      <c r="AL59" s="160"/>
      <c r="AM59" s="160">
        <f t="shared" si="27"/>
        <v>0</v>
      </c>
      <c r="AN59" s="160"/>
      <c r="AO59" s="160">
        <f t="shared" si="28"/>
        <v>0</v>
      </c>
      <c r="AP59" s="160"/>
      <c r="AQ59" s="160">
        <f t="shared" si="29"/>
        <v>11537.905741999999</v>
      </c>
      <c r="AS59" s="159"/>
    </row>
    <row r="60" spans="1:45" s="162" customFormat="1" ht="12.75">
      <c r="A60" s="401"/>
      <c r="B60" s="444">
        <v>650.5</v>
      </c>
      <c r="D60" s="138" t="s">
        <v>361</v>
      </c>
      <c r="E60" s="202"/>
      <c r="F60" s="148">
        <v>6</v>
      </c>
      <c r="G60" s="203"/>
      <c r="H60" s="147">
        <v>42011.13</v>
      </c>
      <c r="I60" s="203"/>
      <c r="J60" s="405">
        <f t="shared" si="15"/>
        <v>20148.537947999997</v>
      </c>
      <c r="K60" s="353"/>
      <c r="L60" s="405">
        <f t="shared" si="16"/>
        <v>8666.896118999999</v>
      </c>
      <c r="M60" s="353"/>
      <c r="N60" s="405">
        <f t="shared" si="17"/>
        <v>2932.376874</v>
      </c>
      <c r="O60" s="353"/>
      <c r="P60" s="405">
        <f t="shared" si="18"/>
        <v>1659.439635</v>
      </c>
      <c r="Q60" s="353"/>
      <c r="R60" s="405">
        <f t="shared" si="19"/>
        <v>407.50796099999997</v>
      </c>
      <c r="S60" s="353"/>
      <c r="T60" s="405">
        <f t="shared" si="20"/>
        <v>8196.371463</v>
      </c>
      <c r="V60"/>
      <c r="W60" s="384">
        <v>650.5</v>
      </c>
      <c r="Y60" s="138" t="s">
        <v>361</v>
      </c>
      <c r="Z60" s="202"/>
      <c r="AA60" s="399">
        <f t="shared" si="21"/>
        <v>6</v>
      </c>
      <c r="AB60" s="138"/>
      <c r="AC60" s="400">
        <f t="shared" si="22"/>
        <v>42011.13</v>
      </c>
      <c r="AD60" s="203"/>
      <c r="AE60" s="147">
        <f t="shared" si="23"/>
        <v>15876.006027</v>
      </c>
      <c r="AF60" s="160"/>
      <c r="AG60" s="147">
        <f t="shared" si="24"/>
        <v>3310.4770439999998</v>
      </c>
      <c r="AH60" s="160"/>
      <c r="AI60" s="147">
        <f t="shared" si="25"/>
        <v>14628.275466</v>
      </c>
      <c r="AJ60" s="160"/>
      <c r="AK60" s="147">
        <f t="shared" si="26"/>
        <v>0</v>
      </c>
      <c r="AL60" s="160"/>
      <c r="AM60" s="147">
        <f t="shared" si="27"/>
        <v>0</v>
      </c>
      <c r="AN60" s="160"/>
      <c r="AO60" s="147">
        <f t="shared" si="28"/>
        <v>0</v>
      </c>
      <c r="AP60" s="160"/>
      <c r="AQ60" s="147">
        <f t="shared" si="29"/>
        <v>8196.371463</v>
      </c>
      <c r="AS60" s="159"/>
    </row>
    <row r="61" spans="1:45" s="162" customFormat="1" ht="12.75">
      <c r="A61" s="401"/>
      <c r="B61" s="444"/>
      <c r="D61" s="390" t="s">
        <v>375</v>
      </c>
      <c r="E61" s="202"/>
      <c r="F61" s="148"/>
      <c r="G61" s="203"/>
      <c r="H61" s="160">
        <f>SUM(H53:H60)</f>
        <v>2338683.3840144975</v>
      </c>
      <c r="I61" s="203"/>
      <c r="J61" s="160">
        <f>SUM(J53:J60)</f>
        <v>1176470.963505353</v>
      </c>
      <c r="K61" s="203"/>
      <c r="L61" s="160">
        <f>SUM(L53:L60)</f>
        <v>551240.031094191</v>
      </c>
      <c r="M61" s="203"/>
      <c r="N61" s="160">
        <f>SUM(N53:N60)</f>
        <v>205413.752336212</v>
      </c>
      <c r="O61" s="203"/>
      <c r="P61" s="160">
        <f>SUM(P53:P60)</f>
        <v>116314.39082457266</v>
      </c>
      <c r="Q61" s="203"/>
      <c r="R61" s="160">
        <f>SUM(R53:R60)</f>
        <v>72457.73719694062</v>
      </c>
      <c r="S61" s="203"/>
      <c r="T61" s="160">
        <f>SUM(T53:T60)</f>
        <v>216786.5090572285</v>
      </c>
      <c r="V61"/>
      <c r="W61" s="384"/>
      <c r="Y61" s="390" t="s">
        <v>375</v>
      </c>
      <c r="Z61" s="202"/>
      <c r="AA61" s="148"/>
      <c r="AC61" s="160">
        <f>SUM(AC53:AC60)</f>
        <v>2338683.3840144975</v>
      </c>
      <c r="AE61" s="160">
        <f>SUM(AE53:AE60)</f>
        <v>1664064.3390630789</v>
      </c>
      <c r="AG61" s="160">
        <f>SUM(AG53:AG60)</f>
        <v>84489.93870834242</v>
      </c>
      <c r="AI61" s="160">
        <f>SUM(AI53:AI60)</f>
        <v>373342.5971858481</v>
      </c>
      <c r="AK61" s="160">
        <f>SUM(AK53:AK60)</f>
        <v>0</v>
      </c>
      <c r="AM61" s="160">
        <f>SUM(AM53:AM60)</f>
        <v>0</v>
      </c>
      <c r="AO61" s="160">
        <f>SUM(AO53:AO60)</f>
        <v>0</v>
      </c>
      <c r="AQ61" s="160">
        <f>SUM(AQ53:AQ60)</f>
        <v>216786.5090572285</v>
      </c>
      <c r="AS61" s="159"/>
    </row>
    <row r="62" spans="1:45" s="162" customFormat="1" ht="12.75">
      <c r="A62" s="401"/>
      <c r="B62" s="444"/>
      <c r="D62" s="391"/>
      <c r="E62" s="202"/>
      <c r="F62" s="148"/>
      <c r="G62" s="203"/>
      <c r="H62" s="160"/>
      <c r="I62" s="203"/>
      <c r="J62" s="160"/>
      <c r="K62" s="204"/>
      <c r="L62" s="204"/>
      <c r="M62" s="204"/>
      <c r="N62" s="204"/>
      <c r="O62" s="204"/>
      <c r="P62" s="204"/>
      <c r="Q62" s="204"/>
      <c r="R62" s="204"/>
      <c r="S62" s="204"/>
      <c r="T62" s="204"/>
      <c r="V62"/>
      <c r="W62" s="384"/>
      <c r="Y62" s="391"/>
      <c r="Z62" s="202"/>
      <c r="AA62" s="148"/>
      <c r="AC62" s="160"/>
      <c r="AD62" s="203"/>
      <c r="AE62" s="160"/>
      <c r="AF62" s="204"/>
      <c r="AG62" s="204"/>
      <c r="AH62" s="204"/>
      <c r="AI62" s="204"/>
      <c r="AJ62" s="204"/>
      <c r="AK62" s="204"/>
      <c r="AL62" s="204"/>
      <c r="AM62" s="204"/>
      <c r="AN62" s="204"/>
      <c r="AO62" s="204"/>
      <c r="AP62" s="204"/>
      <c r="AQ62" s="204"/>
      <c r="AS62" s="159"/>
    </row>
    <row r="63" spans="1:45" s="162" customFormat="1" ht="12.75">
      <c r="A63" s="427"/>
      <c r="B63" s="445"/>
      <c r="D63" s="391"/>
      <c r="E63" s="202"/>
      <c r="F63" s="148"/>
      <c r="G63" s="203"/>
      <c r="I63" s="203"/>
      <c r="J63" s="160"/>
      <c r="K63" s="204"/>
      <c r="L63" s="204"/>
      <c r="M63" s="204"/>
      <c r="N63" s="204"/>
      <c r="O63" s="204"/>
      <c r="P63" s="204"/>
      <c r="Q63" s="204"/>
      <c r="R63" s="204"/>
      <c r="S63" s="204"/>
      <c r="T63" s="204"/>
      <c r="V63"/>
      <c r="W63" s="384"/>
      <c r="Y63" s="391"/>
      <c r="Z63" s="202"/>
      <c r="AA63" s="148"/>
      <c r="AC63" s="160"/>
      <c r="AD63" s="203"/>
      <c r="AE63" s="160"/>
      <c r="AF63" s="204"/>
      <c r="AG63" s="204"/>
      <c r="AH63" s="204"/>
      <c r="AI63" s="204"/>
      <c r="AJ63" s="204"/>
      <c r="AK63" s="204"/>
      <c r="AL63" s="204"/>
      <c r="AM63" s="204"/>
      <c r="AN63" s="204"/>
      <c r="AO63" s="204"/>
      <c r="AP63" s="204"/>
      <c r="AQ63" s="204"/>
      <c r="AS63" s="159"/>
    </row>
    <row r="64" spans="1:45" s="162" customFormat="1" ht="12.75">
      <c r="A64" s="431"/>
      <c r="B64" s="446"/>
      <c r="D64" s="382" t="s">
        <v>238</v>
      </c>
      <c r="E64" s="202"/>
      <c r="F64" s="148"/>
      <c r="G64" s="203"/>
      <c r="H64" s="160"/>
      <c r="I64" s="160"/>
      <c r="J64" s="160"/>
      <c r="K64" s="160"/>
      <c r="L64" s="160"/>
      <c r="M64" s="160"/>
      <c r="N64" s="160"/>
      <c r="O64" s="160"/>
      <c r="P64" s="160"/>
      <c r="Q64" s="160"/>
      <c r="R64" s="160"/>
      <c r="S64" s="160"/>
      <c r="T64" s="160"/>
      <c r="V64"/>
      <c r="W64" s="384"/>
      <c r="Y64" s="382" t="s">
        <v>238</v>
      </c>
      <c r="Z64" s="202"/>
      <c r="AA64" s="148"/>
      <c r="AC64" s="160"/>
      <c r="AD64" s="160"/>
      <c r="AE64" s="160"/>
      <c r="AF64" s="160"/>
      <c r="AG64" s="160"/>
      <c r="AH64" s="160"/>
      <c r="AI64" s="160"/>
      <c r="AJ64" s="160"/>
      <c r="AK64" s="160"/>
      <c r="AL64" s="160"/>
      <c r="AM64" s="160"/>
      <c r="AN64" s="160"/>
      <c r="AO64" s="160"/>
      <c r="AP64" s="160"/>
      <c r="AQ64" s="160"/>
      <c r="AS64" s="159"/>
    </row>
    <row r="65" spans="1:45" s="162" customFormat="1" ht="12.75">
      <c r="A65" s="401"/>
      <c r="B65" s="444">
        <v>601.6</v>
      </c>
      <c r="D65" s="386" t="s">
        <v>436</v>
      </c>
      <c r="E65" s="202"/>
      <c r="F65" s="148">
        <v>11</v>
      </c>
      <c r="G65" s="203"/>
      <c r="H65" s="160">
        <v>657014.6529961246</v>
      </c>
      <c r="I65" s="203"/>
      <c r="J65" s="218">
        <f aca="true" t="shared" si="30" ref="J65:J81">(VLOOKUP($F65,Factors,J$324))*$H65</f>
        <v>340990.60490498866</v>
      </c>
      <c r="K65" s="353"/>
      <c r="L65" s="218">
        <f aca="true" t="shared" si="31" ref="L65:L81">(VLOOKUP($F65,Factors,L$324))*$H65</f>
        <v>118591.14486580048</v>
      </c>
      <c r="M65" s="353"/>
      <c r="N65" s="218">
        <f aca="true" t="shared" si="32" ref="N65:N81">(VLOOKUP($F65,Factors,N$324))*$H65</f>
        <v>35084.58246999305</v>
      </c>
      <c r="O65" s="353"/>
      <c r="P65" s="218">
        <f aca="true" t="shared" si="33" ref="P65:P81">(VLOOKUP($F65,Factors,P$324))*$H65</f>
        <v>21812.886479471337</v>
      </c>
      <c r="Q65" s="353"/>
      <c r="R65" s="218">
        <f aca="true" t="shared" si="34" ref="R65:R81">(VLOOKUP($F65,Factors,R$324))*$H65</f>
        <v>6175.937738163571</v>
      </c>
      <c r="S65" s="353"/>
      <c r="T65" s="218">
        <f aca="true" t="shared" si="35" ref="T65:T81">(VLOOKUP($F65,Factors,T$324))*$H65</f>
        <v>134359.49653770745</v>
      </c>
      <c r="V65"/>
      <c r="W65" s="384">
        <v>601.6</v>
      </c>
      <c r="Y65" s="386" t="s">
        <v>436</v>
      </c>
      <c r="Z65" s="202"/>
      <c r="AA65" s="399">
        <f aca="true" t="shared" si="36" ref="AA65:AA81">+F65</f>
        <v>11</v>
      </c>
      <c r="AB65" s="138"/>
      <c r="AC65" s="399">
        <f aca="true" t="shared" si="37" ref="AC65:AC81">+H65</f>
        <v>657014.6529961246</v>
      </c>
      <c r="AE65" s="160">
        <f aca="true" t="shared" si="38" ref="AE65:AE81">(VLOOKUP($AA65,func,AE$324))*$AC65</f>
        <v>184489.7145613118</v>
      </c>
      <c r="AF65" s="160"/>
      <c r="AG65" s="160">
        <f aca="true" t="shared" si="39" ref="AG65:AG81">(VLOOKUP($AA65,func,AG$324))*$AC65</f>
        <v>34099.060490498865</v>
      </c>
      <c r="AH65" s="160"/>
      <c r="AI65" s="160">
        <f aca="true" t="shared" si="40" ref="AI65:AI81">(VLOOKUP($AA65,func,AI$324))*$AC65</f>
        <v>180350.52224743622</v>
      </c>
      <c r="AJ65" s="160"/>
      <c r="AK65" s="160">
        <f aca="true" t="shared" si="41" ref="AK65:AK81">(VLOOKUP($AA65,func,AK$324))*$AC65</f>
        <v>65.70146529961247</v>
      </c>
      <c r="AL65" s="160"/>
      <c r="AM65" s="160">
        <f aca="true" t="shared" si="42" ref="AM65:AM81">(VLOOKUP($AA65,func,AM$324))*$AC65</f>
        <v>123650.15769387066</v>
      </c>
      <c r="AN65" s="160"/>
      <c r="AO65" s="160">
        <f aca="true" t="shared" si="43" ref="AO65:AO81">(VLOOKUP($AA65,func,AO$324))*$AC65</f>
        <v>0</v>
      </c>
      <c r="AP65" s="160"/>
      <c r="AQ65" s="160">
        <f aca="true" t="shared" si="44" ref="AQ65:AQ81">(VLOOKUP($AA65,func,AQ$324))*$AC65</f>
        <v>134359.49653770745</v>
      </c>
      <c r="AS65" s="159"/>
    </row>
    <row r="66" spans="1:45" s="162" customFormat="1" ht="12.75">
      <c r="A66" s="401"/>
      <c r="B66" s="444">
        <v>601.6</v>
      </c>
      <c r="D66" s="386" t="s">
        <v>439</v>
      </c>
      <c r="E66" s="202"/>
      <c r="F66" s="148">
        <v>6</v>
      </c>
      <c r="G66" s="203"/>
      <c r="H66" s="160">
        <v>1450898.7354096887</v>
      </c>
      <c r="I66" s="203"/>
      <c r="J66" s="218">
        <f t="shared" si="30"/>
        <v>695851.0335024867</v>
      </c>
      <c r="K66" s="353"/>
      <c r="L66" s="218">
        <f t="shared" si="31"/>
        <v>299320.40911501873</v>
      </c>
      <c r="M66" s="353"/>
      <c r="N66" s="218">
        <f t="shared" si="32"/>
        <v>101272.73173159627</v>
      </c>
      <c r="O66" s="353"/>
      <c r="P66" s="218">
        <f t="shared" si="33"/>
        <v>57310.500048682705</v>
      </c>
      <c r="Q66" s="353"/>
      <c r="R66" s="218">
        <f t="shared" si="34"/>
        <v>14073.71773347398</v>
      </c>
      <c r="S66" s="353"/>
      <c r="T66" s="218">
        <f t="shared" si="35"/>
        <v>283070.3432784302</v>
      </c>
      <c r="V66"/>
      <c r="W66" s="384">
        <v>601.6</v>
      </c>
      <c r="Y66" s="386" t="s">
        <v>439</v>
      </c>
      <c r="Z66" s="202"/>
      <c r="AA66" s="399">
        <f t="shared" si="36"/>
        <v>6</v>
      </c>
      <c r="AB66" s="138"/>
      <c r="AC66" s="399">
        <f t="shared" si="37"/>
        <v>1450898.7354096887</v>
      </c>
      <c r="AE66" s="160">
        <f t="shared" si="38"/>
        <v>548294.6321113213</v>
      </c>
      <c r="AF66" s="160"/>
      <c r="AG66" s="160">
        <f t="shared" si="39"/>
        <v>114330.82035028347</v>
      </c>
      <c r="AH66" s="160"/>
      <c r="AI66" s="160">
        <f t="shared" si="40"/>
        <v>505202.9396696536</v>
      </c>
      <c r="AJ66" s="160"/>
      <c r="AK66" s="160">
        <f t="shared" si="41"/>
        <v>0</v>
      </c>
      <c r="AL66" s="160"/>
      <c r="AM66" s="160">
        <f t="shared" si="42"/>
        <v>0</v>
      </c>
      <c r="AN66" s="160"/>
      <c r="AO66" s="160">
        <f t="shared" si="43"/>
        <v>0</v>
      </c>
      <c r="AP66" s="160"/>
      <c r="AQ66" s="160">
        <f t="shared" si="44"/>
        <v>283070.3432784302</v>
      </c>
      <c r="AS66" s="159"/>
    </row>
    <row r="67" spans="1:45" s="162" customFormat="1" ht="12.75">
      <c r="A67" s="401"/>
      <c r="B67" s="444">
        <v>601.6</v>
      </c>
      <c r="D67" s="386" t="s">
        <v>438</v>
      </c>
      <c r="E67" s="202"/>
      <c r="F67" s="148">
        <v>9</v>
      </c>
      <c r="G67" s="203"/>
      <c r="H67" s="160">
        <v>242983.02948326868</v>
      </c>
      <c r="I67" s="203"/>
      <c r="J67" s="218">
        <f t="shared" si="30"/>
        <v>203692.67361582414</v>
      </c>
      <c r="K67" s="353"/>
      <c r="L67" s="218">
        <f t="shared" si="31"/>
        <v>32875.603889086255</v>
      </c>
      <c r="M67" s="353"/>
      <c r="N67" s="218">
        <f t="shared" si="32"/>
        <v>1627.9862975379</v>
      </c>
      <c r="O67" s="353"/>
      <c r="P67" s="218">
        <f t="shared" si="33"/>
        <v>4713.870771975413</v>
      </c>
      <c r="Q67" s="353"/>
      <c r="R67" s="218">
        <f t="shared" si="34"/>
        <v>72.89490884498059</v>
      </c>
      <c r="S67" s="353"/>
      <c r="T67" s="218">
        <f t="shared" si="35"/>
        <v>0</v>
      </c>
      <c r="V67"/>
      <c r="W67" s="384">
        <v>601.6</v>
      </c>
      <c r="Y67" s="386" t="s">
        <v>438</v>
      </c>
      <c r="Z67" s="202"/>
      <c r="AA67" s="399">
        <f t="shared" si="36"/>
        <v>9</v>
      </c>
      <c r="AB67" s="138"/>
      <c r="AC67" s="399">
        <f t="shared" si="37"/>
        <v>242983.02948326868</v>
      </c>
      <c r="AE67" s="160">
        <f t="shared" si="38"/>
        <v>0</v>
      </c>
      <c r="AF67" s="160"/>
      <c r="AG67" s="160">
        <f t="shared" si="39"/>
        <v>0</v>
      </c>
      <c r="AH67" s="160"/>
      <c r="AI67" s="160">
        <f t="shared" si="40"/>
        <v>0</v>
      </c>
      <c r="AJ67" s="160"/>
      <c r="AK67" s="160">
        <f t="shared" si="41"/>
        <v>0</v>
      </c>
      <c r="AL67" s="160"/>
      <c r="AM67" s="160">
        <f t="shared" si="42"/>
        <v>242983.02948326868</v>
      </c>
      <c r="AN67" s="160"/>
      <c r="AO67" s="160">
        <f t="shared" si="43"/>
        <v>0</v>
      </c>
      <c r="AP67" s="160"/>
      <c r="AQ67" s="160">
        <f t="shared" si="44"/>
        <v>0</v>
      </c>
      <c r="AS67" s="159"/>
    </row>
    <row r="68" spans="1:45" s="162" customFormat="1" ht="12.75">
      <c r="A68" s="401"/>
      <c r="B68" s="444">
        <v>601.6</v>
      </c>
      <c r="D68" s="386" t="s">
        <v>440</v>
      </c>
      <c r="E68" s="202"/>
      <c r="F68" s="148">
        <v>7</v>
      </c>
      <c r="G68" s="203"/>
      <c r="H68" s="160">
        <v>74016.91167224481</v>
      </c>
      <c r="I68" s="203"/>
      <c r="J68" s="218">
        <f t="shared" si="30"/>
        <v>0</v>
      </c>
      <c r="K68" s="353"/>
      <c r="L68" s="218">
        <f t="shared" si="31"/>
        <v>0</v>
      </c>
      <c r="M68" s="353"/>
      <c r="N68" s="218">
        <f t="shared" si="32"/>
        <v>0</v>
      </c>
      <c r="O68" s="353"/>
      <c r="P68" s="218">
        <f t="shared" si="33"/>
        <v>0</v>
      </c>
      <c r="Q68" s="353"/>
      <c r="R68" s="218">
        <f t="shared" si="34"/>
        <v>0</v>
      </c>
      <c r="S68" s="353"/>
      <c r="T68" s="218">
        <f t="shared" si="35"/>
        <v>74016.91167224481</v>
      </c>
      <c r="V68"/>
      <c r="W68" s="384">
        <v>601.6</v>
      </c>
      <c r="Y68" s="386" t="s">
        <v>440</v>
      </c>
      <c r="Z68" s="202"/>
      <c r="AA68" s="399">
        <f t="shared" si="36"/>
        <v>7</v>
      </c>
      <c r="AB68" s="138"/>
      <c r="AC68" s="399">
        <f t="shared" si="37"/>
        <v>74016.91167224481</v>
      </c>
      <c r="AE68" s="160">
        <f t="shared" si="38"/>
        <v>0</v>
      </c>
      <c r="AF68" s="160"/>
      <c r="AG68" s="160">
        <f t="shared" si="39"/>
        <v>0</v>
      </c>
      <c r="AH68" s="160"/>
      <c r="AI68" s="160">
        <f t="shared" si="40"/>
        <v>0</v>
      </c>
      <c r="AJ68" s="160"/>
      <c r="AK68" s="160">
        <f t="shared" si="41"/>
        <v>0</v>
      </c>
      <c r="AL68" s="160"/>
      <c r="AM68" s="160">
        <f t="shared" si="42"/>
        <v>0</v>
      </c>
      <c r="AN68" s="160"/>
      <c r="AO68" s="160">
        <f t="shared" si="43"/>
        <v>0</v>
      </c>
      <c r="AP68" s="160"/>
      <c r="AQ68" s="160">
        <f t="shared" si="44"/>
        <v>74016.91167224481</v>
      </c>
      <c r="AS68" s="159"/>
    </row>
    <row r="69" spans="1:45" s="162" customFormat="1" ht="12.75">
      <c r="A69" s="401"/>
      <c r="B69" s="444">
        <v>620.6</v>
      </c>
      <c r="D69" s="386" t="s">
        <v>338</v>
      </c>
      <c r="E69" s="202"/>
      <c r="F69" s="148">
        <v>6</v>
      </c>
      <c r="G69" s="203"/>
      <c r="H69" s="160">
        <v>524741.59</v>
      </c>
      <c r="I69" s="203"/>
      <c r="J69" s="218">
        <f t="shared" si="30"/>
        <v>251666.06656399998</v>
      </c>
      <c r="K69" s="353"/>
      <c r="L69" s="218">
        <f t="shared" si="31"/>
        <v>108254.19001699999</v>
      </c>
      <c r="M69" s="353"/>
      <c r="N69" s="218">
        <f t="shared" si="32"/>
        <v>36626.962982</v>
      </c>
      <c r="O69" s="353"/>
      <c r="P69" s="218">
        <f t="shared" si="33"/>
        <v>20727.292804999997</v>
      </c>
      <c r="Q69" s="353"/>
      <c r="R69" s="218">
        <f t="shared" si="34"/>
        <v>5089.993423</v>
      </c>
      <c r="S69" s="353"/>
      <c r="T69" s="218">
        <f t="shared" si="35"/>
        <v>102377.084209</v>
      </c>
      <c r="V69"/>
      <c r="W69" s="384">
        <v>620.6</v>
      </c>
      <c r="Y69" s="386" t="s">
        <v>338</v>
      </c>
      <c r="Z69" s="202"/>
      <c r="AA69" s="399">
        <f t="shared" si="36"/>
        <v>6</v>
      </c>
      <c r="AB69" s="138"/>
      <c r="AC69" s="399">
        <f t="shared" si="37"/>
        <v>524741.59</v>
      </c>
      <c r="AE69" s="160">
        <f t="shared" si="38"/>
        <v>198299.846861</v>
      </c>
      <c r="AF69" s="160"/>
      <c r="AG69" s="160">
        <f t="shared" si="39"/>
        <v>41349.63729199999</v>
      </c>
      <c r="AH69" s="160"/>
      <c r="AI69" s="160">
        <f t="shared" si="40"/>
        <v>182715.021638</v>
      </c>
      <c r="AJ69" s="160"/>
      <c r="AK69" s="160">
        <f t="shared" si="41"/>
        <v>0</v>
      </c>
      <c r="AL69" s="160"/>
      <c r="AM69" s="160">
        <f t="shared" si="42"/>
        <v>0</v>
      </c>
      <c r="AN69" s="160"/>
      <c r="AO69" s="160">
        <f t="shared" si="43"/>
        <v>0</v>
      </c>
      <c r="AP69" s="160"/>
      <c r="AQ69" s="160">
        <f t="shared" si="44"/>
        <v>102377.084209</v>
      </c>
      <c r="AS69" s="159"/>
    </row>
    <row r="70" spans="1:45" s="162" customFormat="1" ht="12.75">
      <c r="A70" s="401"/>
      <c r="B70" s="444">
        <v>620.6</v>
      </c>
      <c r="D70" s="386" t="s">
        <v>335</v>
      </c>
      <c r="E70" s="202"/>
      <c r="F70" s="148">
        <v>9</v>
      </c>
      <c r="G70" s="203"/>
      <c r="H70" s="160">
        <v>294898.82</v>
      </c>
      <c r="I70" s="203"/>
      <c r="J70" s="218">
        <f t="shared" si="30"/>
        <v>247213.68080600002</v>
      </c>
      <c r="K70" s="353"/>
      <c r="L70" s="218">
        <f t="shared" si="31"/>
        <v>39899.810346</v>
      </c>
      <c r="M70" s="353"/>
      <c r="N70" s="218">
        <f t="shared" si="32"/>
        <v>1975.822094</v>
      </c>
      <c r="O70" s="353"/>
      <c r="P70" s="218">
        <f t="shared" si="33"/>
        <v>5721.037108</v>
      </c>
      <c r="Q70" s="353"/>
      <c r="R70" s="218">
        <f t="shared" si="34"/>
        <v>88.469646</v>
      </c>
      <c r="S70" s="353"/>
      <c r="T70" s="218">
        <f t="shared" si="35"/>
        <v>0</v>
      </c>
      <c r="V70"/>
      <c r="W70" s="384">
        <v>620.6</v>
      </c>
      <c r="Y70" s="386" t="s">
        <v>335</v>
      </c>
      <c r="Z70" s="202"/>
      <c r="AA70" s="399">
        <f t="shared" si="36"/>
        <v>9</v>
      </c>
      <c r="AB70" s="138"/>
      <c r="AC70" s="399">
        <f t="shared" si="37"/>
        <v>294898.82</v>
      </c>
      <c r="AE70" s="160">
        <f t="shared" si="38"/>
        <v>0</v>
      </c>
      <c r="AF70" s="160"/>
      <c r="AG70" s="160">
        <f t="shared" si="39"/>
        <v>0</v>
      </c>
      <c r="AH70" s="160"/>
      <c r="AI70" s="160">
        <f t="shared" si="40"/>
        <v>0</v>
      </c>
      <c r="AJ70" s="160"/>
      <c r="AK70" s="160">
        <f t="shared" si="41"/>
        <v>0</v>
      </c>
      <c r="AL70" s="160"/>
      <c r="AM70" s="160">
        <f t="shared" si="42"/>
        <v>294898.82</v>
      </c>
      <c r="AN70" s="160"/>
      <c r="AO70" s="160">
        <f t="shared" si="43"/>
        <v>0</v>
      </c>
      <c r="AP70" s="160"/>
      <c r="AQ70" s="160">
        <f t="shared" si="44"/>
        <v>0</v>
      </c>
      <c r="AS70" s="159"/>
    </row>
    <row r="71" spans="1:45" s="162" customFormat="1" ht="12.75">
      <c r="A71" s="401"/>
      <c r="B71" s="444">
        <v>620.6</v>
      </c>
      <c r="D71" s="386" t="s">
        <v>336</v>
      </c>
      <c r="E71" s="202"/>
      <c r="F71" s="148">
        <v>8</v>
      </c>
      <c r="G71" s="203"/>
      <c r="H71" s="160">
        <v>317.37</v>
      </c>
      <c r="I71" s="203"/>
      <c r="J71" s="218">
        <f t="shared" si="30"/>
        <v>246.53301600000003</v>
      </c>
      <c r="K71" s="353"/>
      <c r="L71" s="218">
        <f t="shared" si="31"/>
        <v>56.682282</v>
      </c>
      <c r="M71" s="353"/>
      <c r="N71" s="218">
        <f t="shared" si="32"/>
        <v>4.379706</v>
      </c>
      <c r="O71" s="353"/>
      <c r="P71" s="218">
        <f t="shared" si="33"/>
        <v>9.5211</v>
      </c>
      <c r="Q71" s="353"/>
      <c r="R71" s="218">
        <f t="shared" si="34"/>
        <v>0.253896</v>
      </c>
      <c r="S71" s="353"/>
      <c r="T71" s="218">
        <f t="shared" si="35"/>
        <v>0</v>
      </c>
      <c r="V71"/>
      <c r="W71" s="384">
        <v>620.6</v>
      </c>
      <c r="Y71" s="386" t="s">
        <v>336</v>
      </c>
      <c r="Z71" s="202"/>
      <c r="AA71" s="399">
        <f t="shared" si="36"/>
        <v>8</v>
      </c>
      <c r="AB71" s="138"/>
      <c r="AC71" s="399">
        <f t="shared" si="37"/>
        <v>317.37</v>
      </c>
      <c r="AE71" s="160">
        <f t="shared" si="38"/>
        <v>0</v>
      </c>
      <c r="AF71" s="160"/>
      <c r="AG71" s="160">
        <f t="shared" si="39"/>
        <v>0</v>
      </c>
      <c r="AH71" s="160"/>
      <c r="AI71" s="160">
        <f t="shared" si="40"/>
        <v>0</v>
      </c>
      <c r="AJ71" s="160"/>
      <c r="AK71" s="160">
        <f t="shared" si="41"/>
        <v>317.37</v>
      </c>
      <c r="AL71" s="160"/>
      <c r="AM71" s="160">
        <f t="shared" si="42"/>
        <v>0</v>
      </c>
      <c r="AN71" s="160"/>
      <c r="AO71" s="160">
        <f t="shared" si="43"/>
        <v>0</v>
      </c>
      <c r="AP71" s="160"/>
      <c r="AQ71" s="160">
        <f t="shared" si="44"/>
        <v>0</v>
      </c>
      <c r="AS71" s="159"/>
    </row>
    <row r="72" spans="1:45" s="162" customFormat="1" ht="12.75">
      <c r="A72" s="401"/>
      <c r="B72" s="444">
        <v>620.6</v>
      </c>
      <c r="D72" s="386" t="s">
        <v>337</v>
      </c>
      <c r="E72" s="202"/>
      <c r="F72" s="148">
        <v>7</v>
      </c>
      <c r="G72" s="203"/>
      <c r="H72" s="160">
        <v>86168.22</v>
      </c>
      <c r="I72" s="203"/>
      <c r="J72" s="218">
        <f t="shared" si="30"/>
        <v>0</v>
      </c>
      <c r="K72" s="353"/>
      <c r="L72" s="218">
        <f t="shared" si="31"/>
        <v>0</v>
      </c>
      <c r="M72" s="353"/>
      <c r="N72" s="218">
        <f t="shared" si="32"/>
        <v>0</v>
      </c>
      <c r="O72" s="353"/>
      <c r="P72" s="218">
        <f t="shared" si="33"/>
        <v>0</v>
      </c>
      <c r="Q72" s="353"/>
      <c r="R72" s="218">
        <f t="shared" si="34"/>
        <v>0</v>
      </c>
      <c r="S72" s="353"/>
      <c r="T72" s="218">
        <f t="shared" si="35"/>
        <v>86168.22</v>
      </c>
      <c r="V72"/>
      <c r="W72" s="384">
        <v>620.6</v>
      </c>
      <c r="Y72" s="386" t="s">
        <v>337</v>
      </c>
      <c r="Z72" s="202"/>
      <c r="AA72" s="399">
        <f t="shared" si="36"/>
        <v>7</v>
      </c>
      <c r="AB72" s="138"/>
      <c r="AC72" s="399">
        <f t="shared" si="37"/>
        <v>86168.22</v>
      </c>
      <c r="AE72" s="160">
        <f t="shared" si="38"/>
        <v>0</v>
      </c>
      <c r="AF72" s="160"/>
      <c r="AG72" s="160">
        <f t="shared" si="39"/>
        <v>0</v>
      </c>
      <c r="AH72" s="160"/>
      <c r="AI72" s="160">
        <f t="shared" si="40"/>
        <v>0</v>
      </c>
      <c r="AJ72" s="160"/>
      <c r="AK72" s="160">
        <f t="shared" si="41"/>
        <v>0</v>
      </c>
      <c r="AL72" s="160"/>
      <c r="AM72" s="160">
        <f t="shared" si="42"/>
        <v>0</v>
      </c>
      <c r="AN72" s="160"/>
      <c r="AO72" s="160">
        <f t="shared" si="43"/>
        <v>0</v>
      </c>
      <c r="AP72" s="160"/>
      <c r="AQ72" s="160">
        <f t="shared" si="44"/>
        <v>86168.22</v>
      </c>
      <c r="AS72" s="159"/>
    </row>
    <row r="73" spans="1:45" s="162" customFormat="1" ht="12.75">
      <c r="A73" s="401"/>
      <c r="B73" s="444">
        <v>620.6</v>
      </c>
      <c r="D73" s="386" t="s">
        <v>334</v>
      </c>
      <c r="E73" s="202"/>
      <c r="F73" s="148">
        <v>11</v>
      </c>
      <c r="G73" s="203"/>
      <c r="H73" s="160">
        <v>19921.140000000363</v>
      </c>
      <c r="I73" s="203"/>
      <c r="J73" s="218">
        <f t="shared" si="30"/>
        <v>10339.071660000189</v>
      </c>
      <c r="K73" s="353"/>
      <c r="L73" s="218">
        <f t="shared" si="31"/>
        <v>3595.7657700000655</v>
      </c>
      <c r="M73" s="353"/>
      <c r="N73" s="218">
        <f t="shared" si="32"/>
        <v>1063.7888760000194</v>
      </c>
      <c r="O73" s="353"/>
      <c r="P73" s="218">
        <f t="shared" si="33"/>
        <v>661.381848000012</v>
      </c>
      <c r="Q73" s="353"/>
      <c r="R73" s="218">
        <f t="shared" si="34"/>
        <v>187.25871600000343</v>
      </c>
      <c r="S73" s="353"/>
      <c r="T73" s="218">
        <f t="shared" si="35"/>
        <v>4073.873130000074</v>
      </c>
      <c r="V73"/>
      <c r="W73" s="384">
        <v>620.6</v>
      </c>
      <c r="Y73" s="386" t="s">
        <v>334</v>
      </c>
      <c r="Z73" s="202"/>
      <c r="AA73" s="399">
        <f t="shared" si="36"/>
        <v>11</v>
      </c>
      <c r="AB73" s="138"/>
      <c r="AC73" s="399">
        <f t="shared" si="37"/>
        <v>19921.140000000363</v>
      </c>
      <c r="AE73" s="160">
        <f t="shared" si="38"/>
        <v>5593.856112000102</v>
      </c>
      <c r="AF73" s="160"/>
      <c r="AG73" s="160">
        <f t="shared" si="39"/>
        <v>1033.9071660000188</v>
      </c>
      <c r="AH73" s="160"/>
      <c r="AI73" s="160">
        <f t="shared" si="40"/>
        <v>5468.3529300001</v>
      </c>
      <c r="AJ73" s="160"/>
      <c r="AK73" s="160">
        <f t="shared" si="41"/>
        <v>1.9921140000000364</v>
      </c>
      <c r="AL73" s="160"/>
      <c r="AM73" s="160">
        <f t="shared" si="42"/>
        <v>3749.1585480000685</v>
      </c>
      <c r="AN73" s="160"/>
      <c r="AO73" s="160">
        <f t="shared" si="43"/>
        <v>0</v>
      </c>
      <c r="AP73" s="160"/>
      <c r="AQ73" s="160">
        <f t="shared" si="44"/>
        <v>4073.873130000074</v>
      </c>
      <c r="AS73" s="159"/>
    </row>
    <row r="74" spans="1:45" s="162" customFormat="1" ht="12.75">
      <c r="A74" s="401"/>
      <c r="B74" s="444">
        <v>631.6</v>
      </c>
      <c r="D74" s="386" t="s">
        <v>340</v>
      </c>
      <c r="E74" s="202"/>
      <c r="F74" s="148">
        <v>11</v>
      </c>
      <c r="G74" s="203"/>
      <c r="H74" s="160">
        <v>3133.91</v>
      </c>
      <c r="I74" s="203"/>
      <c r="J74" s="218">
        <f t="shared" si="30"/>
        <v>1626.49929</v>
      </c>
      <c r="K74" s="353"/>
      <c r="L74" s="218">
        <f t="shared" si="31"/>
        <v>565.670755</v>
      </c>
      <c r="M74" s="353"/>
      <c r="N74" s="218">
        <f t="shared" si="32"/>
        <v>167.350794</v>
      </c>
      <c r="O74" s="353"/>
      <c r="P74" s="218">
        <f t="shared" si="33"/>
        <v>104.045812</v>
      </c>
      <c r="Q74" s="353"/>
      <c r="R74" s="218">
        <f t="shared" si="34"/>
        <v>29.458754</v>
      </c>
      <c r="S74" s="353"/>
      <c r="T74" s="218">
        <f t="shared" si="35"/>
        <v>640.8845949999999</v>
      </c>
      <c r="V74"/>
      <c r="W74" s="384">
        <v>631.6</v>
      </c>
      <c r="Y74" s="386" t="s">
        <v>340</v>
      </c>
      <c r="Z74" s="202"/>
      <c r="AA74" s="399">
        <f t="shared" si="36"/>
        <v>11</v>
      </c>
      <c r="AB74" s="138"/>
      <c r="AC74" s="399">
        <f t="shared" si="37"/>
        <v>3133.91</v>
      </c>
      <c r="AE74" s="160">
        <f t="shared" si="38"/>
        <v>880.0019279999999</v>
      </c>
      <c r="AF74" s="160"/>
      <c r="AG74" s="160">
        <f t="shared" si="39"/>
        <v>162.649929</v>
      </c>
      <c r="AH74" s="160"/>
      <c r="AI74" s="160">
        <f t="shared" si="40"/>
        <v>860.258295</v>
      </c>
      <c r="AJ74" s="160"/>
      <c r="AK74" s="160">
        <f t="shared" si="41"/>
        <v>0.313391</v>
      </c>
      <c r="AL74" s="160"/>
      <c r="AM74" s="160">
        <f t="shared" si="42"/>
        <v>589.801862</v>
      </c>
      <c r="AN74" s="160"/>
      <c r="AO74" s="160">
        <f t="shared" si="43"/>
        <v>0</v>
      </c>
      <c r="AP74" s="160"/>
      <c r="AQ74" s="160">
        <f t="shared" si="44"/>
        <v>640.8845949999999</v>
      </c>
      <c r="AS74" s="159"/>
    </row>
    <row r="75" spans="1:45" s="162" customFormat="1" ht="12.75">
      <c r="A75" s="401"/>
      <c r="B75" s="444">
        <v>635.6</v>
      </c>
      <c r="D75" s="386" t="s">
        <v>349</v>
      </c>
      <c r="E75" s="202"/>
      <c r="F75" s="148">
        <v>11</v>
      </c>
      <c r="G75" s="203"/>
      <c r="H75" s="160">
        <v>365828.27</v>
      </c>
      <c r="I75" s="203"/>
      <c r="J75" s="218">
        <f t="shared" si="30"/>
        <v>189864.87213</v>
      </c>
      <c r="K75" s="353"/>
      <c r="L75" s="218">
        <f t="shared" si="31"/>
        <v>66032.002735</v>
      </c>
      <c r="M75" s="353"/>
      <c r="N75" s="218">
        <f t="shared" si="32"/>
        <v>19535.229618</v>
      </c>
      <c r="O75" s="353"/>
      <c r="P75" s="218">
        <f t="shared" si="33"/>
        <v>12145.498564000001</v>
      </c>
      <c r="Q75" s="353"/>
      <c r="R75" s="218">
        <f t="shared" si="34"/>
        <v>3438.7857380000005</v>
      </c>
      <c r="S75" s="353"/>
      <c r="T75" s="218">
        <f t="shared" si="35"/>
        <v>74811.881215</v>
      </c>
      <c r="V75"/>
      <c r="W75" s="384">
        <v>635.6</v>
      </c>
      <c r="Y75" s="386" t="s">
        <v>349</v>
      </c>
      <c r="Z75" s="202"/>
      <c r="AA75" s="399">
        <f t="shared" si="36"/>
        <v>11</v>
      </c>
      <c r="AB75" s="138"/>
      <c r="AC75" s="399">
        <f t="shared" si="37"/>
        <v>365828.27</v>
      </c>
      <c r="AE75" s="160">
        <f t="shared" si="38"/>
        <v>102724.57821600001</v>
      </c>
      <c r="AF75" s="160"/>
      <c r="AG75" s="160">
        <f t="shared" si="39"/>
        <v>18986.487213</v>
      </c>
      <c r="AH75" s="160"/>
      <c r="AI75" s="160">
        <f t="shared" si="40"/>
        <v>100419.86011500002</v>
      </c>
      <c r="AJ75" s="160"/>
      <c r="AK75" s="160">
        <f t="shared" si="41"/>
        <v>36.582827</v>
      </c>
      <c r="AL75" s="160"/>
      <c r="AM75" s="160">
        <f t="shared" si="42"/>
        <v>68848.880414</v>
      </c>
      <c r="AN75" s="160"/>
      <c r="AO75" s="160">
        <f t="shared" si="43"/>
        <v>0</v>
      </c>
      <c r="AP75" s="160"/>
      <c r="AQ75" s="160">
        <f t="shared" si="44"/>
        <v>74811.881215</v>
      </c>
      <c r="AS75" s="159"/>
    </row>
    <row r="76" spans="1:45" s="162" customFormat="1" ht="12.75">
      <c r="A76" s="401"/>
      <c r="B76" s="444">
        <v>635.6</v>
      </c>
      <c r="D76" s="386" t="s">
        <v>350</v>
      </c>
      <c r="E76" s="202"/>
      <c r="F76" s="148">
        <v>5</v>
      </c>
      <c r="G76" s="203"/>
      <c r="H76" s="160">
        <v>370176.09</v>
      </c>
      <c r="I76" s="203"/>
      <c r="J76" s="218">
        <f t="shared" si="30"/>
        <v>157583.961513</v>
      </c>
      <c r="K76" s="353"/>
      <c r="L76" s="218">
        <f t="shared" si="31"/>
        <v>66187.48489200001</v>
      </c>
      <c r="M76" s="353"/>
      <c r="N76" s="218">
        <f t="shared" si="32"/>
        <v>21285.125175</v>
      </c>
      <c r="O76" s="353"/>
      <c r="P76" s="218">
        <f t="shared" si="33"/>
        <v>12067.740534000002</v>
      </c>
      <c r="Q76" s="353"/>
      <c r="R76" s="218">
        <f t="shared" si="34"/>
        <v>10105.807257</v>
      </c>
      <c r="S76" s="353"/>
      <c r="T76" s="218">
        <f t="shared" si="35"/>
        <v>102945.97062900002</v>
      </c>
      <c r="V76"/>
      <c r="W76" s="384">
        <v>635.6</v>
      </c>
      <c r="Y76" s="386" t="s">
        <v>350</v>
      </c>
      <c r="Z76" s="202"/>
      <c r="AA76" s="399">
        <f t="shared" si="36"/>
        <v>5</v>
      </c>
      <c r="AB76" s="138"/>
      <c r="AC76" s="399">
        <f t="shared" si="37"/>
        <v>370176.09</v>
      </c>
      <c r="AE76" s="160">
        <f t="shared" si="38"/>
        <v>110941.774173</v>
      </c>
      <c r="AF76" s="160"/>
      <c r="AG76" s="160">
        <f t="shared" si="39"/>
        <v>0</v>
      </c>
      <c r="AH76" s="160"/>
      <c r="AI76" s="160">
        <f t="shared" si="40"/>
        <v>156288.34519800002</v>
      </c>
      <c r="AJ76" s="160"/>
      <c r="AK76" s="160">
        <f t="shared" si="41"/>
        <v>0</v>
      </c>
      <c r="AL76" s="160"/>
      <c r="AM76" s="160">
        <f t="shared" si="42"/>
        <v>0</v>
      </c>
      <c r="AN76" s="160"/>
      <c r="AO76" s="160">
        <f t="shared" si="43"/>
        <v>0</v>
      </c>
      <c r="AP76" s="160"/>
      <c r="AQ76" s="160">
        <f t="shared" si="44"/>
        <v>102945.97062900002</v>
      </c>
      <c r="AS76" s="159"/>
    </row>
    <row r="77" spans="1:45" s="162" customFormat="1" ht="12.75">
      <c r="A77" s="401"/>
      <c r="B77" s="444">
        <v>635.6</v>
      </c>
      <c r="D77" s="386" t="s">
        <v>354</v>
      </c>
      <c r="E77" s="202"/>
      <c r="F77" s="148">
        <v>5</v>
      </c>
      <c r="G77" s="203"/>
      <c r="H77" s="160">
        <v>1829.46</v>
      </c>
      <c r="I77" s="203"/>
      <c r="J77" s="218">
        <f t="shared" si="30"/>
        <v>778.801122</v>
      </c>
      <c r="K77" s="353"/>
      <c r="L77" s="218">
        <f t="shared" si="31"/>
        <v>327.10744800000003</v>
      </c>
      <c r="M77" s="353"/>
      <c r="N77" s="218">
        <f t="shared" si="32"/>
        <v>105.19395</v>
      </c>
      <c r="O77" s="353"/>
      <c r="P77" s="218">
        <f t="shared" si="33"/>
        <v>59.64039600000001</v>
      </c>
      <c r="Q77" s="353"/>
      <c r="R77" s="218">
        <f t="shared" si="34"/>
        <v>49.944258000000005</v>
      </c>
      <c r="S77" s="353"/>
      <c r="T77" s="218">
        <f t="shared" si="35"/>
        <v>508.772826</v>
      </c>
      <c r="V77"/>
      <c r="W77" s="384">
        <v>635.6</v>
      </c>
      <c r="Y77" s="386" t="s">
        <v>354</v>
      </c>
      <c r="Z77" s="202"/>
      <c r="AA77" s="399">
        <f t="shared" si="36"/>
        <v>5</v>
      </c>
      <c r="AB77" s="138"/>
      <c r="AC77" s="399">
        <f t="shared" si="37"/>
        <v>1829.46</v>
      </c>
      <c r="AE77" s="160">
        <f t="shared" si="38"/>
        <v>548.2891619999999</v>
      </c>
      <c r="AF77" s="160"/>
      <c r="AG77" s="160">
        <f t="shared" si="39"/>
        <v>0</v>
      </c>
      <c r="AH77" s="160"/>
      <c r="AI77" s="160">
        <f t="shared" si="40"/>
        <v>772.3980120000001</v>
      </c>
      <c r="AJ77" s="160"/>
      <c r="AK77" s="160">
        <f t="shared" si="41"/>
        <v>0</v>
      </c>
      <c r="AL77" s="160"/>
      <c r="AM77" s="160">
        <f t="shared" si="42"/>
        <v>0</v>
      </c>
      <c r="AN77" s="160"/>
      <c r="AO77" s="160">
        <f t="shared" si="43"/>
        <v>0</v>
      </c>
      <c r="AP77" s="160"/>
      <c r="AQ77" s="160">
        <f t="shared" si="44"/>
        <v>508.772826</v>
      </c>
      <c r="AS77" s="159"/>
    </row>
    <row r="78" spans="1:45" s="162" customFormat="1" ht="12.75">
      <c r="A78" s="401"/>
      <c r="B78" s="444">
        <v>635.6</v>
      </c>
      <c r="D78" s="386" t="s">
        <v>351</v>
      </c>
      <c r="E78" s="202"/>
      <c r="F78" s="148">
        <v>6</v>
      </c>
      <c r="G78" s="203"/>
      <c r="H78" s="160">
        <v>306867.29</v>
      </c>
      <c r="I78" s="203"/>
      <c r="J78" s="218">
        <f t="shared" si="30"/>
        <v>147173.55228399998</v>
      </c>
      <c r="K78" s="353"/>
      <c r="L78" s="218">
        <f t="shared" si="31"/>
        <v>63306.72192699999</v>
      </c>
      <c r="M78" s="353"/>
      <c r="N78" s="218">
        <f t="shared" si="32"/>
        <v>21419.336842</v>
      </c>
      <c r="O78" s="353"/>
      <c r="P78" s="218">
        <f t="shared" si="33"/>
        <v>12121.257955</v>
      </c>
      <c r="Q78" s="353"/>
      <c r="R78" s="218">
        <f t="shared" si="34"/>
        <v>2976.612713</v>
      </c>
      <c r="S78" s="353"/>
      <c r="T78" s="218">
        <f t="shared" si="35"/>
        <v>59869.808279</v>
      </c>
      <c r="V78"/>
      <c r="W78" s="384">
        <v>635.6</v>
      </c>
      <c r="Y78" s="386" t="s">
        <v>351</v>
      </c>
      <c r="Z78" s="202"/>
      <c r="AA78" s="399">
        <f t="shared" si="36"/>
        <v>6</v>
      </c>
      <c r="AB78" s="138"/>
      <c r="AC78" s="399">
        <f t="shared" si="37"/>
        <v>306867.29</v>
      </c>
      <c r="AE78" s="160">
        <f t="shared" si="38"/>
        <v>115965.14889099999</v>
      </c>
      <c r="AF78" s="160"/>
      <c r="AG78" s="160">
        <f t="shared" si="39"/>
        <v>24181.142451999996</v>
      </c>
      <c r="AH78" s="160"/>
      <c r="AI78" s="160">
        <f t="shared" si="40"/>
        <v>106851.190378</v>
      </c>
      <c r="AJ78" s="160"/>
      <c r="AK78" s="160">
        <f t="shared" si="41"/>
        <v>0</v>
      </c>
      <c r="AL78" s="160"/>
      <c r="AM78" s="160">
        <f t="shared" si="42"/>
        <v>0</v>
      </c>
      <c r="AN78" s="160"/>
      <c r="AO78" s="160">
        <f t="shared" si="43"/>
        <v>0</v>
      </c>
      <c r="AP78" s="160"/>
      <c r="AQ78" s="160">
        <f t="shared" si="44"/>
        <v>59869.808279</v>
      </c>
      <c r="AS78" s="159"/>
    </row>
    <row r="79" spans="1:45" s="162" customFormat="1" ht="12.75">
      <c r="A79" s="401"/>
      <c r="B79" s="444">
        <v>635.6</v>
      </c>
      <c r="D79" s="386" t="s">
        <v>352</v>
      </c>
      <c r="E79" s="202"/>
      <c r="F79" s="148">
        <v>9</v>
      </c>
      <c r="G79" s="203"/>
      <c r="H79" s="160">
        <v>114547.16</v>
      </c>
      <c r="I79" s="203"/>
      <c r="J79" s="218">
        <f t="shared" si="30"/>
        <v>96024.88422800001</v>
      </c>
      <c r="K79" s="353"/>
      <c r="L79" s="218">
        <f t="shared" si="31"/>
        <v>15498.230748000002</v>
      </c>
      <c r="M79" s="353"/>
      <c r="N79" s="218">
        <f t="shared" si="32"/>
        <v>767.4659720000001</v>
      </c>
      <c r="O79" s="353"/>
      <c r="P79" s="218">
        <f t="shared" si="33"/>
        <v>2222.214904</v>
      </c>
      <c r="Q79" s="353"/>
      <c r="R79" s="218">
        <f t="shared" si="34"/>
        <v>34.364148</v>
      </c>
      <c r="S79" s="353"/>
      <c r="T79" s="218">
        <f t="shared" si="35"/>
        <v>0</v>
      </c>
      <c r="V79"/>
      <c r="W79" s="384">
        <v>635.6</v>
      </c>
      <c r="Y79" s="386" t="s">
        <v>352</v>
      </c>
      <c r="Z79" s="202"/>
      <c r="AA79" s="399">
        <f t="shared" si="36"/>
        <v>9</v>
      </c>
      <c r="AB79" s="138"/>
      <c r="AC79" s="399">
        <f t="shared" si="37"/>
        <v>114547.16</v>
      </c>
      <c r="AE79" s="160">
        <f t="shared" si="38"/>
        <v>0</v>
      </c>
      <c r="AF79" s="160"/>
      <c r="AG79" s="160">
        <f t="shared" si="39"/>
        <v>0</v>
      </c>
      <c r="AH79" s="160"/>
      <c r="AI79" s="160">
        <f t="shared" si="40"/>
        <v>0</v>
      </c>
      <c r="AJ79" s="160"/>
      <c r="AK79" s="160">
        <f t="shared" si="41"/>
        <v>0</v>
      </c>
      <c r="AL79" s="160"/>
      <c r="AM79" s="160">
        <f t="shared" si="42"/>
        <v>114547.16</v>
      </c>
      <c r="AN79" s="160"/>
      <c r="AO79" s="160">
        <f t="shared" si="43"/>
        <v>0</v>
      </c>
      <c r="AP79" s="160"/>
      <c r="AQ79" s="160">
        <f t="shared" si="44"/>
        <v>0</v>
      </c>
      <c r="AS79" s="159"/>
    </row>
    <row r="80" spans="1:45" s="162" customFormat="1" ht="12.75">
      <c r="A80" s="402"/>
      <c r="B80" s="444">
        <v>642.6</v>
      </c>
      <c r="D80" s="386" t="s">
        <v>360</v>
      </c>
      <c r="E80" s="202"/>
      <c r="F80" s="148">
        <v>11</v>
      </c>
      <c r="G80" s="203"/>
      <c r="H80" s="160">
        <v>750</v>
      </c>
      <c r="I80" s="203"/>
      <c r="J80" s="218">
        <f t="shared" si="30"/>
        <v>389.25</v>
      </c>
      <c r="K80" s="353"/>
      <c r="L80" s="218">
        <f t="shared" si="31"/>
        <v>135.375</v>
      </c>
      <c r="M80" s="353"/>
      <c r="N80" s="218">
        <f t="shared" si="32"/>
        <v>40.050000000000004</v>
      </c>
      <c r="O80" s="353"/>
      <c r="P80" s="218">
        <f t="shared" si="33"/>
        <v>24.9</v>
      </c>
      <c r="Q80" s="353"/>
      <c r="R80" s="218">
        <f t="shared" si="34"/>
        <v>7.050000000000001</v>
      </c>
      <c r="S80" s="353"/>
      <c r="T80" s="218">
        <f t="shared" si="35"/>
        <v>153.375</v>
      </c>
      <c r="V80"/>
      <c r="W80" s="384">
        <v>642.6</v>
      </c>
      <c r="Y80" s="386" t="s">
        <v>360</v>
      </c>
      <c r="Z80" s="202"/>
      <c r="AA80" s="399">
        <f t="shared" si="36"/>
        <v>11</v>
      </c>
      <c r="AB80" s="138"/>
      <c r="AC80" s="399">
        <f t="shared" si="37"/>
        <v>750</v>
      </c>
      <c r="AE80" s="160">
        <f t="shared" si="38"/>
        <v>210.6</v>
      </c>
      <c r="AF80" s="160"/>
      <c r="AG80" s="160">
        <f t="shared" si="39"/>
        <v>38.925000000000004</v>
      </c>
      <c r="AH80" s="160"/>
      <c r="AI80" s="160">
        <f t="shared" si="40"/>
        <v>205.87500000000003</v>
      </c>
      <c r="AJ80" s="160"/>
      <c r="AK80" s="160">
        <f t="shared" si="41"/>
        <v>0.075</v>
      </c>
      <c r="AL80" s="160"/>
      <c r="AM80" s="160">
        <f t="shared" si="42"/>
        <v>141.15</v>
      </c>
      <c r="AN80" s="160"/>
      <c r="AO80" s="160">
        <f t="shared" si="43"/>
        <v>0</v>
      </c>
      <c r="AP80" s="160"/>
      <c r="AQ80" s="160">
        <f t="shared" si="44"/>
        <v>153.375</v>
      </c>
      <c r="AS80" s="159"/>
    </row>
    <row r="81" spans="1:45" s="162" customFormat="1" ht="12.75">
      <c r="A81" s="401"/>
      <c r="B81" s="444">
        <v>650.6</v>
      </c>
      <c r="D81" s="386" t="s">
        <v>361</v>
      </c>
      <c r="E81" s="202"/>
      <c r="F81" s="148">
        <v>11</v>
      </c>
      <c r="G81" s="203"/>
      <c r="H81" s="147">
        <v>269588.87</v>
      </c>
      <c r="I81" s="203"/>
      <c r="J81" s="405">
        <f t="shared" si="30"/>
        <v>139916.62353</v>
      </c>
      <c r="K81" s="353"/>
      <c r="L81" s="405">
        <f t="shared" si="31"/>
        <v>48660.791034999995</v>
      </c>
      <c r="M81" s="353"/>
      <c r="N81" s="405">
        <f t="shared" si="32"/>
        <v>14396.045658000001</v>
      </c>
      <c r="O81" s="353"/>
      <c r="P81" s="405">
        <f t="shared" si="33"/>
        <v>8950.350484</v>
      </c>
      <c r="Q81" s="353"/>
      <c r="R81" s="405">
        <f t="shared" si="34"/>
        <v>2534.135378</v>
      </c>
      <c r="S81" s="353"/>
      <c r="T81" s="405">
        <f t="shared" si="35"/>
        <v>55130.92391499999</v>
      </c>
      <c r="V81"/>
      <c r="W81" s="384">
        <v>650.6</v>
      </c>
      <c r="Y81" s="386" t="s">
        <v>361</v>
      </c>
      <c r="Z81" s="202"/>
      <c r="AA81" s="399">
        <f t="shared" si="36"/>
        <v>11</v>
      </c>
      <c r="AB81" s="138"/>
      <c r="AC81" s="400">
        <f t="shared" si="37"/>
        <v>269588.87</v>
      </c>
      <c r="AE81" s="147">
        <f t="shared" si="38"/>
        <v>75700.55469599999</v>
      </c>
      <c r="AF81" s="160"/>
      <c r="AG81" s="147">
        <f t="shared" si="39"/>
        <v>13991.662353</v>
      </c>
      <c r="AH81" s="160"/>
      <c r="AI81" s="147">
        <f t="shared" si="40"/>
        <v>74002.144815</v>
      </c>
      <c r="AJ81" s="160"/>
      <c r="AK81" s="147">
        <f t="shared" si="41"/>
        <v>26.958887</v>
      </c>
      <c r="AL81" s="160"/>
      <c r="AM81" s="147">
        <f t="shared" si="42"/>
        <v>50736.625334000004</v>
      </c>
      <c r="AN81" s="160"/>
      <c r="AO81" s="147">
        <f t="shared" si="43"/>
        <v>0</v>
      </c>
      <c r="AP81" s="160"/>
      <c r="AQ81" s="147">
        <f t="shared" si="44"/>
        <v>55130.92391499999</v>
      </c>
      <c r="AS81" s="159"/>
    </row>
    <row r="82" spans="1:45" s="162" customFormat="1" ht="12.75">
      <c r="A82" s="401"/>
      <c r="B82" s="444"/>
      <c r="D82" s="390" t="s">
        <v>372</v>
      </c>
      <c r="E82" s="202"/>
      <c r="F82" s="148"/>
      <c r="G82" s="203"/>
      <c r="H82" s="160">
        <f>SUM(H65:H81)</f>
        <v>4783681.519561327</v>
      </c>
      <c r="I82" s="203"/>
      <c r="J82" s="160">
        <f>SUM(J65:J81)</f>
        <v>2483358.1081662993</v>
      </c>
      <c r="K82" s="203"/>
      <c r="L82" s="160">
        <f>SUM(L65:L81)</f>
        <v>863306.9908249053</v>
      </c>
      <c r="M82" s="203"/>
      <c r="N82" s="160">
        <f>SUM(N65:N81)</f>
        <v>255372.0521661272</v>
      </c>
      <c r="O82" s="203"/>
      <c r="P82" s="160">
        <f>SUM(P65:P81)</f>
        <v>158652.1388101295</v>
      </c>
      <c r="Q82" s="203"/>
      <c r="R82" s="160">
        <f>SUM(R65:R81)</f>
        <v>44864.684307482545</v>
      </c>
      <c r="S82" s="203"/>
      <c r="T82" s="160">
        <f>SUM(T65:T81)</f>
        <v>978127.5452863823</v>
      </c>
      <c r="V82"/>
      <c r="W82" s="384"/>
      <c r="Y82" s="390" t="s">
        <v>372</v>
      </c>
      <c r="Z82" s="202"/>
      <c r="AA82" s="148"/>
      <c r="AC82" s="160">
        <f>SUM(AC65:AC81)</f>
        <v>4783681.519561327</v>
      </c>
      <c r="AE82" s="160">
        <f>SUM(AE65:AE81)</f>
        <v>1343648.9967116332</v>
      </c>
      <c r="AG82" s="160">
        <f>SUM(AG65:AG81)</f>
        <v>248174.29224578236</v>
      </c>
      <c r="AI82" s="160">
        <f>SUM(AI65:AI81)</f>
        <v>1313136.9082980899</v>
      </c>
      <c r="AK82" s="160">
        <f>SUM(AK65:AK81)</f>
        <v>448.9936842996125</v>
      </c>
      <c r="AM82" s="160">
        <f>SUM(AM65:AM81)</f>
        <v>900144.7833351395</v>
      </c>
      <c r="AO82" s="160">
        <f>SUM(AO65:AO81)</f>
        <v>0</v>
      </c>
      <c r="AQ82" s="160">
        <f>SUM(AQ65:AQ81)</f>
        <v>978127.5452863823</v>
      </c>
      <c r="AS82" s="159"/>
    </row>
    <row r="83" spans="1:45" s="162" customFormat="1" ht="12.75">
      <c r="A83" s="401"/>
      <c r="B83" s="444"/>
      <c r="D83" s="280"/>
      <c r="E83" s="202"/>
      <c r="F83" s="148"/>
      <c r="G83" s="203"/>
      <c r="H83" s="160"/>
      <c r="I83" s="203"/>
      <c r="J83" s="160"/>
      <c r="K83" s="203"/>
      <c r="L83" s="160"/>
      <c r="M83" s="203"/>
      <c r="N83" s="160"/>
      <c r="O83" s="203"/>
      <c r="P83" s="160"/>
      <c r="Q83" s="203"/>
      <c r="R83" s="160"/>
      <c r="S83" s="203"/>
      <c r="T83" s="160"/>
      <c r="V83"/>
      <c r="W83" s="384"/>
      <c r="Y83" s="280"/>
      <c r="Z83" s="202"/>
      <c r="AA83" s="148"/>
      <c r="AC83" s="377"/>
      <c r="AE83" s="377"/>
      <c r="AG83" s="377"/>
      <c r="AI83" s="377"/>
      <c r="AK83" s="377"/>
      <c r="AM83" s="377"/>
      <c r="AO83" s="377"/>
      <c r="AQ83" s="377"/>
      <c r="AS83" s="159"/>
    </row>
    <row r="84" spans="1:45" s="162" customFormat="1" ht="12.75">
      <c r="A84" s="401"/>
      <c r="B84" s="444"/>
      <c r="D84" s="382" t="s">
        <v>376</v>
      </c>
      <c r="E84" s="202"/>
      <c r="F84" s="148"/>
      <c r="G84" s="203"/>
      <c r="H84" s="160">
        <f>+H61+H82</f>
        <v>7122364.903575825</v>
      </c>
      <c r="I84" s="203"/>
      <c r="J84" s="160">
        <f>+J61+J82</f>
        <v>3659829.0716716526</v>
      </c>
      <c r="K84" s="203"/>
      <c r="L84" s="160">
        <f>+L61+L82</f>
        <v>1414547.0219190964</v>
      </c>
      <c r="M84" s="203"/>
      <c r="N84" s="160">
        <f>+N61+N82</f>
        <v>460785.8045023392</v>
      </c>
      <c r="O84" s="203"/>
      <c r="P84" s="160">
        <f>+P61+P82</f>
        <v>274966.52963470214</v>
      </c>
      <c r="Q84" s="203"/>
      <c r="R84" s="160">
        <f>+R61+R82</f>
        <v>117322.42150442317</v>
      </c>
      <c r="S84" s="203"/>
      <c r="T84" s="160">
        <f>+T61+T82</f>
        <v>1194914.0543436108</v>
      </c>
      <c r="V84"/>
      <c r="W84" s="384"/>
      <c r="Y84" s="382" t="s">
        <v>376</v>
      </c>
      <c r="Z84" s="202"/>
      <c r="AA84" s="148"/>
      <c r="AC84" s="160">
        <f>+AC61+AC82</f>
        <v>7122364.903575825</v>
      </c>
      <c r="AE84" s="160">
        <f>+AE61+AE82</f>
        <v>3007713.3357747123</v>
      </c>
      <c r="AG84" s="160">
        <f>+AG61+AG82</f>
        <v>332664.23095412477</v>
      </c>
      <c r="AI84" s="160">
        <f>+AI61+AI82</f>
        <v>1686479.505483938</v>
      </c>
      <c r="AK84" s="160">
        <f>+AK61+AK82</f>
        <v>448.9936842996125</v>
      </c>
      <c r="AM84" s="160">
        <f>+AM61+AM82</f>
        <v>900144.7833351395</v>
      </c>
      <c r="AO84" s="160">
        <f>+AO61+AO82</f>
        <v>0</v>
      </c>
      <c r="AQ84" s="160">
        <f>+AQ61+AQ82</f>
        <v>1194914.0543436108</v>
      </c>
      <c r="AS84" s="159"/>
    </row>
    <row r="85" spans="1:45" s="162" customFormat="1" ht="12.75">
      <c r="A85" s="431"/>
      <c r="B85" s="445"/>
      <c r="C85" s="355"/>
      <c r="D85" s="280"/>
      <c r="E85" s="202"/>
      <c r="F85" s="148"/>
      <c r="G85" s="203"/>
      <c r="H85" s="160"/>
      <c r="I85" s="203"/>
      <c r="J85" s="160"/>
      <c r="K85" s="203"/>
      <c r="L85" s="160"/>
      <c r="M85" s="203"/>
      <c r="N85" s="160"/>
      <c r="O85" s="203"/>
      <c r="P85" s="160"/>
      <c r="Q85" s="203"/>
      <c r="R85" s="160"/>
      <c r="S85" s="203"/>
      <c r="T85" s="160"/>
      <c r="V85"/>
      <c r="W85" s="384"/>
      <c r="X85" s="355"/>
      <c r="Y85" s="280"/>
      <c r="Z85" s="202"/>
      <c r="AA85" s="148"/>
      <c r="AC85" s="377"/>
      <c r="AE85" s="160"/>
      <c r="AF85" s="160"/>
      <c r="AG85" s="160"/>
      <c r="AH85" s="160"/>
      <c r="AI85" s="160"/>
      <c r="AJ85" s="160"/>
      <c r="AK85" s="160"/>
      <c r="AL85" s="160"/>
      <c r="AM85" s="160"/>
      <c r="AN85" s="160"/>
      <c r="AO85" s="160"/>
      <c r="AP85" s="160"/>
      <c r="AQ85" s="160"/>
      <c r="AS85" s="159"/>
    </row>
    <row r="86" spans="1:45" s="291" customFormat="1" ht="12.75">
      <c r="A86" s="438"/>
      <c r="B86" s="445"/>
      <c r="C86" s="355"/>
      <c r="D86" s="382" t="s">
        <v>442</v>
      </c>
      <c r="E86" s="202"/>
      <c r="F86" s="148"/>
      <c r="G86" s="203"/>
      <c r="H86" s="160"/>
      <c r="I86" s="203"/>
      <c r="J86" s="160"/>
      <c r="K86" s="204"/>
      <c r="L86" s="160"/>
      <c r="M86" s="204"/>
      <c r="N86" s="160"/>
      <c r="O86" s="204"/>
      <c r="P86" s="160"/>
      <c r="Q86" s="204"/>
      <c r="R86" s="160"/>
      <c r="S86" s="204"/>
      <c r="T86" s="160"/>
      <c r="V86"/>
      <c r="W86" s="385"/>
      <c r="X86" s="355"/>
      <c r="Y86" s="382" t="s">
        <v>442</v>
      </c>
      <c r="Z86" s="202"/>
      <c r="AA86" s="148"/>
      <c r="AC86" s="204"/>
      <c r="AE86" s="160"/>
      <c r="AF86" s="160"/>
      <c r="AG86" s="160"/>
      <c r="AH86" s="160"/>
      <c r="AI86" s="160"/>
      <c r="AJ86" s="160"/>
      <c r="AK86" s="160"/>
      <c r="AL86" s="160"/>
      <c r="AM86" s="160"/>
      <c r="AN86" s="160"/>
      <c r="AO86" s="160"/>
      <c r="AP86" s="160"/>
      <c r="AQ86" s="160"/>
      <c r="AS86" s="159"/>
    </row>
    <row r="87" spans="1:45" s="291" customFormat="1" ht="12.75">
      <c r="A87" s="392"/>
      <c r="B87" s="447">
        <v>601.7</v>
      </c>
      <c r="C87" s="355"/>
      <c r="D87" s="383" t="s">
        <v>443</v>
      </c>
      <c r="E87" s="202"/>
      <c r="F87" s="148">
        <v>12</v>
      </c>
      <c r="G87" s="203"/>
      <c r="H87" s="160">
        <v>55924.399506408656</v>
      </c>
      <c r="I87" s="203"/>
      <c r="J87" s="218">
        <f aca="true" t="shared" si="45" ref="J87:J102">(VLOOKUP($F87,Factors,J$324))*$H87</f>
        <v>51298.8924232336</v>
      </c>
      <c r="K87" s="353"/>
      <c r="L87" s="218">
        <f aca="true" t="shared" si="46" ref="L87:L102">(VLOOKUP($F87,Factors,L$324))*$H87</f>
        <v>4180.348863104047</v>
      </c>
      <c r="M87" s="353"/>
      <c r="N87" s="218">
        <f aca="true" t="shared" si="47" ref="N87:N102">(VLOOKUP($F87,Factors,N$324))*$H87</f>
        <v>84.44584325467707</v>
      </c>
      <c r="O87" s="353"/>
      <c r="P87" s="218">
        <f aca="true" t="shared" si="48" ref="P87:P102">(VLOOKUP($F87,Factors,P$324))*$H87</f>
        <v>357.91615684101544</v>
      </c>
      <c r="Q87" s="353"/>
      <c r="R87" s="218">
        <f aca="true" t="shared" si="49" ref="R87:R102">(VLOOKUP($F87,Factors,R$324))*$H87</f>
        <v>2.796219975320433</v>
      </c>
      <c r="S87" s="353"/>
      <c r="T87" s="218">
        <f aca="true" t="shared" si="50" ref="T87:T102">(VLOOKUP($F87,Factors,T$324))*$H87</f>
        <v>0</v>
      </c>
      <c r="V87"/>
      <c r="W87" s="385">
        <v>601.7</v>
      </c>
      <c r="X87" s="355"/>
      <c r="Y87" s="383" t="s">
        <v>443</v>
      </c>
      <c r="Z87" s="202"/>
      <c r="AA87" s="399">
        <f aca="true" t="shared" si="51" ref="AA87:AA102">+F87</f>
        <v>12</v>
      </c>
      <c r="AB87" s="138"/>
      <c r="AC87" s="399">
        <f aca="true" t="shared" si="52" ref="AC87:AC102">+H87</f>
        <v>55924.399506408656</v>
      </c>
      <c r="AE87" s="160">
        <f aca="true" t="shared" si="53" ref="AE87:AE102">(VLOOKUP($AA87,func,AE$324))*$AC87</f>
        <v>0</v>
      </c>
      <c r="AF87" s="160"/>
      <c r="AG87" s="160">
        <f aca="true" t="shared" si="54" ref="AG87:AG102">(VLOOKUP($AA87,func,AG$324))*$AC87</f>
        <v>0</v>
      </c>
      <c r="AH87" s="160"/>
      <c r="AI87" s="160">
        <f aca="true" t="shared" si="55" ref="AI87:AI102">(VLOOKUP($AA87,func,AI$324))*$AC87</f>
        <v>0</v>
      </c>
      <c r="AJ87" s="160"/>
      <c r="AK87" s="160">
        <f aca="true" t="shared" si="56" ref="AK87:AK102">(VLOOKUP($AA87,func,AK$324))*$AC87</f>
        <v>0</v>
      </c>
      <c r="AL87" s="160"/>
      <c r="AM87" s="160">
        <f aca="true" t="shared" si="57" ref="AM87:AM102">(VLOOKUP($AA87,func,AM$324))*$AC87</f>
        <v>0</v>
      </c>
      <c r="AN87" s="160"/>
      <c r="AO87" s="160">
        <f aca="true" t="shared" si="58" ref="AO87:AO102">(VLOOKUP($AA87,func,AO$324))*$AC87</f>
        <v>55924.399506408656</v>
      </c>
      <c r="AP87" s="160"/>
      <c r="AQ87" s="160">
        <f aca="true" t="shared" si="59" ref="AQ87:AQ102">(VLOOKUP($AA87,func,AQ$324))*$AC87</f>
        <v>0</v>
      </c>
      <c r="AS87" s="159"/>
    </row>
    <row r="88" spans="1:45" s="162" customFormat="1" ht="12.75">
      <c r="A88" s="401"/>
      <c r="B88" s="444">
        <v>601.7</v>
      </c>
      <c r="C88" s="355"/>
      <c r="D88" s="386" t="s">
        <v>324</v>
      </c>
      <c r="E88" s="202"/>
      <c r="F88" s="148">
        <v>8</v>
      </c>
      <c r="G88" s="203"/>
      <c r="H88" s="160">
        <v>190954.2796383933</v>
      </c>
      <c r="I88" s="160"/>
      <c r="J88" s="218">
        <f t="shared" si="45"/>
        <v>148333.2844231039</v>
      </c>
      <c r="K88" s="353"/>
      <c r="L88" s="218">
        <f t="shared" si="46"/>
        <v>34104.434343417044</v>
      </c>
      <c r="M88" s="353"/>
      <c r="N88" s="218">
        <f t="shared" si="47"/>
        <v>2635.1690590098274</v>
      </c>
      <c r="O88" s="353"/>
      <c r="P88" s="218">
        <f t="shared" si="48"/>
        <v>5728.628389151799</v>
      </c>
      <c r="Q88" s="353"/>
      <c r="R88" s="218">
        <f t="shared" si="49"/>
        <v>152.76342371071465</v>
      </c>
      <c r="S88" s="353"/>
      <c r="T88" s="218">
        <f t="shared" si="50"/>
        <v>0</v>
      </c>
      <c r="V88"/>
      <c r="W88" s="384">
        <v>601.7</v>
      </c>
      <c r="X88" s="355"/>
      <c r="Y88" s="386" t="s">
        <v>324</v>
      </c>
      <c r="Z88" s="202"/>
      <c r="AA88" s="399">
        <f>+F88</f>
        <v>8</v>
      </c>
      <c r="AB88" s="138"/>
      <c r="AC88" s="399">
        <f>+H88</f>
        <v>190954.2796383933</v>
      </c>
      <c r="AD88" s="160"/>
      <c r="AE88" s="160">
        <f t="shared" si="53"/>
        <v>0</v>
      </c>
      <c r="AF88" s="160"/>
      <c r="AG88" s="160">
        <f t="shared" si="54"/>
        <v>0</v>
      </c>
      <c r="AH88" s="160"/>
      <c r="AI88" s="160">
        <f t="shared" si="55"/>
        <v>0</v>
      </c>
      <c r="AJ88" s="160"/>
      <c r="AK88" s="160">
        <f t="shared" si="56"/>
        <v>190954.2796383933</v>
      </c>
      <c r="AL88" s="160"/>
      <c r="AM88" s="160">
        <f t="shared" si="57"/>
        <v>0</v>
      </c>
      <c r="AN88" s="160"/>
      <c r="AO88" s="160">
        <f t="shared" si="58"/>
        <v>0</v>
      </c>
      <c r="AP88" s="160"/>
      <c r="AQ88" s="160">
        <f t="shared" si="59"/>
        <v>0</v>
      </c>
      <c r="AS88" s="159"/>
    </row>
    <row r="89" spans="1:45" s="291" customFormat="1" ht="12.75">
      <c r="A89" s="392"/>
      <c r="B89" s="447">
        <v>601.7</v>
      </c>
      <c r="C89" s="355"/>
      <c r="D89" s="383" t="s">
        <v>445</v>
      </c>
      <c r="E89" s="202"/>
      <c r="F89" s="148">
        <v>8</v>
      </c>
      <c r="G89" s="203"/>
      <c r="H89" s="160">
        <v>667525.5969763389</v>
      </c>
      <c r="I89" s="203"/>
      <c r="J89" s="218">
        <f t="shared" si="45"/>
        <v>518533.8837312201</v>
      </c>
      <c r="K89" s="353"/>
      <c r="L89" s="218">
        <f t="shared" si="46"/>
        <v>119220.07161997413</v>
      </c>
      <c r="M89" s="353"/>
      <c r="N89" s="218">
        <f t="shared" si="47"/>
        <v>9211.853238273476</v>
      </c>
      <c r="O89" s="353"/>
      <c r="P89" s="218">
        <f t="shared" si="48"/>
        <v>20025.767909290167</v>
      </c>
      <c r="Q89" s="353"/>
      <c r="R89" s="218">
        <f t="shared" si="49"/>
        <v>534.0204775810712</v>
      </c>
      <c r="S89" s="353"/>
      <c r="T89" s="218">
        <f t="shared" si="50"/>
        <v>0</v>
      </c>
      <c r="V89"/>
      <c r="W89" s="385">
        <v>601.7</v>
      </c>
      <c r="X89" s="355"/>
      <c r="Y89" s="383" t="s">
        <v>445</v>
      </c>
      <c r="Z89" s="202"/>
      <c r="AA89" s="399">
        <f t="shared" si="51"/>
        <v>8</v>
      </c>
      <c r="AB89" s="138"/>
      <c r="AC89" s="399">
        <f t="shared" si="52"/>
        <v>667525.5969763389</v>
      </c>
      <c r="AE89" s="160">
        <f t="shared" si="53"/>
        <v>0</v>
      </c>
      <c r="AF89" s="160"/>
      <c r="AG89" s="160">
        <f t="shared" si="54"/>
        <v>0</v>
      </c>
      <c r="AH89" s="160"/>
      <c r="AI89" s="160">
        <f t="shared" si="55"/>
        <v>0</v>
      </c>
      <c r="AJ89" s="160"/>
      <c r="AK89" s="160">
        <f t="shared" si="56"/>
        <v>667525.5969763389</v>
      </c>
      <c r="AL89" s="160"/>
      <c r="AM89" s="160">
        <f t="shared" si="57"/>
        <v>0</v>
      </c>
      <c r="AN89" s="160"/>
      <c r="AO89" s="160">
        <f t="shared" si="58"/>
        <v>0</v>
      </c>
      <c r="AP89" s="160"/>
      <c r="AQ89" s="160">
        <f t="shared" si="59"/>
        <v>0</v>
      </c>
      <c r="AS89" s="159"/>
    </row>
    <row r="90" spans="1:45" s="291" customFormat="1" ht="12.75">
      <c r="A90" s="392"/>
      <c r="B90" s="447">
        <v>601.7</v>
      </c>
      <c r="C90" s="355"/>
      <c r="D90" s="383" t="s">
        <v>444</v>
      </c>
      <c r="E90" s="202"/>
      <c r="F90" s="148">
        <v>12</v>
      </c>
      <c r="G90" s="203"/>
      <c r="H90" s="160">
        <v>715178.8094969812</v>
      </c>
      <c r="I90" s="203"/>
      <c r="J90" s="218">
        <f t="shared" si="45"/>
        <v>656026.3701634859</v>
      </c>
      <c r="K90" s="353"/>
      <c r="L90" s="218">
        <f t="shared" si="46"/>
        <v>53459.61600989934</v>
      </c>
      <c r="M90" s="353"/>
      <c r="N90" s="218">
        <f t="shared" si="47"/>
        <v>1079.9200023404417</v>
      </c>
      <c r="O90" s="353"/>
      <c r="P90" s="218">
        <f t="shared" si="48"/>
        <v>4577.14438078068</v>
      </c>
      <c r="Q90" s="353"/>
      <c r="R90" s="218">
        <f t="shared" si="49"/>
        <v>35.75894047484906</v>
      </c>
      <c r="S90" s="353"/>
      <c r="T90" s="218">
        <f t="shared" si="50"/>
        <v>0</v>
      </c>
      <c r="V90"/>
      <c r="W90" s="385">
        <v>601.7</v>
      </c>
      <c r="X90" s="355"/>
      <c r="Y90" s="383" t="s">
        <v>444</v>
      </c>
      <c r="Z90" s="202"/>
      <c r="AA90" s="399">
        <f t="shared" si="51"/>
        <v>12</v>
      </c>
      <c r="AB90" s="138"/>
      <c r="AC90" s="399">
        <f t="shared" si="52"/>
        <v>715178.8094969812</v>
      </c>
      <c r="AE90" s="160">
        <f t="shared" si="53"/>
        <v>0</v>
      </c>
      <c r="AF90" s="160"/>
      <c r="AG90" s="160">
        <f t="shared" si="54"/>
        <v>0</v>
      </c>
      <c r="AH90" s="160"/>
      <c r="AI90" s="160">
        <f t="shared" si="55"/>
        <v>0</v>
      </c>
      <c r="AJ90" s="160"/>
      <c r="AK90" s="160">
        <f t="shared" si="56"/>
        <v>0</v>
      </c>
      <c r="AL90" s="160"/>
      <c r="AM90" s="160">
        <f t="shared" si="57"/>
        <v>0</v>
      </c>
      <c r="AN90" s="160"/>
      <c r="AO90" s="160">
        <f t="shared" si="58"/>
        <v>715178.8094969812</v>
      </c>
      <c r="AP90" s="160"/>
      <c r="AQ90" s="160">
        <f t="shared" si="59"/>
        <v>0</v>
      </c>
      <c r="AS90" s="159"/>
    </row>
    <row r="91" spans="1:45" s="291" customFormat="1" ht="12.75">
      <c r="A91" s="392"/>
      <c r="B91" s="447">
        <v>601.7</v>
      </c>
      <c r="C91" s="355"/>
      <c r="D91" s="383" t="s">
        <v>323</v>
      </c>
      <c r="E91" s="202"/>
      <c r="F91" s="148">
        <v>12</v>
      </c>
      <c r="G91" s="203"/>
      <c r="H91" s="160">
        <v>31836.887349518176</v>
      </c>
      <c r="I91" s="203"/>
      <c r="J91" s="218">
        <f t="shared" si="45"/>
        <v>29203.658396839528</v>
      </c>
      <c r="K91" s="353"/>
      <c r="L91" s="218">
        <f t="shared" si="46"/>
        <v>2379.8073293764837</v>
      </c>
      <c r="M91" s="353"/>
      <c r="N91" s="218">
        <f t="shared" si="47"/>
        <v>48.07369989777245</v>
      </c>
      <c r="O91" s="353"/>
      <c r="P91" s="218">
        <f t="shared" si="48"/>
        <v>203.75607903691633</v>
      </c>
      <c r="Q91" s="353"/>
      <c r="R91" s="218">
        <f t="shared" si="49"/>
        <v>1.5918443674759089</v>
      </c>
      <c r="S91" s="353"/>
      <c r="T91" s="218">
        <f t="shared" si="50"/>
        <v>0</v>
      </c>
      <c r="V91"/>
      <c r="W91" s="385">
        <v>601.7</v>
      </c>
      <c r="X91" s="355"/>
      <c r="Y91" s="383" t="s">
        <v>323</v>
      </c>
      <c r="Z91" s="202"/>
      <c r="AA91" s="399">
        <f t="shared" si="51"/>
        <v>12</v>
      </c>
      <c r="AB91" s="138"/>
      <c r="AC91" s="399">
        <f t="shared" si="52"/>
        <v>31836.887349518176</v>
      </c>
      <c r="AE91" s="160">
        <f t="shared" si="53"/>
        <v>0</v>
      </c>
      <c r="AF91" s="160"/>
      <c r="AG91" s="160">
        <f t="shared" si="54"/>
        <v>0</v>
      </c>
      <c r="AH91" s="160"/>
      <c r="AI91" s="160">
        <f t="shared" si="55"/>
        <v>0</v>
      </c>
      <c r="AJ91" s="160"/>
      <c r="AK91" s="160">
        <f t="shared" si="56"/>
        <v>0</v>
      </c>
      <c r="AL91" s="160"/>
      <c r="AM91" s="160">
        <f t="shared" si="57"/>
        <v>0</v>
      </c>
      <c r="AN91" s="160"/>
      <c r="AO91" s="160">
        <f t="shared" si="58"/>
        <v>31836.887349518176</v>
      </c>
      <c r="AP91" s="160"/>
      <c r="AQ91" s="160">
        <f t="shared" si="59"/>
        <v>0</v>
      </c>
      <c r="AS91" s="159"/>
    </row>
    <row r="92" spans="1:45" s="162" customFormat="1" ht="12.75">
      <c r="A92" s="401"/>
      <c r="B92" s="444">
        <v>620.7</v>
      </c>
      <c r="C92" s="355"/>
      <c r="D92" s="383" t="s">
        <v>334</v>
      </c>
      <c r="E92" s="202"/>
      <c r="F92" s="148">
        <v>12</v>
      </c>
      <c r="G92" s="203"/>
      <c r="H92" s="160">
        <v>80801.71</v>
      </c>
      <c r="I92" s="203"/>
      <c r="J92" s="218">
        <f t="shared" si="45"/>
        <v>74118.60056590001</v>
      </c>
      <c r="K92" s="353"/>
      <c r="L92" s="218">
        <f t="shared" si="46"/>
        <v>6039.9278225</v>
      </c>
      <c r="M92" s="353"/>
      <c r="N92" s="218">
        <f t="shared" si="47"/>
        <v>122.01058210000001</v>
      </c>
      <c r="O92" s="353"/>
      <c r="P92" s="218">
        <f t="shared" si="48"/>
        <v>517.1309440000001</v>
      </c>
      <c r="Q92" s="353"/>
      <c r="R92" s="218">
        <f t="shared" si="49"/>
        <v>4.040085500000001</v>
      </c>
      <c r="S92" s="353"/>
      <c r="T92" s="218">
        <f t="shared" si="50"/>
        <v>0</v>
      </c>
      <c r="V92"/>
      <c r="W92" s="384">
        <v>620.7</v>
      </c>
      <c r="X92" s="355"/>
      <c r="Y92" s="383" t="s">
        <v>334</v>
      </c>
      <c r="Z92" s="202"/>
      <c r="AA92" s="399">
        <f t="shared" si="51"/>
        <v>12</v>
      </c>
      <c r="AB92" s="138"/>
      <c r="AC92" s="399">
        <f t="shared" si="52"/>
        <v>80801.71</v>
      </c>
      <c r="AD92" s="203"/>
      <c r="AE92" s="160">
        <f t="shared" si="53"/>
        <v>0</v>
      </c>
      <c r="AF92" s="160"/>
      <c r="AG92" s="160">
        <f t="shared" si="54"/>
        <v>0</v>
      </c>
      <c r="AH92" s="160"/>
      <c r="AI92" s="160">
        <f t="shared" si="55"/>
        <v>0</v>
      </c>
      <c r="AJ92" s="160"/>
      <c r="AK92" s="160">
        <f t="shared" si="56"/>
        <v>0</v>
      </c>
      <c r="AL92" s="160"/>
      <c r="AM92" s="160">
        <f t="shared" si="57"/>
        <v>0</v>
      </c>
      <c r="AN92" s="160"/>
      <c r="AO92" s="160">
        <f t="shared" si="58"/>
        <v>80801.71</v>
      </c>
      <c r="AP92" s="160"/>
      <c r="AQ92" s="160">
        <f t="shared" si="59"/>
        <v>0</v>
      </c>
      <c r="AS92" s="159"/>
    </row>
    <row r="93" spans="1:45" s="162" customFormat="1" ht="12.75">
      <c r="A93" s="401"/>
      <c r="B93" s="444">
        <v>620.7</v>
      </c>
      <c r="C93" s="355"/>
      <c r="D93" s="383" t="s">
        <v>339</v>
      </c>
      <c r="E93" s="202"/>
      <c r="F93" s="148">
        <v>12</v>
      </c>
      <c r="G93" s="203"/>
      <c r="H93" s="160">
        <v>49486.32</v>
      </c>
      <c r="I93" s="203"/>
      <c r="J93" s="218">
        <f t="shared" si="45"/>
        <v>45393.3064728</v>
      </c>
      <c r="K93" s="353"/>
      <c r="L93" s="218">
        <f t="shared" si="46"/>
        <v>3699.1024199999997</v>
      </c>
      <c r="M93" s="353"/>
      <c r="N93" s="218">
        <f t="shared" si="47"/>
        <v>74.7243432</v>
      </c>
      <c r="O93" s="353"/>
      <c r="P93" s="218">
        <f t="shared" si="48"/>
        <v>316.712448</v>
      </c>
      <c r="Q93" s="353"/>
      <c r="R93" s="218">
        <f t="shared" si="49"/>
        <v>2.474316</v>
      </c>
      <c r="S93" s="353"/>
      <c r="T93" s="218">
        <f t="shared" si="50"/>
        <v>0</v>
      </c>
      <c r="V93"/>
      <c r="W93" s="384">
        <v>620.7</v>
      </c>
      <c r="X93" s="355"/>
      <c r="Y93" s="383" t="s">
        <v>339</v>
      </c>
      <c r="Z93" s="202"/>
      <c r="AA93" s="399">
        <f t="shared" si="51"/>
        <v>12</v>
      </c>
      <c r="AB93" s="138"/>
      <c r="AC93" s="399">
        <f t="shared" si="52"/>
        <v>49486.32</v>
      </c>
      <c r="AE93" s="160">
        <f t="shared" si="53"/>
        <v>0</v>
      </c>
      <c r="AF93" s="160"/>
      <c r="AG93" s="160">
        <f t="shared" si="54"/>
        <v>0</v>
      </c>
      <c r="AH93" s="160"/>
      <c r="AI93" s="160">
        <f t="shared" si="55"/>
        <v>0</v>
      </c>
      <c r="AJ93" s="160"/>
      <c r="AK93" s="160">
        <f t="shared" si="56"/>
        <v>0</v>
      </c>
      <c r="AL93" s="160"/>
      <c r="AM93" s="160">
        <f t="shared" si="57"/>
        <v>0</v>
      </c>
      <c r="AN93" s="160"/>
      <c r="AO93" s="160">
        <f t="shared" si="58"/>
        <v>49486.32</v>
      </c>
      <c r="AP93" s="160"/>
      <c r="AQ93" s="160">
        <f t="shared" si="59"/>
        <v>0</v>
      </c>
      <c r="AS93" s="159"/>
    </row>
    <row r="94" spans="1:45" s="162" customFormat="1" ht="12.75">
      <c r="A94" s="401"/>
      <c r="B94" s="444">
        <v>633.7</v>
      </c>
      <c r="C94" s="355"/>
      <c r="D94" s="383" t="s">
        <v>343</v>
      </c>
      <c r="E94" s="202"/>
      <c r="F94" s="148">
        <v>12</v>
      </c>
      <c r="G94" s="203"/>
      <c r="H94" s="160">
        <v>2508</v>
      </c>
      <c r="I94" s="160"/>
      <c r="J94" s="218">
        <f t="shared" si="45"/>
        <v>2300.56332</v>
      </c>
      <c r="K94" s="353"/>
      <c r="L94" s="218">
        <f t="shared" si="46"/>
        <v>187.47299999999998</v>
      </c>
      <c r="M94" s="353"/>
      <c r="N94" s="218">
        <f t="shared" si="47"/>
        <v>3.78708</v>
      </c>
      <c r="O94" s="353"/>
      <c r="P94" s="218">
        <f t="shared" si="48"/>
        <v>16.0512</v>
      </c>
      <c r="Q94" s="353"/>
      <c r="R94" s="218">
        <f t="shared" si="49"/>
        <v>0.1254</v>
      </c>
      <c r="S94" s="353"/>
      <c r="T94" s="218">
        <f t="shared" si="50"/>
        <v>0</v>
      </c>
      <c r="V94"/>
      <c r="W94" s="384">
        <v>633.7</v>
      </c>
      <c r="X94" s="355"/>
      <c r="Y94" s="383" t="s">
        <v>343</v>
      </c>
      <c r="Z94" s="202"/>
      <c r="AA94" s="399">
        <f t="shared" si="51"/>
        <v>12</v>
      </c>
      <c r="AB94" s="138"/>
      <c r="AC94" s="399">
        <f t="shared" si="52"/>
        <v>2508</v>
      </c>
      <c r="AD94" s="160"/>
      <c r="AE94" s="160">
        <f t="shared" si="53"/>
        <v>0</v>
      </c>
      <c r="AF94" s="160"/>
      <c r="AG94" s="160">
        <f t="shared" si="54"/>
        <v>0</v>
      </c>
      <c r="AH94" s="160"/>
      <c r="AI94" s="160">
        <f t="shared" si="55"/>
        <v>0</v>
      </c>
      <c r="AJ94" s="160"/>
      <c r="AK94" s="160">
        <f t="shared" si="56"/>
        <v>0</v>
      </c>
      <c r="AL94" s="160"/>
      <c r="AM94" s="160">
        <f t="shared" si="57"/>
        <v>0</v>
      </c>
      <c r="AN94" s="160"/>
      <c r="AO94" s="160">
        <f t="shared" si="58"/>
        <v>2508</v>
      </c>
      <c r="AP94" s="160"/>
      <c r="AQ94" s="160">
        <f t="shared" si="59"/>
        <v>0</v>
      </c>
      <c r="AS94" s="159"/>
    </row>
    <row r="95" spans="1:45" s="162" customFormat="1" ht="12.75">
      <c r="A95" s="401"/>
      <c r="B95" s="444">
        <v>633.7</v>
      </c>
      <c r="C95" s="355"/>
      <c r="D95" s="383" t="s">
        <v>344</v>
      </c>
      <c r="E95" s="202"/>
      <c r="F95" s="148">
        <v>12</v>
      </c>
      <c r="G95" s="203"/>
      <c r="H95" s="160">
        <v>45.39</v>
      </c>
      <c r="I95" s="203"/>
      <c r="J95" s="218">
        <f t="shared" si="45"/>
        <v>41.6357931</v>
      </c>
      <c r="K95" s="353"/>
      <c r="L95" s="218">
        <f t="shared" si="46"/>
        <v>3.3929025</v>
      </c>
      <c r="M95" s="353"/>
      <c r="N95" s="218">
        <f t="shared" si="47"/>
        <v>0.0685389</v>
      </c>
      <c r="O95" s="353"/>
      <c r="P95" s="218">
        <f t="shared" si="48"/>
        <v>0.29049600000000003</v>
      </c>
      <c r="Q95" s="353"/>
      <c r="R95" s="218">
        <f t="shared" si="49"/>
        <v>0.0022695000000000002</v>
      </c>
      <c r="S95" s="353"/>
      <c r="T95" s="218">
        <f t="shared" si="50"/>
        <v>0</v>
      </c>
      <c r="V95"/>
      <c r="W95" s="384">
        <v>633.7</v>
      </c>
      <c r="X95" s="355"/>
      <c r="Y95" s="383" t="s">
        <v>344</v>
      </c>
      <c r="Z95" s="202"/>
      <c r="AA95" s="399">
        <f t="shared" si="51"/>
        <v>12</v>
      </c>
      <c r="AB95" s="138"/>
      <c r="AC95" s="399">
        <f t="shared" si="52"/>
        <v>45.39</v>
      </c>
      <c r="AE95" s="160">
        <f t="shared" si="53"/>
        <v>0</v>
      </c>
      <c r="AF95" s="160"/>
      <c r="AG95" s="160">
        <f t="shared" si="54"/>
        <v>0</v>
      </c>
      <c r="AH95" s="160"/>
      <c r="AI95" s="160">
        <f t="shared" si="55"/>
        <v>0</v>
      </c>
      <c r="AJ95" s="160"/>
      <c r="AK95" s="160">
        <f t="shared" si="56"/>
        <v>0</v>
      </c>
      <c r="AL95" s="160"/>
      <c r="AM95" s="160">
        <f t="shared" si="57"/>
        <v>0</v>
      </c>
      <c r="AN95" s="160"/>
      <c r="AO95" s="160">
        <f t="shared" si="58"/>
        <v>45.39</v>
      </c>
      <c r="AP95" s="160"/>
      <c r="AQ95" s="160">
        <f t="shared" si="59"/>
        <v>0</v>
      </c>
      <c r="AS95" s="159"/>
    </row>
    <row r="96" spans="1:45" s="162" customFormat="1" ht="12.75">
      <c r="A96" s="401"/>
      <c r="B96" s="444">
        <v>635.7</v>
      </c>
      <c r="D96" s="383" t="s">
        <v>353</v>
      </c>
      <c r="E96" s="202"/>
      <c r="F96" s="148">
        <v>12</v>
      </c>
      <c r="G96" s="203"/>
      <c r="H96" s="160">
        <v>3161.88</v>
      </c>
      <c r="I96" s="203"/>
      <c r="J96" s="218">
        <f t="shared" si="45"/>
        <v>2900.3609052</v>
      </c>
      <c r="K96" s="353"/>
      <c r="L96" s="218">
        <f t="shared" si="46"/>
        <v>236.35053</v>
      </c>
      <c r="M96" s="353"/>
      <c r="N96" s="218">
        <f t="shared" si="47"/>
        <v>4.7744388</v>
      </c>
      <c r="O96" s="353"/>
      <c r="P96" s="218">
        <f t="shared" si="48"/>
        <v>20.236032</v>
      </c>
      <c r="Q96" s="353"/>
      <c r="R96" s="218">
        <f t="shared" si="49"/>
        <v>0.158094</v>
      </c>
      <c r="S96" s="353"/>
      <c r="T96" s="218">
        <f t="shared" si="50"/>
        <v>0</v>
      </c>
      <c r="V96"/>
      <c r="W96" s="384">
        <v>635.7</v>
      </c>
      <c r="Y96" s="383" t="s">
        <v>353</v>
      </c>
      <c r="Z96" s="202"/>
      <c r="AA96" s="399">
        <f t="shared" si="51"/>
        <v>12</v>
      </c>
      <c r="AB96" s="138"/>
      <c r="AC96" s="399">
        <f t="shared" si="52"/>
        <v>3161.88</v>
      </c>
      <c r="AE96" s="160">
        <f t="shared" si="53"/>
        <v>0</v>
      </c>
      <c r="AF96" s="160"/>
      <c r="AG96" s="160">
        <f t="shared" si="54"/>
        <v>0</v>
      </c>
      <c r="AH96" s="160"/>
      <c r="AI96" s="160">
        <f t="shared" si="55"/>
        <v>0</v>
      </c>
      <c r="AJ96" s="160"/>
      <c r="AK96" s="160">
        <f t="shared" si="56"/>
        <v>0</v>
      </c>
      <c r="AL96" s="160"/>
      <c r="AM96" s="160">
        <f t="shared" si="57"/>
        <v>0</v>
      </c>
      <c r="AN96" s="160"/>
      <c r="AO96" s="160">
        <f t="shared" si="58"/>
        <v>3161.88</v>
      </c>
      <c r="AP96" s="160"/>
      <c r="AQ96" s="160">
        <f t="shared" si="59"/>
        <v>0</v>
      </c>
      <c r="AS96" s="159"/>
    </row>
    <row r="97" spans="1:45" s="162" customFormat="1" ht="12.75">
      <c r="A97" s="401"/>
      <c r="B97" s="444">
        <v>635.7</v>
      </c>
      <c r="D97" s="383" t="s">
        <v>355</v>
      </c>
      <c r="E97" s="202"/>
      <c r="F97" s="148">
        <v>12</v>
      </c>
      <c r="G97" s="203"/>
      <c r="H97" s="160">
        <v>175502.31</v>
      </c>
      <c r="I97" s="203"/>
      <c r="J97" s="218">
        <f t="shared" si="45"/>
        <v>160986.5139399</v>
      </c>
      <c r="K97" s="353"/>
      <c r="L97" s="218">
        <f t="shared" si="46"/>
        <v>13118.797672499999</v>
      </c>
      <c r="M97" s="353"/>
      <c r="N97" s="218">
        <f t="shared" si="47"/>
        <v>265.0084881</v>
      </c>
      <c r="O97" s="353"/>
      <c r="P97" s="218">
        <f t="shared" si="48"/>
        <v>1123.214784</v>
      </c>
      <c r="Q97" s="353"/>
      <c r="R97" s="218">
        <f t="shared" si="49"/>
        <v>8.7751155</v>
      </c>
      <c r="S97" s="353"/>
      <c r="T97" s="218">
        <f t="shared" si="50"/>
        <v>0</v>
      </c>
      <c r="V97"/>
      <c r="W97" s="384">
        <v>635.7</v>
      </c>
      <c r="Y97" s="383" t="s">
        <v>355</v>
      </c>
      <c r="Z97" s="202"/>
      <c r="AA97" s="399">
        <f t="shared" si="51"/>
        <v>12</v>
      </c>
      <c r="AB97" s="138"/>
      <c r="AC97" s="399">
        <f t="shared" si="52"/>
        <v>175502.31</v>
      </c>
      <c r="AE97" s="160">
        <f t="shared" si="53"/>
        <v>0</v>
      </c>
      <c r="AF97" s="160"/>
      <c r="AG97" s="160">
        <f t="shared" si="54"/>
        <v>0</v>
      </c>
      <c r="AH97" s="160"/>
      <c r="AI97" s="160">
        <f t="shared" si="55"/>
        <v>0</v>
      </c>
      <c r="AJ97" s="160"/>
      <c r="AK97" s="160">
        <f t="shared" si="56"/>
        <v>0</v>
      </c>
      <c r="AL97" s="160"/>
      <c r="AM97" s="160">
        <f t="shared" si="57"/>
        <v>0</v>
      </c>
      <c r="AN97" s="160"/>
      <c r="AO97" s="160">
        <f t="shared" si="58"/>
        <v>175502.31</v>
      </c>
      <c r="AP97" s="160"/>
      <c r="AQ97" s="160">
        <f t="shared" si="59"/>
        <v>0</v>
      </c>
      <c r="AS97" s="159"/>
    </row>
    <row r="98" spans="1:45" s="162" customFormat="1" ht="12.75">
      <c r="A98" s="401"/>
      <c r="B98" s="444">
        <v>635.7</v>
      </c>
      <c r="D98" s="383" t="s">
        <v>356</v>
      </c>
      <c r="E98" s="202"/>
      <c r="F98" s="148">
        <v>12</v>
      </c>
      <c r="G98" s="203"/>
      <c r="H98" s="160">
        <v>11166.7</v>
      </c>
      <c r="I98" s="203"/>
      <c r="J98" s="218">
        <f t="shared" si="45"/>
        <v>10243.102243000001</v>
      </c>
      <c r="K98" s="353"/>
      <c r="L98" s="218">
        <f t="shared" si="46"/>
        <v>834.710825</v>
      </c>
      <c r="M98" s="353"/>
      <c r="N98" s="218">
        <f t="shared" si="47"/>
        <v>16.861717000000002</v>
      </c>
      <c r="O98" s="353"/>
      <c r="P98" s="218">
        <f t="shared" si="48"/>
        <v>71.46688</v>
      </c>
      <c r="Q98" s="353"/>
      <c r="R98" s="218">
        <f t="shared" si="49"/>
        <v>0.558335</v>
      </c>
      <c r="S98" s="353"/>
      <c r="T98" s="218">
        <f t="shared" si="50"/>
        <v>0</v>
      </c>
      <c r="V98"/>
      <c r="W98" s="384">
        <v>635.7</v>
      </c>
      <c r="Y98" s="383" t="s">
        <v>356</v>
      </c>
      <c r="Z98" s="202"/>
      <c r="AA98" s="399">
        <f t="shared" si="51"/>
        <v>12</v>
      </c>
      <c r="AB98" s="138"/>
      <c r="AC98" s="399">
        <f t="shared" si="52"/>
        <v>11166.7</v>
      </c>
      <c r="AE98" s="160">
        <f t="shared" si="53"/>
        <v>0</v>
      </c>
      <c r="AF98" s="160"/>
      <c r="AG98" s="160">
        <f t="shared" si="54"/>
        <v>0</v>
      </c>
      <c r="AH98" s="160"/>
      <c r="AI98" s="160">
        <f t="shared" si="55"/>
        <v>0</v>
      </c>
      <c r="AJ98" s="160"/>
      <c r="AK98" s="160">
        <f t="shared" si="56"/>
        <v>0</v>
      </c>
      <c r="AL98" s="160"/>
      <c r="AM98" s="160">
        <f t="shared" si="57"/>
        <v>0</v>
      </c>
      <c r="AN98" s="160"/>
      <c r="AO98" s="160">
        <f t="shared" si="58"/>
        <v>11166.7</v>
      </c>
      <c r="AP98" s="160"/>
      <c r="AQ98" s="160">
        <f t="shared" si="59"/>
        <v>0</v>
      </c>
      <c r="AS98" s="159"/>
    </row>
    <row r="99" spans="1:45" s="162" customFormat="1" ht="12.75">
      <c r="A99" s="401"/>
      <c r="B99" s="444">
        <v>635.7</v>
      </c>
      <c r="D99" s="383" t="s">
        <v>357</v>
      </c>
      <c r="E99" s="202"/>
      <c r="F99" s="148">
        <v>12</v>
      </c>
      <c r="G99" s="203"/>
      <c r="H99" s="160">
        <v>105254.45</v>
      </c>
      <c r="I99" s="203"/>
      <c r="J99" s="218">
        <f t="shared" si="45"/>
        <v>96548.8544405</v>
      </c>
      <c r="K99" s="353"/>
      <c r="L99" s="218">
        <f t="shared" si="46"/>
        <v>7867.7701375</v>
      </c>
      <c r="M99" s="353"/>
      <c r="N99" s="218">
        <f t="shared" si="47"/>
        <v>158.9342195</v>
      </c>
      <c r="O99" s="353"/>
      <c r="P99" s="218">
        <f t="shared" si="48"/>
        <v>673.62848</v>
      </c>
      <c r="Q99" s="353"/>
      <c r="R99" s="218">
        <f t="shared" si="49"/>
        <v>5.2627225</v>
      </c>
      <c r="S99" s="353"/>
      <c r="T99" s="218">
        <f t="shared" si="50"/>
        <v>0</v>
      </c>
      <c r="V99"/>
      <c r="W99" s="384">
        <v>635.7</v>
      </c>
      <c r="Y99" s="383" t="s">
        <v>357</v>
      </c>
      <c r="Z99" s="202"/>
      <c r="AA99" s="399">
        <f t="shared" si="51"/>
        <v>12</v>
      </c>
      <c r="AB99" s="138"/>
      <c r="AC99" s="399">
        <f t="shared" si="52"/>
        <v>105254.45</v>
      </c>
      <c r="AE99" s="160">
        <f t="shared" si="53"/>
        <v>0</v>
      </c>
      <c r="AF99" s="160"/>
      <c r="AG99" s="160">
        <f t="shared" si="54"/>
        <v>0</v>
      </c>
      <c r="AH99" s="160"/>
      <c r="AI99" s="160">
        <f t="shared" si="55"/>
        <v>0</v>
      </c>
      <c r="AJ99" s="160"/>
      <c r="AK99" s="160">
        <f t="shared" si="56"/>
        <v>0</v>
      </c>
      <c r="AL99" s="160"/>
      <c r="AM99" s="160">
        <f t="shared" si="57"/>
        <v>0</v>
      </c>
      <c r="AN99" s="160"/>
      <c r="AO99" s="160">
        <f t="shared" si="58"/>
        <v>105254.45</v>
      </c>
      <c r="AP99" s="160"/>
      <c r="AQ99" s="160">
        <f t="shared" si="59"/>
        <v>0</v>
      </c>
      <c r="AS99" s="159"/>
    </row>
    <row r="100" spans="1:45" s="162" customFormat="1" ht="12.75">
      <c r="A100" s="401"/>
      <c r="B100" s="444">
        <v>635.7</v>
      </c>
      <c r="D100" s="383" t="s">
        <v>359</v>
      </c>
      <c r="E100" s="202"/>
      <c r="F100" s="148">
        <v>12</v>
      </c>
      <c r="G100" s="203"/>
      <c r="H100" s="160">
        <v>33424</v>
      </c>
      <c r="I100" s="203"/>
      <c r="J100" s="218">
        <f t="shared" si="45"/>
        <v>30659.50096</v>
      </c>
      <c r="K100" s="353"/>
      <c r="L100" s="218">
        <f t="shared" si="46"/>
        <v>2498.444</v>
      </c>
      <c r="M100" s="353"/>
      <c r="N100" s="218">
        <f t="shared" si="47"/>
        <v>50.470240000000004</v>
      </c>
      <c r="O100" s="353"/>
      <c r="P100" s="218">
        <f t="shared" si="48"/>
        <v>213.9136</v>
      </c>
      <c r="Q100" s="353"/>
      <c r="R100" s="218">
        <f t="shared" si="49"/>
        <v>1.6712</v>
      </c>
      <c r="S100" s="353"/>
      <c r="T100" s="218">
        <f t="shared" si="50"/>
        <v>0</v>
      </c>
      <c r="V100"/>
      <c r="W100" s="384">
        <v>635.7</v>
      </c>
      <c r="Y100" s="383" t="s">
        <v>359</v>
      </c>
      <c r="Z100" s="202"/>
      <c r="AA100" s="399">
        <f t="shared" si="51"/>
        <v>12</v>
      </c>
      <c r="AB100" s="138"/>
      <c r="AC100" s="399">
        <f t="shared" si="52"/>
        <v>33424</v>
      </c>
      <c r="AE100" s="160">
        <f t="shared" si="53"/>
        <v>0</v>
      </c>
      <c r="AF100" s="160"/>
      <c r="AG100" s="160">
        <f t="shared" si="54"/>
        <v>0</v>
      </c>
      <c r="AH100" s="160"/>
      <c r="AI100" s="160">
        <f t="shared" si="55"/>
        <v>0</v>
      </c>
      <c r="AJ100" s="160"/>
      <c r="AK100" s="160">
        <f t="shared" si="56"/>
        <v>0</v>
      </c>
      <c r="AL100" s="160"/>
      <c r="AM100" s="160">
        <f t="shared" si="57"/>
        <v>0</v>
      </c>
      <c r="AN100" s="160"/>
      <c r="AO100" s="160">
        <f t="shared" si="58"/>
        <v>33424</v>
      </c>
      <c r="AP100" s="160"/>
      <c r="AQ100" s="160">
        <f t="shared" si="59"/>
        <v>0</v>
      </c>
      <c r="AS100" s="159"/>
    </row>
    <row r="101" spans="1:45" s="162" customFormat="1" ht="12.75">
      <c r="A101" s="401"/>
      <c r="B101" s="444">
        <v>635.7</v>
      </c>
      <c r="D101" s="383" t="s">
        <v>349</v>
      </c>
      <c r="E101" s="202"/>
      <c r="F101" s="148">
        <v>12</v>
      </c>
      <c r="G101" s="203"/>
      <c r="H101" s="160">
        <v>67703.67</v>
      </c>
      <c r="I101" s="203"/>
      <c r="J101" s="218">
        <f t="shared" si="45"/>
        <v>62103.8994543</v>
      </c>
      <c r="K101" s="353"/>
      <c r="L101" s="218">
        <f t="shared" si="46"/>
        <v>5060.8493325</v>
      </c>
      <c r="M101" s="353"/>
      <c r="N101" s="218">
        <f t="shared" si="47"/>
        <v>102.2325417</v>
      </c>
      <c r="O101" s="353"/>
      <c r="P101" s="218">
        <f t="shared" si="48"/>
        <v>433.303488</v>
      </c>
      <c r="Q101" s="353"/>
      <c r="R101" s="218">
        <f t="shared" si="49"/>
        <v>3.3851835</v>
      </c>
      <c r="S101" s="353"/>
      <c r="T101" s="218">
        <f t="shared" si="50"/>
        <v>0</v>
      </c>
      <c r="V101"/>
      <c r="W101" s="384">
        <v>635.7</v>
      </c>
      <c r="Y101" s="383" t="s">
        <v>349</v>
      </c>
      <c r="Z101" s="202"/>
      <c r="AA101" s="399">
        <f t="shared" si="51"/>
        <v>12</v>
      </c>
      <c r="AB101" s="138"/>
      <c r="AC101" s="399">
        <f t="shared" si="52"/>
        <v>67703.67</v>
      </c>
      <c r="AE101" s="160">
        <f t="shared" si="53"/>
        <v>0</v>
      </c>
      <c r="AF101" s="160"/>
      <c r="AG101" s="160">
        <f t="shared" si="54"/>
        <v>0</v>
      </c>
      <c r="AH101" s="160"/>
      <c r="AI101" s="160">
        <f t="shared" si="55"/>
        <v>0</v>
      </c>
      <c r="AJ101" s="160"/>
      <c r="AK101" s="160">
        <f t="shared" si="56"/>
        <v>0</v>
      </c>
      <c r="AL101" s="160"/>
      <c r="AM101" s="160">
        <f t="shared" si="57"/>
        <v>0</v>
      </c>
      <c r="AN101" s="160"/>
      <c r="AO101" s="160">
        <f t="shared" si="58"/>
        <v>67703.67</v>
      </c>
      <c r="AP101" s="160"/>
      <c r="AQ101" s="160">
        <f t="shared" si="59"/>
        <v>0</v>
      </c>
      <c r="AS101" s="159"/>
    </row>
    <row r="102" spans="1:45" s="162" customFormat="1" ht="12.75">
      <c r="A102" s="401"/>
      <c r="B102" s="444">
        <v>650.7</v>
      </c>
      <c r="D102" s="383" t="s">
        <v>361</v>
      </c>
      <c r="E102" s="202"/>
      <c r="F102" s="148">
        <v>12</v>
      </c>
      <c r="G102" s="203"/>
      <c r="H102" s="147">
        <v>90893.35</v>
      </c>
      <c r="I102" s="203"/>
      <c r="J102" s="405">
        <f t="shared" si="45"/>
        <v>83375.5610215</v>
      </c>
      <c r="K102" s="353"/>
      <c r="L102" s="405">
        <f t="shared" si="46"/>
        <v>6794.2779125</v>
      </c>
      <c r="M102" s="353"/>
      <c r="N102" s="405">
        <f t="shared" si="47"/>
        <v>137.24895850000001</v>
      </c>
      <c r="O102" s="353"/>
      <c r="P102" s="405">
        <f t="shared" si="48"/>
        <v>581.71744</v>
      </c>
      <c r="Q102" s="353"/>
      <c r="R102" s="405">
        <f t="shared" si="49"/>
        <v>4.5446675</v>
      </c>
      <c r="S102" s="353"/>
      <c r="T102" s="405">
        <f t="shared" si="50"/>
        <v>0</v>
      </c>
      <c r="V102"/>
      <c r="W102" s="384">
        <v>650.7</v>
      </c>
      <c r="Y102" s="383" t="s">
        <v>361</v>
      </c>
      <c r="Z102" s="202"/>
      <c r="AA102" s="399">
        <f t="shared" si="51"/>
        <v>12</v>
      </c>
      <c r="AB102" s="138"/>
      <c r="AC102" s="400">
        <f t="shared" si="52"/>
        <v>90893.35</v>
      </c>
      <c r="AE102" s="147">
        <f t="shared" si="53"/>
        <v>0</v>
      </c>
      <c r="AG102" s="147">
        <f t="shared" si="54"/>
        <v>0</v>
      </c>
      <c r="AI102" s="147">
        <f t="shared" si="55"/>
        <v>0</v>
      </c>
      <c r="AK102" s="147">
        <f t="shared" si="56"/>
        <v>0</v>
      </c>
      <c r="AM102" s="147">
        <f t="shared" si="57"/>
        <v>0</v>
      </c>
      <c r="AO102" s="147">
        <f t="shared" si="58"/>
        <v>90893.35</v>
      </c>
      <c r="AQ102" s="147">
        <f t="shared" si="59"/>
        <v>0</v>
      </c>
      <c r="AS102" s="159"/>
    </row>
    <row r="103" spans="1:45" s="162" customFormat="1" ht="12.75">
      <c r="A103" s="401"/>
      <c r="B103" s="444"/>
      <c r="D103" s="391"/>
      <c r="E103" s="202"/>
      <c r="F103" s="148"/>
      <c r="G103" s="203"/>
      <c r="H103" s="160"/>
      <c r="I103" s="203"/>
      <c r="J103" s="160"/>
      <c r="K103" s="204"/>
      <c r="L103" s="204"/>
      <c r="M103" s="204"/>
      <c r="N103" s="204"/>
      <c r="O103" s="204"/>
      <c r="P103" s="204"/>
      <c r="Q103" s="204"/>
      <c r="R103" s="204"/>
      <c r="S103" s="204"/>
      <c r="T103" s="204"/>
      <c r="V103"/>
      <c r="W103" s="384"/>
      <c r="Y103" s="391"/>
      <c r="Z103" s="202"/>
      <c r="AA103" s="148"/>
      <c r="AS103" s="159"/>
    </row>
    <row r="104" spans="1:45" s="162" customFormat="1" ht="12.75">
      <c r="A104" s="401"/>
      <c r="B104" s="444"/>
      <c r="D104" s="390" t="s">
        <v>377</v>
      </c>
      <c r="E104" s="202"/>
      <c r="F104" s="148"/>
      <c r="G104" s="203"/>
      <c r="H104" s="160">
        <f>SUM(H87:H103)</f>
        <v>2281367.7529676403</v>
      </c>
      <c r="I104" s="203"/>
      <c r="J104" s="160">
        <f>SUM(J87:J103)</f>
        <v>1972067.9882540836</v>
      </c>
      <c r="K104" s="203"/>
      <c r="L104" s="160">
        <f>SUM(L87:L103)</f>
        <v>259685.374720771</v>
      </c>
      <c r="M104" s="203"/>
      <c r="N104" s="160">
        <f>SUM(N87:N103)</f>
        <v>13995.582990576191</v>
      </c>
      <c r="O104" s="203"/>
      <c r="P104" s="160">
        <f>SUM(P87:P103)</f>
        <v>34860.87870710058</v>
      </c>
      <c r="Q104" s="203"/>
      <c r="R104" s="160">
        <f>SUM(R87:R103)</f>
        <v>757.9282951094314</v>
      </c>
      <c r="S104" s="203"/>
      <c r="T104" s="160">
        <f>SUM(T87:T103)</f>
        <v>0</v>
      </c>
      <c r="V104"/>
      <c r="W104" s="384"/>
      <c r="Y104" s="390" t="s">
        <v>377</v>
      </c>
      <c r="Z104" s="202"/>
      <c r="AA104" s="148"/>
      <c r="AC104" s="160">
        <f>SUM(AC87:AC103)</f>
        <v>2281367.7529676403</v>
      </c>
      <c r="AE104" s="160">
        <f>SUM(AE87:AE103)</f>
        <v>0</v>
      </c>
      <c r="AG104" s="160">
        <f>SUM(AG87:AG103)</f>
        <v>0</v>
      </c>
      <c r="AI104" s="160">
        <f>SUM(AI87:AI103)</f>
        <v>0</v>
      </c>
      <c r="AK104" s="160">
        <f>SUM(AK87:AK103)</f>
        <v>858479.8766147322</v>
      </c>
      <c r="AM104" s="160">
        <f>SUM(AM87:AM103)</f>
        <v>0</v>
      </c>
      <c r="AO104" s="160">
        <f>SUM(AO87:AO103)</f>
        <v>1422887.8763529079</v>
      </c>
      <c r="AQ104" s="160">
        <f>SUM(AQ87:AQ103)</f>
        <v>0</v>
      </c>
      <c r="AS104" s="159"/>
    </row>
    <row r="105" spans="1:45" s="162" customFormat="1" ht="12.75">
      <c r="A105" s="392"/>
      <c r="B105" s="444"/>
      <c r="D105" s="391"/>
      <c r="E105" s="202"/>
      <c r="F105" s="148"/>
      <c r="G105" s="203"/>
      <c r="H105" s="160"/>
      <c r="I105" s="203"/>
      <c r="J105" s="160"/>
      <c r="K105" s="204"/>
      <c r="L105" s="204"/>
      <c r="M105" s="204"/>
      <c r="N105" s="204"/>
      <c r="O105" s="204"/>
      <c r="P105" s="204"/>
      <c r="Q105" s="204"/>
      <c r="R105" s="204"/>
      <c r="S105" s="204"/>
      <c r="T105" s="204"/>
      <c r="V105"/>
      <c r="W105" s="384"/>
      <c r="Y105" s="391"/>
      <c r="Z105" s="202"/>
      <c r="AA105" s="148"/>
      <c r="AS105" s="159"/>
    </row>
    <row r="106" spans="1:45" s="162" customFormat="1" ht="12.75">
      <c r="A106" s="392"/>
      <c r="B106" s="444"/>
      <c r="C106" s="355"/>
      <c r="D106" s="382" t="s">
        <v>446</v>
      </c>
      <c r="E106" s="202"/>
      <c r="F106" s="148"/>
      <c r="G106" s="203"/>
      <c r="H106" s="160"/>
      <c r="I106" s="203"/>
      <c r="J106" s="160"/>
      <c r="K106" s="204"/>
      <c r="L106" s="160"/>
      <c r="M106" s="204"/>
      <c r="N106" s="160"/>
      <c r="O106" s="204"/>
      <c r="P106" s="160"/>
      <c r="Q106" s="204"/>
      <c r="R106" s="160"/>
      <c r="S106" s="204"/>
      <c r="T106" s="160"/>
      <c r="V106"/>
      <c r="W106" s="384"/>
      <c r="X106" s="355"/>
      <c r="Y106" s="382" t="s">
        <v>446</v>
      </c>
      <c r="Z106" s="202"/>
      <c r="AA106" s="148"/>
      <c r="AC106" s="377"/>
      <c r="AE106" s="160"/>
      <c r="AF106" s="160"/>
      <c r="AG106" s="160"/>
      <c r="AH106" s="160"/>
      <c r="AI106" s="160"/>
      <c r="AJ106" s="160"/>
      <c r="AK106" s="160"/>
      <c r="AL106" s="160"/>
      <c r="AM106" s="160"/>
      <c r="AN106" s="160"/>
      <c r="AO106" s="160"/>
      <c r="AP106" s="160"/>
      <c r="AQ106" s="160"/>
      <c r="AS106" s="159"/>
    </row>
    <row r="107" spans="1:45" s="162" customFormat="1" ht="12.75">
      <c r="A107" s="392"/>
      <c r="B107" s="444">
        <v>601.8</v>
      </c>
      <c r="C107" s="355"/>
      <c r="D107" s="386" t="s">
        <v>436</v>
      </c>
      <c r="E107" s="202"/>
      <c r="F107" s="148">
        <v>14</v>
      </c>
      <c r="G107" s="203"/>
      <c r="H107" s="160">
        <v>1134185.6842727966</v>
      </c>
      <c r="I107" s="203"/>
      <c r="J107" s="218">
        <f aca="true" t="shared" si="60" ref="J107:J125">(VLOOKUP($F107,Factors,J$324))*$H107</f>
        <v>670984.2508157865</v>
      </c>
      <c r="K107" s="353"/>
      <c r="L107" s="218">
        <f aca="true" t="shared" si="61" ref="L107:L125">(VLOOKUP($F107,Factors,L$324))*$H107</f>
        <v>216629.46569610416</v>
      </c>
      <c r="M107" s="353"/>
      <c r="N107" s="218">
        <f aca="true" t="shared" si="62" ref="N107:N125">(VLOOKUP($F107,Factors,N$324))*$H107</f>
        <v>66349.86252995861</v>
      </c>
      <c r="O107" s="353"/>
      <c r="P107" s="218">
        <f aca="true" t="shared" si="63" ref="P107:P125">(VLOOKUP($F107,Factors,P$324))*$H107</f>
        <v>41624.61461281164</v>
      </c>
      <c r="Q107" s="353"/>
      <c r="R107" s="218">
        <f aca="true" t="shared" si="64" ref="R107:R125">(VLOOKUP($F107,Factors,R$324))*$H107</f>
        <v>21095.853727474016</v>
      </c>
      <c r="S107" s="353"/>
      <c r="T107" s="218">
        <f aca="true" t="shared" si="65" ref="T107:T125">(VLOOKUP($F107,Factors,T$324))*$H107</f>
        <v>117501.63689066173</v>
      </c>
      <c r="V107"/>
      <c r="W107" s="384">
        <v>601.8</v>
      </c>
      <c r="X107" s="355"/>
      <c r="Y107" s="386" t="s">
        <v>436</v>
      </c>
      <c r="Z107" s="202"/>
      <c r="AA107" s="399">
        <f aca="true" t="shared" si="66" ref="AA107:AA125">+F107</f>
        <v>14</v>
      </c>
      <c r="AB107" s="138"/>
      <c r="AC107" s="399">
        <f aca="true" t="shared" si="67" ref="AC107:AC125">+H107</f>
        <v>1134185.6842727966</v>
      </c>
      <c r="AE107" s="160">
        <f aca="true" t="shared" si="68" ref="AE107:AE125">(VLOOKUP($AA107,func,AE$324))*$AC107</f>
        <v>380972.97134723235</v>
      </c>
      <c r="AF107" s="160"/>
      <c r="AG107" s="160">
        <f aca="true" t="shared" si="69" ref="AG107:AG125">(VLOOKUP($AA107,func,AG$324))*$AC107</f>
        <v>159126.25150347338</v>
      </c>
      <c r="AH107" s="160"/>
      <c r="AI107" s="160">
        <f aca="true" t="shared" si="70" ref="AI107:AI125">(VLOOKUP($AA107,func,AI$324))*$AC107</f>
        <v>165137.4356301192</v>
      </c>
      <c r="AJ107" s="160"/>
      <c r="AK107" s="160">
        <f aca="true" t="shared" si="71" ref="AK107:AK125">(VLOOKUP($AA107,func,AK$324))*$AC107</f>
        <v>84043.15920461423</v>
      </c>
      <c r="AL107" s="160"/>
      <c r="AM107" s="160">
        <f aca="true" t="shared" si="72" ref="AM107:AM125">(VLOOKUP($AA107,func,AM$324))*$AC107</f>
        <v>88126.2276679963</v>
      </c>
      <c r="AN107" s="160"/>
      <c r="AO107" s="160">
        <f aca="true" t="shared" si="73" ref="AO107:AO125">(VLOOKUP($AA107,func,AO$324))*$AC107</f>
        <v>139278.00202869944</v>
      </c>
      <c r="AP107" s="160"/>
      <c r="AQ107" s="160">
        <f aca="true" t="shared" si="74" ref="AQ107:AQ125">(VLOOKUP($AA107,func,AQ$324))*$AC107</f>
        <v>117501.63689066173</v>
      </c>
      <c r="AS107" s="159"/>
    </row>
    <row r="108" spans="1:45" s="162" customFormat="1" ht="12.75">
      <c r="A108" s="392"/>
      <c r="B108" s="444">
        <v>604</v>
      </c>
      <c r="C108" s="355"/>
      <c r="D108" s="386" t="s">
        <v>447</v>
      </c>
      <c r="E108" s="202"/>
      <c r="F108" s="148">
        <v>16</v>
      </c>
      <c r="G108" s="203"/>
      <c r="H108" s="160">
        <v>3773334.83</v>
      </c>
      <c r="I108" s="203"/>
      <c r="J108" s="218">
        <f t="shared" si="60"/>
        <v>2243624.889918</v>
      </c>
      <c r="K108" s="353"/>
      <c r="L108" s="218">
        <f t="shared" si="61"/>
        <v>740328.2936460001</v>
      </c>
      <c r="M108" s="353"/>
      <c r="N108" s="218">
        <f t="shared" si="62"/>
        <v>227154.756766</v>
      </c>
      <c r="O108" s="353"/>
      <c r="P108" s="218">
        <f t="shared" si="63"/>
        <v>143386.72354</v>
      </c>
      <c r="Q108" s="353"/>
      <c r="R108" s="218">
        <f t="shared" si="64"/>
        <v>72448.028736</v>
      </c>
      <c r="S108" s="353"/>
      <c r="T108" s="218">
        <f t="shared" si="65"/>
        <v>346392.137394</v>
      </c>
      <c r="V108"/>
      <c r="W108" s="384">
        <v>604</v>
      </c>
      <c r="X108" s="355"/>
      <c r="Y108" s="386" t="s">
        <v>447</v>
      </c>
      <c r="Z108" s="202"/>
      <c r="AA108" s="399">
        <f t="shared" si="66"/>
        <v>16</v>
      </c>
      <c r="AB108" s="138"/>
      <c r="AC108" s="399">
        <f t="shared" si="67"/>
        <v>3773334.83</v>
      </c>
      <c r="AE108" s="160">
        <f t="shared" si="68"/>
        <v>1306705.851629</v>
      </c>
      <c r="AF108" s="160"/>
      <c r="AG108" s="160">
        <f t="shared" si="69"/>
        <v>572414.893711</v>
      </c>
      <c r="AH108" s="160"/>
      <c r="AI108" s="160">
        <f t="shared" si="70"/>
        <v>505249.53373699996</v>
      </c>
      <c r="AJ108" s="160"/>
      <c r="AK108" s="160">
        <f t="shared" si="71"/>
        <v>419972.166579</v>
      </c>
      <c r="AL108" s="160"/>
      <c r="AM108" s="160">
        <f t="shared" si="72"/>
        <v>202628.080371</v>
      </c>
      <c r="AN108" s="160"/>
      <c r="AO108" s="160">
        <f t="shared" si="73"/>
        <v>419972.166579</v>
      </c>
      <c r="AP108" s="160"/>
      <c r="AQ108" s="160">
        <f t="shared" si="74"/>
        <v>346392.137394</v>
      </c>
      <c r="AS108" s="159"/>
    </row>
    <row r="109" spans="1:45" s="291" customFormat="1" ht="12.75">
      <c r="A109" s="392"/>
      <c r="B109" s="447">
        <v>615.8</v>
      </c>
      <c r="C109" s="355"/>
      <c r="D109" s="386" t="s">
        <v>331</v>
      </c>
      <c r="E109" s="202"/>
      <c r="F109" s="148">
        <v>14</v>
      </c>
      <c r="G109" s="203"/>
      <c r="H109" s="160">
        <v>161416.84</v>
      </c>
      <c r="I109" s="203"/>
      <c r="J109" s="218">
        <f t="shared" si="60"/>
        <v>95494.202544</v>
      </c>
      <c r="K109" s="353"/>
      <c r="L109" s="218">
        <f t="shared" si="61"/>
        <v>30830.61644</v>
      </c>
      <c r="M109" s="353"/>
      <c r="N109" s="218">
        <f t="shared" si="62"/>
        <v>9442.88514</v>
      </c>
      <c r="O109" s="353"/>
      <c r="P109" s="218">
        <f t="shared" si="63"/>
        <v>5923.998028</v>
      </c>
      <c r="Q109" s="353"/>
      <c r="R109" s="218">
        <f t="shared" si="64"/>
        <v>3002.3532239999995</v>
      </c>
      <c r="S109" s="353"/>
      <c r="T109" s="218">
        <f t="shared" si="65"/>
        <v>16722.784624</v>
      </c>
      <c r="V109"/>
      <c r="W109" s="385">
        <v>615.8</v>
      </c>
      <c r="X109" s="355"/>
      <c r="Y109" s="386" t="s">
        <v>331</v>
      </c>
      <c r="Z109" s="202"/>
      <c r="AA109" s="399">
        <f t="shared" si="66"/>
        <v>14</v>
      </c>
      <c r="AB109" s="138"/>
      <c r="AC109" s="399">
        <f t="shared" si="67"/>
        <v>161416.84</v>
      </c>
      <c r="AE109" s="160">
        <f t="shared" si="68"/>
        <v>54219.916556</v>
      </c>
      <c r="AF109" s="160"/>
      <c r="AG109" s="160">
        <f t="shared" si="69"/>
        <v>22646.782652</v>
      </c>
      <c r="AH109" s="160"/>
      <c r="AI109" s="160">
        <f t="shared" si="70"/>
        <v>23502.291904</v>
      </c>
      <c r="AJ109" s="160"/>
      <c r="AK109" s="160">
        <f t="shared" si="71"/>
        <v>11960.987844</v>
      </c>
      <c r="AL109" s="160"/>
      <c r="AM109" s="160">
        <f t="shared" si="72"/>
        <v>12542.088468</v>
      </c>
      <c r="AN109" s="160"/>
      <c r="AO109" s="160">
        <f t="shared" si="73"/>
        <v>19821.987952</v>
      </c>
      <c r="AP109" s="160"/>
      <c r="AQ109" s="160">
        <f t="shared" si="74"/>
        <v>16722.784624</v>
      </c>
      <c r="AS109" s="159"/>
    </row>
    <row r="110" spans="1:45" s="162" customFormat="1" ht="12.75">
      <c r="A110" s="392"/>
      <c r="B110" s="444">
        <v>620.8</v>
      </c>
      <c r="C110" s="355"/>
      <c r="D110" s="386" t="s">
        <v>334</v>
      </c>
      <c r="E110" s="202"/>
      <c r="F110" s="148">
        <v>14</v>
      </c>
      <c r="G110" s="203"/>
      <c r="H110" s="160">
        <v>171817.07</v>
      </c>
      <c r="I110" s="203"/>
      <c r="J110" s="218">
        <f t="shared" si="60"/>
        <v>101646.978612</v>
      </c>
      <c r="K110" s="353"/>
      <c r="L110" s="218">
        <f t="shared" si="61"/>
        <v>32817.06037</v>
      </c>
      <c r="M110" s="353"/>
      <c r="N110" s="218">
        <f t="shared" si="62"/>
        <v>10051.298595</v>
      </c>
      <c r="O110" s="353"/>
      <c r="P110" s="218">
        <f t="shared" si="63"/>
        <v>6305.686469000001</v>
      </c>
      <c r="Q110" s="353"/>
      <c r="R110" s="218">
        <f t="shared" si="64"/>
        <v>3195.797502</v>
      </c>
      <c r="S110" s="353"/>
      <c r="T110" s="218">
        <f t="shared" si="65"/>
        <v>17800.248452</v>
      </c>
      <c r="V110"/>
      <c r="W110" s="384">
        <v>620.8</v>
      </c>
      <c r="X110" s="355"/>
      <c r="Y110" s="386" t="s">
        <v>334</v>
      </c>
      <c r="Z110" s="202"/>
      <c r="AA110" s="399">
        <f t="shared" si="66"/>
        <v>14</v>
      </c>
      <c r="AB110" s="138"/>
      <c r="AC110" s="399">
        <f t="shared" si="67"/>
        <v>171817.07</v>
      </c>
      <c r="AE110" s="160">
        <f t="shared" si="68"/>
        <v>57713.353813</v>
      </c>
      <c r="AF110" s="160"/>
      <c r="AG110" s="160">
        <f t="shared" si="69"/>
        <v>24105.934921000004</v>
      </c>
      <c r="AH110" s="160"/>
      <c r="AI110" s="160">
        <f t="shared" si="70"/>
        <v>25016.565392000004</v>
      </c>
      <c r="AJ110" s="160"/>
      <c r="AK110" s="160">
        <f t="shared" si="71"/>
        <v>12731.644887</v>
      </c>
      <c r="AL110" s="160"/>
      <c r="AM110" s="160">
        <f t="shared" si="72"/>
        <v>13350.186339000002</v>
      </c>
      <c r="AN110" s="160"/>
      <c r="AO110" s="160">
        <f t="shared" si="73"/>
        <v>21099.136196000003</v>
      </c>
      <c r="AP110" s="160"/>
      <c r="AQ110" s="160">
        <f t="shared" si="74"/>
        <v>17800.248452</v>
      </c>
      <c r="AS110" s="159"/>
    </row>
    <row r="111" spans="1:45" s="162" customFormat="1" ht="12.75">
      <c r="A111" s="392"/>
      <c r="B111" s="444">
        <v>631.8</v>
      </c>
      <c r="D111" s="386" t="s">
        <v>340</v>
      </c>
      <c r="E111" s="202"/>
      <c r="F111" s="148">
        <v>14</v>
      </c>
      <c r="G111" s="203"/>
      <c r="H111" s="160">
        <v>126833.36</v>
      </c>
      <c r="I111" s="203"/>
      <c r="J111" s="218">
        <f t="shared" si="60"/>
        <v>75034.615776</v>
      </c>
      <c r="K111" s="353"/>
      <c r="L111" s="218">
        <f t="shared" si="61"/>
        <v>24225.17176</v>
      </c>
      <c r="M111" s="353"/>
      <c r="N111" s="218">
        <f t="shared" si="62"/>
        <v>7419.751560000001</v>
      </c>
      <c r="O111" s="353"/>
      <c r="P111" s="218">
        <f t="shared" si="63"/>
        <v>4654.784312000001</v>
      </c>
      <c r="Q111" s="353"/>
      <c r="R111" s="218">
        <f t="shared" si="64"/>
        <v>2359.100496</v>
      </c>
      <c r="S111" s="353"/>
      <c r="T111" s="218">
        <f t="shared" si="65"/>
        <v>13139.936096</v>
      </c>
      <c r="V111"/>
      <c r="W111" s="384">
        <v>631.8</v>
      </c>
      <c r="Y111" s="386" t="s">
        <v>340</v>
      </c>
      <c r="Z111" s="202"/>
      <c r="AA111" s="399">
        <f t="shared" si="66"/>
        <v>14</v>
      </c>
      <c r="AB111" s="138"/>
      <c r="AC111" s="399">
        <f t="shared" si="67"/>
        <v>126833.36</v>
      </c>
      <c r="AE111" s="160">
        <f t="shared" si="68"/>
        <v>42603.325624</v>
      </c>
      <c r="AF111" s="160"/>
      <c r="AG111" s="160">
        <f t="shared" si="69"/>
        <v>17794.720408</v>
      </c>
      <c r="AH111" s="160"/>
      <c r="AI111" s="160">
        <f t="shared" si="70"/>
        <v>18466.937216000002</v>
      </c>
      <c r="AJ111" s="160"/>
      <c r="AK111" s="160">
        <f t="shared" si="71"/>
        <v>9398.351976</v>
      </c>
      <c r="AL111" s="160"/>
      <c r="AM111" s="160">
        <f t="shared" si="72"/>
        <v>9854.952072</v>
      </c>
      <c r="AN111" s="160"/>
      <c r="AO111" s="160">
        <f t="shared" si="73"/>
        <v>15575.136608</v>
      </c>
      <c r="AP111" s="160"/>
      <c r="AQ111" s="160">
        <f t="shared" si="74"/>
        <v>13139.936096</v>
      </c>
      <c r="AS111" s="159"/>
    </row>
    <row r="112" spans="1:45" s="162" customFormat="1" ht="12.75">
      <c r="A112" s="392"/>
      <c r="B112" s="444">
        <v>632.8</v>
      </c>
      <c r="C112" s="355"/>
      <c r="D112" s="386" t="s">
        <v>341</v>
      </c>
      <c r="E112" s="202"/>
      <c r="F112" s="148">
        <v>14</v>
      </c>
      <c r="G112" s="203"/>
      <c r="H112" s="160">
        <v>28255</v>
      </c>
      <c r="I112" s="203"/>
      <c r="J112" s="218">
        <f t="shared" si="60"/>
        <v>16715.658</v>
      </c>
      <c r="K112" s="353"/>
      <c r="L112" s="218">
        <f t="shared" si="61"/>
        <v>5396.705</v>
      </c>
      <c r="M112" s="353"/>
      <c r="N112" s="218">
        <f t="shared" si="62"/>
        <v>1652.9175</v>
      </c>
      <c r="O112" s="353"/>
      <c r="P112" s="218">
        <f t="shared" si="63"/>
        <v>1036.9585000000002</v>
      </c>
      <c r="Q112" s="353"/>
      <c r="R112" s="218">
        <f t="shared" si="64"/>
        <v>525.543</v>
      </c>
      <c r="S112" s="353"/>
      <c r="T112" s="218">
        <f t="shared" si="65"/>
        <v>2927.218</v>
      </c>
      <c r="V112"/>
      <c r="W112" s="384">
        <v>632.8</v>
      </c>
      <c r="X112" s="355"/>
      <c r="Y112" s="386" t="s">
        <v>341</v>
      </c>
      <c r="Z112" s="202"/>
      <c r="AA112" s="399">
        <f t="shared" si="66"/>
        <v>14</v>
      </c>
      <c r="AB112" s="138"/>
      <c r="AC112" s="399">
        <f t="shared" si="67"/>
        <v>28255</v>
      </c>
      <c r="AE112" s="160">
        <f t="shared" si="68"/>
        <v>9490.8545</v>
      </c>
      <c r="AF112" s="160"/>
      <c r="AG112" s="160">
        <f t="shared" si="69"/>
        <v>3964.1765</v>
      </c>
      <c r="AH112" s="160"/>
      <c r="AI112" s="160">
        <f t="shared" si="70"/>
        <v>4113.928</v>
      </c>
      <c r="AJ112" s="160"/>
      <c r="AK112" s="160">
        <f t="shared" si="71"/>
        <v>2093.6955</v>
      </c>
      <c r="AL112" s="160"/>
      <c r="AM112" s="160">
        <f t="shared" si="72"/>
        <v>2195.4135</v>
      </c>
      <c r="AN112" s="160"/>
      <c r="AO112" s="160">
        <f t="shared" si="73"/>
        <v>3469.7140000000004</v>
      </c>
      <c r="AP112" s="160"/>
      <c r="AQ112" s="160">
        <f t="shared" si="74"/>
        <v>2927.218</v>
      </c>
      <c r="AS112" s="159"/>
    </row>
    <row r="113" spans="1:45" s="162" customFormat="1" ht="12.75">
      <c r="A113" s="392"/>
      <c r="B113" s="444">
        <v>633.8</v>
      </c>
      <c r="C113" s="355"/>
      <c r="D113" s="386" t="s">
        <v>344</v>
      </c>
      <c r="E113" s="202"/>
      <c r="F113" s="148">
        <v>14</v>
      </c>
      <c r="G113" s="203"/>
      <c r="H113" s="160">
        <v>142184.25</v>
      </c>
      <c r="I113" s="203"/>
      <c r="J113" s="218">
        <f t="shared" si="60"/>
        <v>84116.2023</v>
      </c>
      <c r="K113" s="353"/>
      <c r="L113" s="218">
        <f t="shared" si="61"/>
        <v>27157.19175</v>
      </c>
      <c r="M113" s="353"/>
      <c r="N113" s="218">
        <f t="shared" si="62"/>
        <v>8317.778625</v>
      </c>
      <c r="O113" s="353"/>
      <c r="P113" s="218">
        <f t="shared" si="63"/>
        <v>5218.161975000001</v>
      </c>
      <c r="Q113" s="353"/>
      <c r="R113" s="218">
        <f t="shared" si="64"/>
        <v>2644.6270499999996</v>
      </c>
      <c r="S113" s="353"/>
      <c r="T113" s="218">
        <f t="shared" si="65"/>
        <v>14730.2883</v>
      </c>
      <c r="V113"/>
      <c r="W113" s="384">
        <v>633.8</v>
      </c>
      <c r="X113" s="355"/>
      <c r="Y113" s="386" t="s">
        <v>344</v>
      </c>
      <c r="Z113" s="202"/>
      <c r="AA113" s="399">
        <f t="shared" si="66"/>
        <v>14</v>
      </c>
      <c r="AB113" s="138"/>
      <c r="AC113" s="399">
        <f t="shared" si="67"/>
        <v>142184.25</v>
      </c>
      <c r="AE113" s="160">
        <f t="shared" si="68"/>
        <v>47759.689575</v>
      </c>
      <c r="AF113" s="160"/>
      <c r="AG113" s="160">
        <f t="shared" si="69"/>
        <v>19948.450275000003</v>
      </c>
      <c r="AH113" s="160"/>
      <c r="AI113" s="160">
        <f t="shared" si="70"/>
        <v>20702.0268</v>
      </c>
      <c r="AJ113" s="160"/>
      <c r="AK113" s="160">
        <f t="shared" si="71"/>
        <v>10535.852925</v>
      </c>
      <c r="AL113" s="160"/>
      <c r="AM113" s="160">
        <f t="shared" si="72"/>
        <v>11047.716225</v>
      </c>
      <c r="AN113" s="160"/>
      <c r="AO113" s="160">
        <f t="shared" si="73"/>
        <v>17460.2259</v>
      </c>
      <c r="AP113" s="160"/>
      <c r="AQ113" s="160">
        <f t="shared" si="74"/>
        <v>14730.2883</v>
      </c>
      <c r="AS113" s="159"/>
    </row>
    <row r="114" spans="1:45" s="162" customFormat="1" ht="12.75">
      <c r="A114" s="392"/>
      <c r="B114" s="444">
        <v>634.8</v>
      </c>
      <c r="C114" s="355"/>
      <c r="D114" s="386" t="s">
        <v>345</v>
      </c>
      <c r="E114" s="202"/>
      <c r="F114" s="148">
        <v>14</v>
      </c>
      <c r="G114" s="203"/>
      <c r="H114" s="160">
        <v>70690.91</v>
      </c>
      <c r="I114" s="160"/>
      <c r="J114" s="218">
        <f t="shared" si="60"/>
        <v>41820.742356</v>
      </c>
      <c r="K114" s="353"/>
      <c r="L114" s="218">
        <f t="shared" si="61"/>
        <v>13501.963810000001</v>
      </c>
      <c r="M114" s="353"/>
      <c r="N114" s="218">
        <f t="shared" si="62"/>
        <v>4135.418235</v>
      </c>
      <c r="O114" s="353"/>
      <c r="P114" s="218">
        <f t="shared" si="63"/>
        <v>2594.3563970000005</v>
      </c>
      <c r="Q114" s="353"/>
      <c r="R114" s="218">
        <f t="shared" si="64"/>
        <v>1314.8509259999998</v>
      </c>
      <c r="S114" s="353"/>
      <c r="T114" s="218">
        <f t="shared" si="65"/>
        <v>7323.578276</v>
      </c>
      <c r="V114"/>
      <c r="W114" s="384">
        <v>634.8</v>
      </c>
      <c r="X114" s="355"/>
      <c r="Y114" s="386" t="s">
        <v>345</v>
      </c>
      <c r="Z114" s="202"/>
      <c r="AA114" s="399">
        <f t="shared" si="66"/>
        <v>14</v>
      </c>
      <c r="AB114" s="138"/>
      <c r="AC114" s="399">
        <f t="shared" si="67"/>
        <v>70690.91</v>
      </c>
      <c r="AD114" s="160"/>
      <c r="AE114" s="160">
        <f t="shared" si="68"/>
        <v>23745.076669</v>
      </c>
      <c r="AF114" s="160"/>
      <c r="AG114" s="160">
        <f t="shared" si="69"/>
        <v>9917.934673000002</v>
      </c>
      <c r="AH114" s="160"/>
      <c r="AI114" s="160">
        <f t="shared" si="70"/>
        <v>10292.596496</v>
      </c>
      <c r="AJ114" s="160"/>
      <c r="AK114" s="160">
        <f t="shared" si="71"/>
        <v>5238.196431</v>
      </c>
      <c r="AL114" s="160"/>
      <c r="AM114" s="160">
        <f t="shared" si="72"/>
        <v>5492.683707000001</v>
      </c>
      <c r="AN114" s="160"/>
      <c r="AO114" s="160">
        <f t="shared" si="73"/>
        <v>8680.843748000001</v>
      </c>
      <c r="AP114" s="160"/>
      <c r="AQ114" s="160">
        <f t="shared" si="74"/>
        <v>7323.578276</v>
      </c>
      <c r="AS114" s="159"/>
    </row>
    <row r="115" spans="1:45" s="162" customFormat="1" ht="12.75">
      <c r="A115" s="401"/>
      <c r="B115" s="444">
        <v>635.8</v>
      </c>
      <c r="D115" s="386" t="s">
        <v>358</v>
      </c>
      <c r="E115" s="202"/>
      <c r="F115" s="148">
        <v>16</v>
      </c>
      <c r="G115" s="203"/>
      <c r="H115" s="160">
        <v>200547.38</v>
      </c>
      <c r="I115" s="203"/>
      <c r="J115" s="218">
        <f t="shared" si="60"/>
        <v>119245.472148</v>
      </c>
      <c r="K115" s="353"/>
      <c r="L115" s="218">
        <f t="shared" si="61"/>
        <v>39347.395956</v>
      </c>
      <c r="M115" s="353"/>
      <c r="N115" s="218">
        <f t="shared" si="62"/>
        <v>12072.952276</v>
      </c>
      <c r="O115" s="353"/>
      <c r="P115" s="218">
        <f t="shared" si="63"/>
        <v>7620.80044</v>
      </c>
      <c r="Q115" s="353"/>
      <c r="R115" s="218">
        <f t="shared" si="64"/>
        <v>3850.5096959999996</v>
      </c>
      <c r="S115" s="353"/>
      <c r="T115" s="218">
        <f t="shared" si="65"/>
        <v>18410.249484</v>
      </c>
      <c r="V115"/>
      <c r="W115" s="384">
        <v>635.8</v>
      </c>
      <c r="Y115" s="386" t="s">
        <v>358</v>
      </c>
      <c r="Z115" s="202"/>
      <c r="AA115" s="399">
        <f t="shared" si="66"/>
        <v>16</v>
      </c>
      <c r="AB115" s="138"/>
      <c r="AC115" s="399">
        <f t="shared" si="67"/>
        <v>200547.38</v>
      </c>
      <c r="AE115" s="160">
        <f t="shared" si="68"/>
        <v>69449.557694</v>
      </c>
      <c r="AF115" s="160"/>
      <c r="AG115" s="160">
        <f t="shared" si="69"/>
        <v>30423.037546</v>
      </c>
      <c r="AH115" s="160"/>
      <c r="AI115" s="160">
        <f t="shared" si="70"/>
        <v>26853.294181999998</v>
      </c>
      <c r="AJ115" s="160"/>
      <c r="AK115" s="160">
        <f t="shared" si="71"/>
        <v>22320.923394</v>
      </c>
      <c r="AL115" s="160"/>
      <c r="AM115" s="160">
        <f t="shared" si="72"/>
        <v>10769.394306</v>
      </c>
      <c r="AN115" s="160"/>
      <c r="AO115" s="160">
        <f t="shared" si="73"/>
        <v>22320.923394</v>
      </c>
      <c r="AP115" s="160"/>
      <c r="AQ115" s="160">
        <f t="shared" si="74"/>
        <v>18410.249484</v>
      </c>
      <c r="AS115" s="159"/>
    </row>
    <row r="116" spans="1:45" s="162" customFormat="1" ht="12.75">
      <c r="A116" s="392"/>
      <c r="B116" s="444">
        <v>635.8</v>
      </c>
      <c r="C116" s="355"/>
      <c r="D116" s="386" t="s">
        <v>342</v>
      </c>
      <c r="E116" s="202"/>
      <c r="F116" s="148">
        <v>14</v>
      </c>
      <c r="G116" s="203"/>
      <c r="H116" s="160">
        <v>596883.59</v>
      </c>
      <c r="I116" s="203"/>
      <c r="J116" s="218">
        <f t="shared" si="60"/>
        <v>353116.331844</v>
      </c>
      <c r="K116" s="353"/>
      <c r="L116" s="218">
        <f t="shared" si="61"/>
        <v>114004.76569</v>
      </c>
      <c r="M116" s="353"/>
      <c r="N116" s="218">
        <f t="shared" si="62"/>
        <v>34917.690015</v>
      </c>
      <c r="O116" s="353"/>
      <c r="P116" s="218">
        <f t="shared" si="63"/>
        <v>21905.627753</v>
      </c>
      <c r="Q116" s="353"/>
      <c r="R116" s="218">
        <f t="shared" si="64"/>
        <v>11102.034773999998</v>
      </c>
      <c r="S116" s="353"/>
      <c r="T116" s="218">
        <f t="shared" si="65"/>
        <v>61837.139923999996</v>
      </c>
      <c r="V116"/>
      <c r="W116" s="384">
        <v>635.8</v>
      </c>
      <c r="X116" s="355"/>
      <c r="Y116" s="386" t="s">
        <v>342</v>
      </c>
      <c r="Z116" s="202"/>
      <c r="AA116" s="399">
        <f t="shared" si="66"/>
        <v>14</v>
      </c>
      <c r="AB116" s="138"/>
      <c r="AC116" s="399">
        <f t="shared" si="67"/>
        <v>596883.59</v>
      </c>
      <c r="AE116" s="160">
        <f t="shared" si="68"/>
        <v>200493.19788099997</v>
      </c>
      <c r="AF116" s="160"/>
      <c r="AG116" s="160">
        <f t="shared" si="69"/>
        <v>83742.767677</v>
      </c>
      <c r="AH116" s="160"/>
      <c r="AI116" s="160">
        <f t="shared" si="70"/>
        <v>86906.250704</v>
      </c>
      <c r="AJ116" s="160"/>
      <c r="AK116" s="160">
        <f t="shared" si="71"/>
        <v>44229.074019</v>
      </c>
      <c r="AL116" s="160"/>
      <c r="AM116" s="160">
        <f t="shared" si="72"/>
        <v>46377.854943</v>
      </c>
      <c r="AN116" s="160"/>
      <c r="AO116" s="160">
        <f t="shared" si="73"/>
        <v>73297.304852</v>
      </c>
      <c r="AP116" s="160"/>
      <c r="AQ116" s="160">
        <f t="shared" si="74"/>
        <v>61837.139923999996</v>
      </c>
      <c r="AS116" s="159"/>
    </row>
    <row r="117" spans="1:45" s="162" customFormat="1" ht="12.75">
      <c r="A117" s="392"/>
      <c r="B117" s="444">
        <v>650.8</v>
      </c>
      <c r="D117" s="386" t="s">
        <v>361</v>
      </c>
      <c r="E117" s="202"/>
      <c r="F117" s="148">
        <v>14</v>
      </c>
      <c r="G117" s="203"/>
      <c r="H117" s="160">
        <v>6971.15</v>
      </c>
      <c r="I117" s="203"/>
      <c r="J117" s="218">
        <f t="shared" si="60"/>
        <v>4124.13234</v>
      </c>
      <c r="K117" s="353"/>
      <c r="L117" s="218">
        <f t="shared" si="61"/>
        <v>1331.48965</v>
      </c>
      <c r="M117" s="353"/>
      <c r="N117" s="218">
        <f t="shared" si="62"/>
        <v>407.812275</v>
      </c>
      <c r="O117" s="353"/>
      <c r="P117" s="218">
        <f t="shared" si="63"/>
        <v>255.841205</v>
      </c>
      <c r="Q117" s="353"/>
      <c r="R117" s="218">
        <f t="shared" si="64"/>
        <v>129.66339</v>
      </c>
      <c r="S117" s="353"/>
      <c r="T117" s="218">
        <f t="shared" si="65"/>
        <v>722.21114</v>
      </c>
      <c r="V117"/>
      <c r="W117" s="384">
        <v>650.8</v>
      </c>
      <c r="Y117" s="386" t="s">
        <v>361</v>
      </c>
      <c r="Z117" s="202"/>
      <c r="AA117" s="399">
        <f t="shared" si="66"/>
        <v>14</v>
      </c>
      <c r="AB117" s="138"/>
      <c r="AC117" s="399">
        <f t="shared" si="67"/>
        <v>6971.15</v>
      </c>
      <c r="AE117" s="160">
        <f t="shared" si="68"/>
        <v>2341.6092849999995</v>
      </c>
      <c r="AF117" s="160"/>
      <c r="AG117" s="160">
        <f t="shared" si="69"/>
        <v>978.0523450000001</v>
      </c>
      <c r="AH117" s="160"/>
      <c r="AI117" s="160">
        <f t="shared" si="70"/>
        <v>1014.99944</v>
      </c>
      <c r="AJ117" s="160"/>
      <c r="AK117" s="160">
        <f t="shared" si="71"/>
        <v>516.5622149999999</v>
      </c>
      <c r="AL117" s="160"/>
      <c r="AM117" s="160">
        <f t="shared" si="72"/>
        <v>541.658355</v>
      </c>
      <c r="AN117" s="160"/>
      <c r="AO117" s="160">
        <f t="shared" si="73"/>
        <v>856.05722</v>
      </c>
      <c r="AP117" s="160"/>
      <c r="AQ117" s="160">
        <f t="shared" si="74"/>
        <v>722.21114</v>
      </c>
      <c r="AS117" s="159"/>
    </row>
    <row r="118" spans="1:45" s="162" customFormat="1" ht="12.75">
      <c r="A118" s="392"/>
      <c r="B118" s="444">
        <v>656</v>
      </c>
      <c r="C118" s="355"/>
      <c r="D118" s="386" t="s">
        <v>362</v>
      </c>
      <c r="E118" s="202"/>
      <c r="F118" s="148">
        <v>14</v>
      </c>
      <c r="G118" s="203"/>
      <c r="H118" s="160">
        <v>34280.36</v>
      </c>
      <c r="I118" s="203"/>
      <c r="J118" s="218">
        <f t="shared" si="60"/>
        <v>20280.260976</v>
      </c>
      <c r="K118" s="353"/>
      <c r="L118" s="218">
        <f t="shared" si="61"/>
        <v>6547.548760000001</v>
      </c>
      <c r="M118" s="353"/>
      <c r="N118" s="218">
        <f t="shared" si="62"/>
        <v>2005.4010600000001</v>
      </c>
      <c r="O118" s="353"/>
      <c r="P118" s="218">
        <f t="shared" si="63"/>
        <v>1258.089212</v>
      </c>
      <c r="Q118" s="353"/>
      <c r="R118" s="218">
        <f t="shared" si="64"/>
        <v>637.614696</v>
      </c>
      <c r="S118" s="353"/>
      <c r="T118" s="218">
        <f t="shared" si="65"/>
        <v>3551.445296</v>
      </c>
      <c r="V118"/>
      <c r="W118" s="384">
        <v>656</v>
      </c>
      <c r="X118" s="355"/>
      <c r="Y118" s="386" t="s">
        <v>362</v>
      </c>
      <c r="Z118" s="202"/>
      <c r="AA118" s="399">
        <f t="shared" si="66"/>
        <v>14</v>
      </c>
      <c r="AB118" s="138"/>
      <c r="AC118" s="399">
        <f t="shared" si="67"/>
        <v>34280.36</v>
      </c>
      <c r="AE118" s="160">
        <f t="shared" si="68"/>
        <v>11514.772923999999</v>
      </c>
      <c r="AF118" s="160"/>
      <c r="AG118" s="160">
        <f t="shared" si="69"/>
        <v>4809.534508000001</v>
      </c>
      <c r="AH118" s="160"/>
      <c r="AI118" s="160">
        <f t="shared" si="70"/>
        <v>4991.220416</v>
      </c>
      <c r="AJ118" s="160"/>
      <c r="AK118" s="160">
        <f t="shared" si="71"/>
        <v>2540.174676</v>
      </c>
      <c r="AL118" s="160"/>
      <c r="AM118" s="160">
        <f t="shared" si="72"/>
        <v>2663.5839720000004</v>
      </c>
      <c r="AN118" s="160"/>
      <c r="AO118" s="160">
        <f t="shared" si="73"/>
        <v>4209.628208</v>
      </c>
      <c r="AP118" s="160"/>
      <c r="AQ118" s="160">
        <f t="shared" si="74"/>
        <v>3551.445296</v>
      </c>
      <c r="AS118" s="159"/>
    </row>
    <row r="119" spans="1:45" s="162" customFormat="1" ht="12.75">
      <c r="A119" s="392"/>
      <c r="B119" s="444">
        <v>657</v>
      </c>
      <c r="C119" s="355"/>
      <c r="D119" s="386" t="s">
        <v>363</v>
      </c>
      <c r="E119" s="202"/>
      <c r="F119" s="148">
        <v>14</v>
      </c>
      <c r="G119" s="203"/>
      <c r="H119" s="160">
        <v>250390.04</v>
      </c>
      <c r="I119" s="203"/>
      <c r="J119" s="218">
        <f t="shared" si="60"/>
        <v>148130.747664</v>
      </c>
      <c r="K119" s="353"/>
      <c r="L119" s="218">
        <f t="shared" si="61"/>
        <v>47824.49764</v>
      </c>
      <c r="M119" s="353"/>
      <c r="N119" s="218">
        <f t="shared" si="62"/>
        <v>14647.817340000001</v>
      </c>
      <c r="O119" s="353"/>
      <c r="P119" s="218">
        <f t="shared" si="63"/>
        <v>9189.314468</v>
      </c>
      <c r="Q119" s="353"/>
      <c r="R119" s="218">
        <f t="shared" si="64"/>
        <v>4657.254744</v>
      </c>
      <c r="S119" s="353"/>
      <c r="T119" s="218">
        <f t="shared" si="65"/>
        <v>25940.408144</v>
      </c>
      <c r="V119"/>
      <c r="W119" s="384">
        <v>657</v>
      </c>
      <c r="X119" s="355"/>
      <c r="Y119" s="386" t="s">
        <v>363</v>
      </c>
      <c r="Z119" s="202"/>
      <c r="AA119" s="399">
        <f t="shared" si="66"/>
        <v>14</v>
      </c>
      <c r="AB119" s="138"/>
      <c r="AC119" s="399">
        <f t="shared" si="67"/>
        <v>250390.04</v>
      </c>
      <c r="AE119" s="160">
        <f t="shared" si="68"/>
        <v>84106.014436</v>
      </c>
      <c r="AF119" s="160"/>
      <c r="AG119" s="160">
        <f t="shared" si="69"/>
        <v>35129.722612000005</v>
      </c>
      <c r="AH119" s="160"/>
      <c r="AI119" s="160">
        <f t="shared" si="70"/>
        <v>36456.789824</v>
      </c>
      <c r="AJ119" s="160"/>
      <c r="AK119" s="160">
        <f t="shared" si="71"/>
        <v>18553.901964</v>
      </c>
      <c r="AL119" s="160"/>
      <c r="AM119" s="160">
        <f t="shared" si="72"/>
        <v>19455.306108</v>
      </c>
      <c r="AN119" s="160"/>
      <c r="AO119" s="160">
        <f t="shared" si="73"/>
        <v>30747.896912000004</v>
      </c>
      <c r="AP119" s="160"/>
      <c r="AQ119" s="160">
        <f t="shared" si="74"/>
        <v>25940.408144</v>
      </c>
      <c r="AS119" s="159"/>
    </row>
    <row r="120" spans="1:45" s="162" customFormat="1" ht="12.75">
      <c r="A120" s="392"/>
      <c r="B120" s="444">
        <v>658</v>
      </c>
      <c r="C120" s="355"/>
      <c r="D120" s="386" t="s">
        <v>364</v>
      </c>
      <c r="E120" s="202"/>
      <c r="F120" s="148">
        <v>16</v>
      </c>
      <c r="G120" s="203"/>
      <c r="H120" s="160">
        <v>73911.05</v>
      </c>
      <c r="I120" s="203"/>
      <c r="J120" s="218">
        <f t="shared" si="60"/>
        <v>43947.510330000005</v>
      </c>
      <c r="K120" s="353"/>
      <c r="L120" s="218">
        <f t="shared" si="61"/>
        <v>14501.348010000002</v>
      </c>
      <c r="M120" s="353"/>
      <c r="N120" s="218">
        <f t="shared" si="62"/>
        <v>4449.44521</v>
      </c>
      <c r="O120" s="353"/>
      <c r="P120" s="218">
        <f t="shared" si="63"/>
        <v>2808.6199</v>
      </c>
      <c r="Q120" s="353"/>
      <c r="R120" s="218">
        <f t="shared" si="64"/>
        <v>1419.09216</v>
      </c>
      <c r="S120" s="353"/>
      <c r="T120" s="218">
        <f t="shared" si="65"/>
        <v>6785.034390000001</v>
      </c>
      <c r="V120"/>
      <c r="W120" s="384">
        <v>658</v>
      </c>
      <c r="X120" s="355"/>
      <c r="Y120" s="386" t="s">
        <v>364</v>
      </c>
      <c r="Z120" s="202"/>
      <c r="AA120" s="399">
        <f t="shared" si="66"/>
        <v>16</v>
      </c>
      <c r="AB120" s="138"/>
      <c r="AC120" s="399">
        <f t="shared" si="67"/>
        <v>73911.05</v>
      </c>
      <c r="AE120" s="160">
        <f t="shared" si="68"/>
        <v>25595.396615</v>
      </c>
      <c r="AF120" s="160"/>
      <c r="AG120" s="160">
        <f t="shared" si="69"/>
        <v>11212.306285</v>
      </c>
      <c r="AH120" s="160"/>
      <c r="AI120" s="160">
        <f t="shared" si="70"/>
        <v>9896.689595</v>
      </c>
      <c r="AJ120" s="160"/>
      <c r="AK120" s="160">
        <f t="shared" si="71"/>
        <v>8226.299865</v>
      </c>
      <c r="AL120" s="160"/>
      <c r="AM120" s="160">
        <f t="shared" si="72"/>
        <v>3969.023385</v>
      </c>
      <c r="AN120" s="160"/>
      <c r="AO120" s="160">
        <f t="shared" si="73"/>
        <v>8226.299865</v>
      </c>
      <c r="AP120" s="160"/>
      <c r="AQ120" s="160">
        <f t="shared" si="74"/>
        <v>6785.034390000001</v>
      </c>
      <c r="AS120" s="159"/>
    </row>
    <row r="121" spans="1:45" s="162" customFormat="1" ht="12.75">
      <c r="A121" s="401"/>
      <c r="B121" s="444">
        <v>659</v>
      </c>
      <c r="C121" s="355"/>
      <c r="D121" s="386" t="s">
        <v>365</v>
      </c>
      <c r="E121" s="202"/>
      <c r="F121" s="148">
        <v>14</v>
      </c>
      <c r="G121" s="203"/>
      <c r="H121" s="160">
        <v>124307.46</v>
      </c>
      <c r="I121" s="160"/>
      <c r="J121" s="218">
        <f t="shared" si="60"/>
        <v>73540.293336</v>
      </c>
      <c r="K121" s="353"/>
      <c r="L121" s="218">
        <f t="shared" si="61"/>
        <v>23742.724860000002</v>
      </c>
      <c r="M121" s="353"/>
      <c r="N121" s="218">
        <f t="shared" si="62"/>
        <v>7271.98641</v>
      </c>
      <c r="O121" s="353"/>
      <c r="P121" s="218">
        <f t="shared" si="63"/>
        <v>4562.083782000001</v>
      </c>
      <c r="Q121" s="353"/>
      <c r="R121" s="218">
        <f t="shared" si="64"/>
        <v>2312.118756</v>
      </c>
      <c r="S121" s="353"/>
      <c r="T121" s="218">
        <f t="shared" si="65"/>
        <v>12878.252856000001</v>
      </c>
      <c r="V121"/>
      <c r="W121" s="384">
        <v>659</v>
      </c>
      <c r="X121" s="355"/>
      <c r="Y121" s="386" t="s">
        <v>365</v>
      </c>
      <c r="Z121" s="202"/>
      <c r="AA121" s="399">
        <f t="shared" si="66"/>
        <v>14</v>
      </c>
      <c r="AB121" s="138"/>
      <c r="AC121" s="399">
        <f t="shared" si="67"/>
        <v>124307.46</v>
      </c>
      <c r="AD121" s="160"/>
      <c r="AE121" s="160">
        <f t="shared" si="68"/>
        <v>41754.875814</v>
      </c>
      <c r="AF121" s="160"/>
      <c r="AG121" s="160">
        <f t="shared" si="69"/>
        <v>17440.336638</v>
      </c>
      <c r="AH121" s="160"/>
      <c r="AI121" s="160">
        <f t="shared" si="70"/>
        <v>18099.166176000002</v>
      </c>
      <c r="AJ121" s="160"/>
      <c r="AK121" s="160">
        <f t="shared" si="71"/>
        <v>9211.182786000001</v>
      </c>
      <c r="AL121" s="160"/>
      <c r="AM121" s="160">
        <f t="shared" si="72"/>
        <v>9658.689642000001</v>
      </c>
      <c r="AN121" s="160"/>
      <c r="AO121" s="160">
        <f t="shared" si="73"/>
        <v>15264.956088</v>
      </c>
      <c r="AP121" s="160"/>
      <c r="AQ121" s="160">
        <f t="shared" si="74"/>
        <v>12878.252856000001</v>
      </c>
      <c r="AS121" s="159"/>
    </row>
    <row r="122" spans="1:45" s="162" customFormat="1" ht="12.75">
      <c r="A122" s="401"/>
      <c r="B122" s="444">
        <v>660</v>
      </c>
      <c r="C122" s="355"/>
      <c r="D122" s="386" t="s">
        <v>431</v>
      </c>
      <c r="E122" s="202"/>
      <c r="F122" s="148">
        <v>14</v>
      </c>
      <c r="G122" s="203"/>
      <c r="H122" s="160">
        <v>19968.61</v>
      </c>
      <c r="I122" s="160"/>
      <c r="J122" s="218">
        <f t="shared" si="60"/>
        <v>11813.429676</v>
      </c>
      <c r="K122" s="353"/>
      <c r="L122" s="218">
        <f t="shared" si="61"/>
        <v>3814.00451</v>
      </c>
      <c r="M122" s="353"/>
      <c r="N122" s="218">
        <f t="shared" si="62"/>
        <v>1168.1636850000002</v>
      </c>
      <c r="O122" s="353"/>
      <c r="P122" s="218">
        <f t="shared" si="63"/>
        <v>732.8479870000001</v>
      </c>
      <c r="Q122" s="353"/>
      <c r="R122" s="218">
        <f t="shared" si="64"/>
        <v>371.41614599999997</v>
      </c>
      <c r="S122" s="353"/>
      <c r="T122" s="218">
        <f t="shared" si="65"/>
        <v>2068.747996</v>
      </c>
      <c r="V122"/>
      <c r="W122" s="384">
        <v>660</v>
      </c>
      <c r="X122" s="355"/>
      <c r="Y122" s="386" t="s">
        <v>431</v>
      </c>
      <c r="Z122" s="202"/>
      <c r="AA122" s="399">
        <f t="shared" si="66"/>
        <v>14</v>
      </c>
      <c r="AB122" s="138"/>
      <c r="AC122" s="399">
        <f t="shared" si="67"/>
        <v>19968.61</v>
      </c>
      <c r="AE122" s="160">
        <f t="shared" si="68"/>
        <v>6707.456099</v>
      </c>
      <c r="AF122" s="160"/>
      <c r="AG122" s="160">
        <f t="shared" si="69"/>
        <v>2801.595983</v>
      </c>
      <c r="AH122" s="160"/>
      <c r="AI122" s="160">
        <f t="shared" si="70"/>
        <v>2907.4296160000004</v>
      </c>
      <c r="AJ122" s="160"/>
      <c r="AK122" s="160">
        <f t="shared" si="71"/>
        <v>1479.674001</v>
      </c>
      <c r="AL122" s="160"/>
      <c r="AM122" s="160">
        <f t="shared" si="72"/>
        <v>1551.560997</v>
      </c>
      <c r="AN122" s="160"/>
      <c r="AO122" s="160">
        <f t="shared" si="73"/>
        <v>2452.145308</v>
      </c>
      <c r="AP122" s="160"/>
      <c r="AQ122" s="160">
        <f t="shared" si="74"/>
        <v>2068.747996</v>
      </c>
      <c r="AS122" s="159"/>
    </row>
    <row r="123" spans="1:45" s="162" customFormat="1" ht="12.75">
      <c r="A123" s="401"/>
      <c r="B123" s="444">
        <v>667</v>
      </c>
      <c r="C123" s="355"/>
      <c r="D123" s="386" t="s">
        <v>367</v>
      </c>
      <c r="E123" s="202"/>
      <c r="F123" s="148">
        <v>19</v>
      </c>
      <c r="G123" s="203"/>
      <c r="H123" s="160">
        <v>122617.56</v>
      </c>
      <c r="I123" s="160"/>
      <c r="J123" s="218">
        <f t="shared" si="60"/>
        <v>68347.027944</v>
      </c>
      <c r="K123" s="353"/>
      <c r="L123" s="218">
        <f t="shared" si="61"/>
        <v>25296.002628000002</v>
      </c>
      <c r="M123" s="353"/>
      <c r="N123" s="218">
        <f t="shared" si="62"/>
        <v>8448.349884</v>
      </c>
      <c r="O123" s="353"/>
      <c r="P123" s="218">
        <f t="shared" si="63"/>
        <v>5100.890496</v>
      </c>
      <c r="Q123" s="353"/>
      <c r="R123" s="218">
        <f t="shared" si="64"/>
        <v>3175.7948039999997</v>
      </c>
      <c r="S123" s="353"/>
      <c r="T123" s="218">
        <f t="shared" si="65"/>
        <v>12249.494244</v>
      </c>
      <c r="V123"/>
      <c r="W123" s="384">
        <v>667</v>
      </c>
      <c r="X123" s="355"/>
      <c r="Y123" s="386" t="s">
        <v>367</v>
      </c>
      <c r="Z123" s="202"/>
      <c r="AA123" s="399">
        <f t="shared" si="66"/>
        <v>19</v>
      </c>
      <c r="AB123" s="138"/>
      <c r="AC123" s="399">
        <f t="shared" si="67"/>
        <v>122617.56</v>
      </c>
      <c r="AD123" s="160"/>
      <c r="AE123" s="160">
        <f t="shared" si="68"/>
        <v>53731.014792</v>
      </c>
      <c r="AF123" s="160"/>
      <c r="AG123" s="160">
        <f t="shared" si="69"/>
        <v>20930.817492</v>
      </c>
      <c r="AH123" s="160"/>
      <c r="AI123" s="160">
        <f t="shared" si="70"/>
        <v>13242.696479999999</v>
      </c>
      <c r="AJ123" s="160"/>
      <c r="AK123" s="160">
        <f t="shared" si="71"/>
        <v>7185.389016</v>
      </c>
      <c r="AL123" s="160"/>
      <c r="AM123" s="160">
        <f t="shared" si="72"/>
        <v>7933.356131999999</v>
      </c>
      <c r="AN123" s="160"/>
      <c r="AO123" s="160">
        <f t="shared" si="73"/>
        <v>7344.791844</v>
      </c>
      <c r="AP123" s="160"/>
      <c r="AQ123" s="160">
        <f t="shared" si="74"/>
        <v>12249.494244</v>
      </c>
      <c r="AS123" s="159"/>
    </row>
    <row r="124" spans="1:45" s="162" customFormat="1" ht="12.75">
      <c r="A124" s="401"/>
      <c r="B124" s="444">
        <v>670</v>
      </c>
      <c r="C124" s="355"/>
      <c r="D124" s="386" t="s">
        <v>432</v>
      </c>
      <c r="E124" s="202"/>
      <c r="F124" s="148">
        <v>12</v>
      </c>
      <c r="G124" s="203"/>
      <c r="H124" s="160">
        <v>649059.83</v>
      </c>
      <c r="I124" s="203"/>
      <c r="J124" s="218">
        <f t="shared" si="60"/>
        <v>595376.0914607</v>
      </c>
      <c r="K124" s="353"/>
      <c r="L124" s="218">
        <f t="shared" si="61"/>
        <v>48517.222292499995</v>
      </c>
      <c r="M124" s="353"/>
      <c r="N124" s="218">
        <f t="shared" si="62"/>
        <v>980.0803433</v>
      </c>
      <c r="O124" s="353"/>
      <c r="P124" s="218">
        <f t="shared" si="63"/>
        <v>4153.9829119999995</v>
      </c>
      <c r="Q124" s="353"/>
      <c r="R124" s="218">
        <f t="shared" si="64"/>
        <v>32.452991499999996</v>
      </c>
      <c r="S124" s="353"/>
      <c r="T124" s="218">
        <f t="shared" si="65"/>
        <v>0</v>
      </c>
      <c r="V124"/>
      <c r="W124" s="384">
        <v>670</v>
      </c>
      <c r="X124" s="355"/>
      <c r="Y124" s="386" t="s">
        <v>432</v>
      </c>
      <c r="Z124" s="202"/>
      <c r="AA124" s="399">
        <f t="shared" si="66"/>
        <v>12</v>
      </c>
      <c r="AB124" s="138"/>
      <c r="AC124" s="399">
        <f t="shared" si="67"/>
        <v>649059.83</v>
      </c>
      <c r="AE124" s="160">
        <f t="shared" si="68"/>
        <v>0</v>
      </c>
      <c r="AF124" s="160"/>
      <c r="AG124" s="160">
        <f t="shared" si="69"/>
        <v>0</v>
      </c>
      <c r="AH124" s="160"/>
      <c r="AI124" s="160">
        <f t="shared" si="70"/>
        <v>0</v>
      </c>
      <c r="AJ124" s="160"/>
      <c r="AK124" s="160">
        <f t="shared" si="71"/>
        <v>0</v>
      </c>
      <c r="AL124" s="160"/>
      <c r="AM124" s="160">
        <f t="shared" si="72"/>
        <v>0</v>
      </c>
      <c r="AN124" s="160"/>
      <c r="AO124" s="160">
        <f t="shared" si="73"/>
        <v>649059.83</v>
      </c>
      <c r="AP124" s="160"/>
      <c r="AQ124" s="160">
        <f t="shared" si="74"/>
        <v>0</v>
      </c>
      <c r="AS124" s="159"/>
    </row>
    <row r="125" spans="1:45" s="162" customFormat="1" ht="12.75">
      <c r="A125" s="401"/>
      <c r="B125" s="444">
        <v>675</v>
      </c>
      <c r="C125" s="355"/>
      <c r="D125" s="386" t="s">
        <v>366</v>
      </c>
      <c r="E125" s="202"/>
      <c r="F125" s="148">
        <v>14</v>
      </c>
      <c r="G125" s="203"/>
      <c r="H125" s="147">
        <v>203289.84</v>
      </c>
      <c r="I125" s="203"/>
      <c r="J125" s="405">
        <f t="shared" si="60"/>
        <v>120266.269344</v>
      </c>
      <c r="K125" s="353"/>
      <c r="L125" s="405">
        <f t="shared" si="61"/>
        <v>38828.35944</v>
      </c>
      <c r="M125" s="353"/>
      <c r="N125" s="405">
        <f t="shared" si="62"/>
        <v>11892.45564</v>
      </c>
      <c r="O125" s="353"/>
      <c r="P125" s="405">
        <f t="shared" si="63"/>
        <v>7460.737128000001</v>
      </c>
      <c r="Q125" s="353"/>
      <c r="R125" s="405">
        <f t="shared" si="64"/>
        <v>3781.1910239999997</v>
      </c>
      <c r="S125" s="353"/>
      <c r="T125" s="405">
        <f t="shared" si="65"/>
        <v>21060.827424</v>
      </c>
      <c r="V125"/>
      <c r="W125" s="384">
        <v>675</v>
      </c>
      <c r="X125" s="355"/>
      <c r="Y125" s="386" t="s">
        <v>366</v>
      </c>
      <c r="Z125" s="202"/>
      <c r="AA125" s="399">
        <f t="shared" si="66"/>
        <v>14</v>
      </c>
      <c r="AB125" s="138"/>
      <c r="AC125" s="400">
        <f t="shared" si="67"/>
        <v>203289.84</v>
      </c>
      <c r="AE125" s="147">
        <f t="shared" si="68"/>
        <v>68285.057256</v>
      </c>
      <c r="AG125" s="147">
        <f t="shared" si="69"/>
        <v>28521.564552</v>
      </c>
      <c r="AI125" s="147">
        <f t="shared" si="70"/>
        <v>29599.000704000002</v>
      </c>
      <c r="AK125" s="147">
        <f t="shared" si="71"/>
        <v>15063.777144</v>
      </c>
      <c r="AM125" s="147">
        <f t="shared" si="72"/>
        <v>15795.620568</v>
      </c>
      <c r="AO125" s="147">
        <f t="shared" si="73"/>
        <v>24963.992352</v>
      </c>
      <c r="AQ125" s="147">
        <f t="shared" si="74"/>
        <v>21060.827424</v>
      </c>
      <c r="AS125" s="159"/>
    </row>
    <row r="126" spans="1:45" s="162" customFormat="1" ht="12.75">
      <c r="A126" s="401"/>
      <c r="B126" s="444"/>
      <c r="C126" s="355"/>
      <c r="D126" s="280"/>
      <c r="E126" s="202"/>
      <c r="F126" s="148"/>
      <c r="G126" s="203"/>
      <c r="H126" s="160"/>
      <c r="I126" s="203"/>
      <c r="J126" s="160"/>
      <c r="K126" s="204"/>
      <c r="L126" s="160"/>
      <c r="M126" s="204"/>
      <c r="N126" s="160"/>
      <c r="O126" s="204"/>
      <c r="P126" s="160"/>
      <c r="Q126" s="204"/>
      <c r="R126" s="160"/>
      <c r="S126" s="204"/>
      <c r="T126" s="160"/>
      <c r="V126"/>
      <c r="W126" s="384"/>
      <c r="X126" s="355"/>
      <c r="Y126" s="280"/>
      <c r="Z126" s="202"/>
      <c r="AA126" s="148"/>
      <c r="AC126" s="377"/>
      <c r="AE126" s="160"/>
      <c r="AG126" s="160"/>
      <c r="AI126" s="160"/>
      <c r="AK126" s="160"/>
      <c r="AM126" s="160"/>
      <c r="AO126" s="160"/>
      <c r="AQ126" s="160"/>
      <c r="AS126" s="159"/>
    </row>
    <row r="127" spans="1:45" s="162" customFormat="1" ht="12.75">
      <c r="A127" s="436"/>
      <c r="B127" s="444"/>
      <c r="C127" s="355"/>
      <c r="D127" s="382" t="s">
        <v>378</v>
      </c>
      <c r="E127" s="202"/>
      <c r="F127" s="148"/>
      <c r="G127" s="203"/>
      <c r="H127" s="147">
        <f>SUM(H107:H126)</f>
        <v>7890944.814272798</v>
      </c>
      <c r="I127" s="203"/>
      <c r="J127" s="147">
        <f>SUM(J107:J126)</f>
        <v>4887625.107384486</v>
      </c>
      <c r="K127" s="203"/>
      <c r="L127" s="147">
        <f>SUM(L107:L126)</f>
        <v>1454641.8279086044</v>
      </c>
      <c r="M127" s="203"/>
      <c r="N127" s="147">
        <f>SUM(N107:N126)</f>
        <v>432786.82308925857</v>
      </c>
      <c r="O127" s="203"/>
      <c r="P127" s="147">
        <f>SUM(P107:P126)</f>
        <v>275794.1191168116</v>
      </c>
      <c r="Q127" s="203"/>
      <c r="R127" s="147">
        <f>SUM(R107:R126)</f>
        <v>138055.29784297402</v>
      </c>
      <c r="S127" s="203"/>
      <c r="T127" s="147">
        <f>SUM(T107:T126)</f>
        <v>702041.6389306618</v>
      </c>
      <c r="V127"/>
      <c r="W127" s="384"/>
      <c r="X127" s="355"/>
      <c r="Y127" s="382" t="s">
        <v>378</v>
      </c>
      <c r="Z127" s="202"/>
      <c r="AA127" s="148"/>
      <c r="AC127" s="147">
        <f>SUM(AC107:AC126)</f>
        <v>7890944.814272798</v>
      </c>
      <c r="AE127" s="147">
        <f>SUM(AE107:AE126)</f>
        <v>2487189.992509232</v>
      </c>
      <c r="AG127" s="147">
        <f>SUM(AG107:AG126)</f>
        <v>1065908.8802814733</v>
      </c>
      <c r="AI127" s="147">
        <f>SUM(AI107:AI126)</f>
        <v>1002448.8523121192</v>
      </c>
      <c r="AK127" s="147">
        <f>SUM(AK107:AK126)</f>
        <v>685301.0144266144</v>
      </c>
      <c r="AM127" s="147">
        <f>SUM(AM107:AM126)</f>
        <v>463953.39675799635</v>
      </c>
      <c r="AO127" s="147">
        <f>SUM(AO107:AO126)</f>
        <v>1484101.0390546992</v>
      </c>
      <c r="AQ127" s="147">
        <f>SUM(AQ107:AQ126)</f>
        <v>702041.6389306618</v>
      </c>
      <c r="AS127" s="159"/>
    </row>
    <row r="128" spans="1:45" s="162" customFormat="1" ht="12.75">
      <c r="A128" s="437"/>
      <c r="B128" s="444"/>
      <c r="C128" s="355"/>
      <c r="D128" s="280"/>
      <c r="E128" s="202"/>
      <c r="F128" s="148"/>
      <c r="G128" s="203"/>
      <c r="H128" s="160"/>
      <c r="I128" s="203"/>
      <c r="J128" s="160"/>
      <c r="K128" s="203"/>
      <c r="L128" s="160"/>
      <c r="M128" s="203"/>
      <c r="N128" s="160"/>
      <c r="O128" s="203"/>
      <c r="P128" s="160"/>
      <c r="Q128" s="203"/>
      <c r="R128" s="160"/>
      <c r="S128" s="203"/>
      <c r="T128" s="160"/>
      <c r="V128"/>
      <c r="W128" s="384"/>
      <c r="X128" s="355"/>
      <c r="Y128" s="280"/>
      <c r="Z128" s="202"/>
      <c r="AA128" s="148"/>
      <c r="AC128" s="160"/>
      <c r="AE128" s="160"/>
      <c r="AG128" s="160"/>
      <c r="AI128" s="160"/>
      <c r="AK128" s="160"/>
      <c r="AM128" s="160"/>
      <c r="AO128" s="160"/>
      <c r="AQ128" s="160"/>
      <c r="AS128" s="159"/>
    </row>
    <row r="129" spans="4:45" ht="12.75">
      <c r="D129" s="221" t="s">
        <v>28</v>
      </c>
      <c r="E129" s="138"/>
      <c r="F129" s="150"/>
      <c r="G129" s="139"/>
      <c r="H129" s="147">
        <f>+H127+H104+H84+H49+H24</f>
        <v>23815181.320000004</v>
      </c>
      <c r="I129" s="139"/>
      <c r="J129" s="147">
        <f>+J127+J104+J84+J49+J24</f>
        <v>14013114.921614219</v>
      </c>
      <c r="K129" s="139"/>
      <c r="L129" s="147">
        <f>+L127+L104+L84+L49+L24</f>
        <v>4797011.772895857</v>
      </c>
      <c r="M129" s="139"/>
      <c r="N129" s="147">
        <f>+N127+N104+N84+N49+N24</f>
        <v>1557664.837956078</v>
      </c>
      <c r="O129" s="139"/>
      <c r="P129" s="147">
        <f>+P127+P104+P84+P49+P24</f>
        <v>953905.1428688015</v>
      </c>
      <c r="Q129" s="139"/>
      <c r="R129" s="147">
        <f>+R127+R104+R84+R49+R24</f>
        <v>565271.751335877</v>
      </c>
      <c r="S129" s="139"/>
      <c r="T129" s="147">
        <f>+T127+T104+T84+T49+T24</f>
        <v>1928212.8933291708</v>
      </c>
      <c r="W129" s="144"/>
      <c r="X129" s="353"/>
      <c r="Y129" s="221" t="s">
        <v>28</v>
      </c>
      <c r="Z129" s="138"/>
      <c r="AA129" s="150"/>
      <c r="AC129" s="147">
        <f>+AC127+AC104+AC84+AC49+AC24</f>
        <v>23815181.320000004</v>
      </c>
      <c r="AE129" s="147">
        <f>+AE127+AE104+AE84+AE49+AE24</f>
        <v>10643384.686468882</v>
      </c>
      <c r="AG129" s="147">
        <f>+AG127+AG104+AG84+AG49+AG24</f>
        <v>2739338.4021795</v>
      </c>
      <c r="AI129" s="147">
        <f>+AI127+AI104+AI84+AI49+AI24</f>
        <v>2688928.357796057</v>
      </c>
      <c r="AK129" s="147">
        <f>+AK127+AK104+AK84+AK49+AK24</f>
        <v>1544229.884725646</v>
      </c>
      <c r="AM129" s="147">
        <f>+AM127+AM104+AM84+AM49+AM24</f>
        <v>1364098.180093136</v>
      </c>
      <c r="AO129" s="147">
        <f>+AO127+AO104+AO84+AO49+AO24</f>
        <v>2906988.9154076073</v>
      </c>
      <c r="AQ129" s="147">
        <f>+AQ127+AQ104+AQ84+AQ49+AQ24</f>
        <v>1928212.8933291708</v>
      </c>
      <c r="AS129" s="159"/>
    </row>
    <row r="130" spans="4:45" ht="12.75">
      <c r="D130" s="397"/>
      <c r="E130" s="138"/>
      <c r="F130" s="150"/>
      <c r="G130" s="139"/>
      <c r="H130" s="398"/>
      <c r="I130" s="139"/>
      <c r="J130" s="146"/>
      <c r="W130" s="144"/>
      <c r="X130" s="353"/>
      <c r="Y130" s="138"/>
      <c r="Z130" s="138"/>
      <c r="AA130" s="150"/>
      <c r="AS130" s="159"/>
    </row>
    <row r="131" spans="4:45" ht="12.75">
      <c r="D131" s="228" t="s">
        <v>31</v>
      </c>
      <c r="E131" s="138"/>
      <c r="F131" s="150"/>
      <c r="G131" s="139"/>
      <c r="H131" s="146"/>
      <c r="I131" s="139"/>
      <c r="J131" s="146"/>
      <c r="W131" s="144"/>
      <c r="X131" s="353"/>
      <c r="Y131" s="228" t="s">
        <v>31</v>
      </c>
      <c r="Z131" s="138"/>
      <c r="AA131" s="150"/>
      <c r="AS131" s="159"/>
    </row>
    <row r="132" spans="4:45" ht="12.75">
      <c r="D132" s="203"/>
      <c r="E132" s="138"/>
      <c r="F132" s="150"/>
      <c r="G132" s="139"/>
      <c r="H132" s="146"/>
      <c r="I132" s="139"/>
      <c r="J132" s="146"/>
      <c r="L132" s="146"/>
      <c r="N132" s="146"/>
      <c r="P132" s="146"/>
      <c r="R132" s="146"/>
      <c r="T132" s="146"/>
      <c r="W132" s="144"/>
      <c r="X132" s="353"/>
      <c r="Y132" s="203"/>
      <c r="Z132" s="138"/>
      <c r="AA132" s="150"/>
      <c r="AC132" s="159"/>
      <c r="AE132" s="146"/>
      <c r="AF132" s="146"/>
      <c r="AG132" s="146"/>
      <c r="AH132" s="146"/>
      <c r="AI132" s="146"/>
      <c r="AJ132" s="146"/>
      <c r="AK132" s="146"/>
      <c r="AL132" s="146"/>
      <c r="AM132" s="146"/>
      <c r="AN132" s="146"/>
      <c r="AO132" s="146"/>
      <c r="AP132" s="146"/>
      <c r="AQ132" s="146"/>
      <c r="AS132" s="159"/>
    </row>
    <row r="133" spans="2:45" ht="12.75">
      <c r="B133" s="448">
        <v>304.1</v>
      </c>
      <c r="D133" s="395" t="s">
        <v>379</v>
      </c>
      <c r="F133" s="150">
        <v>2</v>
      </c>
      <c r="G133" s="139"/>
      <c r="H133" s="146">
        <v>461557.26</v>
      </c>
      <c r="I133" s="139"/>
      <c r="J133" s="218">
        <f aca="true" t="shared" si="75" ref="J133:J173">(VLOOKUP($F133,Factors,J$324))*$H133</f>
        <v>252194.886864</v>
      </c>
      <c r="K133" s="353"/>
      <c r="L133" s="218">
        <f aca="true" t="shared" si="76" ref="L133:L173">(VLOOKUP($F133,Factors,L$324))*$H133</f>
        <v>116266.27379400001</v>
      </c>
      <c r="M133" s="353"/>
      <c r="N133" s="218">
        <f aca="true" t="shared" si="77" ref="N133:N173">(VLOOKUP($F133,Factors,N$324))*$H133</f>
        <v>44724.898494</v>
      </c>
      <c r="O133" s="353"/>
      <c r="P133" s="218">
        <f aca="true" t="shared" si="78" ref="P133:P173">(VLOOKUP($F133,Factors,P$324))*$H133</f>
        <v>25339.493574</v>
      </c>
      <c r="Q133" s="353"/>
      <c r="R133" s="218">
        <f aca="true" t="shared" si="79" ref="R133:R173">(VLOOKUP($F133,Factors,R$324))*$H133</f>
        <v>21277.789686</v>
      </c>
      <c r="S133" s="353"/>
      <c r="T133" s="218">
        <f aca="true" t="shared" si="80" ref="T133:T173">(VLOOKUP($F133,Factors,T$324))*$H133</f>
        <v>1753.917588</v>
      </c>
      <c r="U133" s="162"/>
      <c r="W133" s="396">
        <v>304.1</v>
      </c>
      <c r="X133" s="353"/>
      <c r="Y133" s="395" t="s">
        <v>379</v>
      </c>
      <c r="Z133" s="140"/>
      <c r="AA133" s="399">
        <f>+F133</f>
        <v>2</v>
      </c>
      <c r="AB133" s="138"/>
      <c r="AC133" s="399">
        <f>+H133</f>
        <v>461557.26</v>
      </c>
      <c r="AE133" s="160">
        <f aca="true" t="shared" si="81" ref="AE133:AE173">(VLOOKUP($AA133,func,AE$324))*$AC133</f>
        <v>286719.36991199997</v>
      </c>
      <c r="AF133" s="160"/>
      <c r="AG133" s="160">
        <f aca="true" t="shared" si="82" ref="AG133:AG173">(VLOOKUP($AA133,func,AG$324))*$AC133</f>
        <v>173083.9725</v>
      </c>
      <c r="AH133" s="160"/>
      <c r="AI133" s="160">
        <f aca="true" t="shared" si="83" ref="AI133:AI173">(VLOOKUP($AA133,func,AI$324))*$AC133</f>
        <v>0</v>
      </c>
      <c r="AJ133" s="160"/>
      <c r="AK133" s="160">
        <f aca="true" t="shared" si="84" ref="AK133:AK173">(VLOOKUP($AA133,func,AK$324))*$AC133</f>
        <v>0</v>
      </c>
      <c r="AL133" s="160"/>
      <c r="AM133" s="160">
        <f aca="true" t="shared" si="85" ref="AM133:AM173">(VLOOKUP($AA133,func,AM$324))*$AC133</f>
        <v>0</v>
      </c>
      <c r="AN133" s="160"/>
      <c r="AO133" s="160">
        <f aca="true" t="shared" si="86" ref="AO133:AO173">(VLOOKUP($AA133,func,AO$324))*$AC133</f>
        <v>0</v>
      </c>
      <c r="AP133" s="160"/>
      <c r="AQ133" s="160">
        <f aca="true" t="shared" si="87" ref="AQ133:AQ173">(VLOOKUP($AA133,func,AQ$324))*$AC133</f>
        <v>1753.917588</v>
      </c>
      <c r="AS133" s="159"/>
    </row>
    <row r="134" spans="2:45" ht="12.75">
      <c r="B134" s="448">
        <v>304.2</v>
      </c>
      <c r="D134" s="395" t="s">
        <v>380</v>
      </c>
      <c r="F134" s="150">
        <v>2</v>
      </c>
      <c r="G134" s="139"/>
      <c r="H134" s="146">
        <v>1195729.36</v>
      </c>
      <c r="I134" s="139"/>
      <c r="J134" s="218">
        <f t="shared" si="75"/>
        <v>653346.5223040001</v>
      </c>
      <c r="K134" s="353"/>
      <c r="L134" s="218">
        <f t="shared" si="76"/>
        <v>301204.22578400007</v>
      </c>
      <c r="M134" s="353"/>
      <c r="N134" s="218">
        <f t="shared" si="77"/>
        <v>115866.17498400001</v>
      </c>
      <c r="O134" s="353"/>
      <c r="P134" s="218">
        <f t="shared" si="78"/>
        <v>65645.541864</v>
      </c>
      <c r="Q134" s="353"/>
      <c r="R134" s="218">
        <f t="shared" si="79"/>
        <v>55123.12349600001</v>
      </c>
      <c r="S134" s="353"/>
      <c r="T134" s="218">
        <f t="shared" si="80"/>
        <v>4543.771568</v>
      </c>
      <c r="U134" s="162"/>
      <c r="W134" s="396">
        <v>304.2</v>
      </c>
      <c r="X134" s="353"/>
      <c r="Y134" s="395" t="s">
        <v>380</v>
      </c>
      <c r="Z134" s="140"/>
      <c r="AA134" s="399">
        <f aca="true" t="shared" si="88" ref="AA134:AA173">+F134</f>
        <v>2</v>
      </c>
      <c r="AB134" s="138"/>
      <c r="AC134" s="399">
        <f aca="true" t="shared" si="89" ref="AC134:AC173">+H134</f>
        <v>1195729.36</v>
      </c>
      <c r="AE134" s="160">
        <f t="shared" si="81"/>
        <v>742787.078432</v>
      </c>
      <c r="AF134" s="160"/>
      <c r="AG134" s="160">
        <f t="shared" si="82"/>
        <v>448398.51</v>
      </c>
      <c r="AH134" s="160"/>
      <c r="AI134" s="160">
        <f t="shared" si="83"/>
        <v>0</v>
      </c>
      <c r="AJ134" s="160"/>
      <c r="AK134" s="160">
        <f t="shared" si="84"/>
        <v>0</v>
      </c>
      <c r="AL134" s="160"/>
      <c r="AM134" s="160">
        <f t="shared" si="85"/>
        <v>0</v>
      </c>
      <c r="AN134" s="160"/>
      <c r="AO134" s="160">
        <f t="shared" si="86"/>
        <v>0</v>
      </c>
      <c r="AP134" s="160"/>
      <c r="AQ134" s="160">
        <f t="shared" si="87"/>
        <v>4543.771568</v>
      </c>
      <c r="AS134" s="159"/>
    </row>
    <row r="135" spans="2:45" ht="12.75">
      <c r="B135" s="448">
        <v>304.3</v>
      </c>
      <c r="D135" s="395" t="s">
        <v>381</v>
      </c>
      <c r="F135" s="150">
        <v>3</v>
      </c>
      <c r="G135" s="139"/>
      <c r="H135" s="146">
        <v>254976.8</v>
      </c>
      <c r="I135" s="139"/>
      <c r="J135" s="218">
        <f t="shared" si="75"/>
        <v>119558.62152</v>
      </c>
      <c r="K135" s="353"/>
      <c r="L135" s="218">
        <f t="shared" si="76"/>
        <v>55100.48648</v>
      </c>
      <c r="M135" s="353"/>
      <c r="N135" s="218">
        <f t="shared" si="77"/>
        <v>21214.06976</v>
      </c>
      <c r="O135" s="353"/>
      <c r="P135" s="218">
        <f t="shared" si="78"/>
        <v>12009.40728</v>
      </c>
      <c r="Q135" s="353"/>
      <c r="R135" s="218">
        <f t="shared" si="79"/>
        <v>10097.081279999999</v>
      </c>
      <c r="S135" s="353"/>
      <c r="T135" s="218">
        <f t="shared" si="80"/>
        <v>36997.13368</v>
      </c>
      <c r="U135" s="162"/>
      <c r="W135" s="396">
        <v>304.3</v>
      </c>
      <c r="X135" s="353"/>
      <c r="Y135" s="395" t="s">
        <v>381</v>
      </c>
      <c r="Z135" s="140"/>
      <c r="AA135" s="399">
        <f t="shared" si="88"/>
        <v>3</v>
      </c>
      <c r="AB135" s="138"/>
      <c r="AC135" s="399">
        <f t="shared" si="89"/>
        <v>254976.8</v>
      </c>
      <c r="AE135" s="160">
        <f t="shared" si="81"/>
        <v>135953.62975999998</v>
      </c>
      <c r="AF135" s="160"/>
      <c r="AG135" s="160">
        <f t="shared" si="82"/>
        <v>82026.03656</v>
      </c>
      <c r="AH135" s="160"/>
      <c r="AI135" s="160">
        <f t="shared" si="83"/>
        <v>0</v>
      </c>
      <c r="AJ135" s="160"/>
      <c r="AK135" s="160">
        <f t="shared" si="84"/>
        <v>0</v>
      </c>
      <c r="AL135" s="160"/>
      <c r="AM135" s="160">
        <f t="shared" si="85"/>
        <v>0</v>
      </c>
      <c r="AN135" s="160"/>
      <c r="AO135" s="160">
        <f t="shared" si="86"/>
        <v>0</v>
      </c>
      <c r="AP135" s="160"/>
      <c r="AQ135" s="160">
        <f t="shared" si="87"/>
        <v>36997.13368</v>
      </c>
      <c r="AS135" s="159"/>
    </row>
    <row r="136" spans="2:45" ht="12.75">
      <c r="B136" s="448">
        <v>304.4</v>
      </c>
      <c r="D136" s="395" t="s">
        <v>382</v>
      </c>
      <c r="F136" s="150">
        <v>14</v>
      </c>
      <c r="G136" s="139"/>
      <c r="H136" s="146">
        <v>464589.11</v>
      </c>
      <c r="I136" s="139"/>
      <c r="J136" s="218">
        <f t="shared" si="75"/>
        <v>274850.917476</v>
      </c>
      <c r="K136" s="353"/>
      <c r="L136" s="218">
        <f t="shared" si="76"/>
        <v>88736.52001</v>
      </c>
      <c r="M136" s="353"/>
      <c r="N136" s="218">
        <f t="shared" si="77"/>
        <v>27178.462935</v>
      </c>
      <c r="O136" s="353"/>
      <c r="P136" s="218">
        <f t="shared" si="78"/>
        <v>17050.420337</v>
      </c>
      <c r="Q136" s="353"/>
      <c r="R136" s="218">
        <f t="shared" si="79"/>
        <v>8641.357445999998</v>
      </c>
      <c r="S136" s="353"/>
      <c r="T136" s="218">
        <f t="shared" si="80"/>
        <v>48131.431796</v>
      </c>
      <c r="U136" s="162"/>
      <c r="W136" s="396">
        <v>304.4</v>
      </c>
      <c r="X136" s="353"/>
      <c r="Y136" s="395" t="s">
        <v>382</v>
      </c>
      <c r="Z136" s="140"/>
      <c r="AA136" s="399">
        <f t="shared" si="88"/>
        <v>14</v>
      </c>
      <c r="AB136" s="138"/>
      <c r="AC136" s="399">
        <f t="shared" si="89"/>
        <v>464589.11</v>
      </c>
      <c r="AE136" s="160">
        <f t="shared" si="81"/>
        <v>156055.48204899998</v>
      </c>
      <c r="AF136" s="160"/>
      <c r="AG136" s="160">
        <f t="shared" si="82"/>
        <v>65181.852133</v>
      </c>
      <c r="AH136" s="160"/>
      <c r="AI136" s="160">
        <f t="shared" si="83"/>
        <v>67644.174416</v>
      </c>
      <c r="AJ136" s="160"/>
      <c r="AK136" s="160">
        <f t="shared" si="84"/>
        <v>34426.053050999995</v>
      </c>
      <c r="AL136" s="160"/>
      <c r="AM136" s="160">
        <f t="shared" si="85"/>
        <v>36098.573847</v>
      </c>
      <c r="AN136" s="160"/>
      <c r="AO136" s="160">
        <f t="shared" si="86"/>
        <v>57051.542708</v>
      </c>
      <c r="AP136" s="160"/>
      <c r="AQ136" s="160">
        <f t="shared" si="87"/>
        <v>48131.431796</v>
      </c>
      <c r="AS136" s="159"/>
    </row>
    <row r="137" spans="2:45" ht="12.75">
      <c r="B137" s="448">
        <v>304.5</v>
      </c>
      <c r="D137" s="395" t="s">
        <v>383</v>
      </c>
      <c r="F137" s="150">
        <v>14</v>
      </c>
      <c r="G137" s="139"/>
      <c r="H137" s="146">
        <v>1460.94</v>
      </c>
      <c r="I137" s="139"/>
      <c r="J137" s="218">
        <f t="shared" si="75"/>
        <v>864.2921040000001</v>
      </c>
      <c r="K137" s="353"/>
      <c r="L137" s="218">
        <f t="shared" si="76"/>
        <v>279.03954</v>
      </c>
      <c r="M137" s="353"/>
      <c r="N137" s="218">
        <f t="shared" si="77"/>
        <v>85.46499000000001</v>
      </c>
      <c r="O137" s="353"/>
      <c r="P137" s="218">
        <f t="shared" si="78"/>
        <v>53.61649800000001</v>
      </c>
      <c r="Q137" s="353"/>
      <c r="R137" s="218">
        <f t="shared" si="79"/>
        <v>27.173484</v>
      </c>
      <c r="S137" s="353"/>
      <c r="T137" s="218">
        <f t="shared" si="80"/>
        <v>151.353384</v>
      </c>
      <c r="U137" s="162"/>
      <c r="W137" s="396">
        <v>304.5</v>
      </c>
      <c r="X137" s="353"/>
      <c r="Y137" s="395" t="s">
        <v>383</v>
      </c>
      <c r="Z137" s="140"/>
      <c r="AA137" s="399">
        <f t="shared" si="88"/>
        <v>14</v>
      </c>
      <c r="AB137" s="138"/>
      <c r="AC137" s="399">
        <f t="shared" si="89"/>
        <v>1460.94</v>
      </c>
      <c r="AE137" s="160">
        <f t="shared" si="81"/>
        <v>490.729746</v>
      </c>
      <c r="AF137" s="160"/>
      <c r="AG137" s="160">
        <f t="shared" si="82"/>
        <v>204.969882</v>
      </c>
      <c r="AH137" s="160"/>
      <c r="AI137" s="160">
        <f t="shared" si="83"/>
        <v>212.71286400000002</v>
      </c>
      <c r="AJ137" s="160"/>
      <c r="AK137" s="160">
        <f t="shared" si="84"/>
        <v>108.255654</v>
      </c>
      <c r="AL137" s="160"/>
      <c r="AM137" s="160">
        <f t="shared" si="85"/>
        <v>113.51503800000002</v>
      </c>
      <c r="AN137" s="160"/>
      <c r="AO137" s="160">
        <f t="shared" si="86"/>
        <v>179.403432</v>
      </c>
      <c r="AP137" s="160"/>
      <c r="AQ137" s="160">
        <f t="shared" si="87"/>
        <v>151.353384</v>
      </c>
      <c r="AS137" s="159"/>
    </row>
    <row r="138" spans="2:45" ht="12.75">
      <c r="B138" s="448">
        <v>304.6</v>
      </c>
      <c r="D138" s="395" t="s">
        <v>384</v>
      </c>
      <c r="E138" s="297"/>
      <c r="F138" s="294">
        <v>2</v>
      </c>
      <c r="G138" s="225"/>
      <c r="H138" s="146">
        <v>158673.27</v>
      </c>
      <c r="I138" s="225"/>
      <c r="J138" s="218">
        <f t="shared" si="75"/>
        <v>86699.07472799999</v>
      </c>
      <c r="K138" s="353"/>
      <c r="L138" s="218">
        <f t="shared" si="76"/>
        <v>39969.796712999996</v>
      </c>
      <c r="M138" s="353"/>
      <c r="N138" s="218">
        <f t="shared" si="77"/>
        <v>15375.439863</v>
      </c>
      <c r="O138" s="353"/>
      <c r="P138" s="218">
        <f t="shared" si="78"/>
        <v>8711.162522999999</v>
      </c>
      <c r="Q138" s="353"/>
      <c r="R138" s="218">
        <f t="shared" si="79"/>
        <v>7314.837747</v>
      </c>
      <c r="S138" s="353"/>
      <c r="T138" s="218">
        <f t="shared" si="80"/>
        <v>602.9584259999999</v>
      </c>
      <c r="U138" s="162"/>
      <c r="W138" s="396">
        <v>304.6</v>
      </c>
      <c r="X138" s="353"/>
      <c r="Y138" s="395" t="s">
        <v>384</v>
      </c>
      <c r="Z138" s="297"/>
      <c r="AA138" s="399">
        <f t="shared" si="88"/>
        <v>2</v>
      </c>
      <c r="AB138" s="138"/>
      <c r="AC138" s="399">
        <f t="shared" si="89"/>
        <v>158673.27</v>
      </c>
      <c r="AE138" s="160">
        <f t="shared" si="81"/>
        <v>98567.83532399999</v>
      </c>
      <c r="AF138" s="160"/>
      <c r="AG138" s="160">
        <f t="shared" si="82"/>
        <v>59502.47624999999</v>
      </c>
      <c r="AH138" s="160"/>
      <c r="AI138" s="160">
        <f t="shared" si="83"/>
        <v>0</v>
      </c>
      <c r="AJ138" s="160"/>
      <c r="AK138" s="160">
        <f t="shared" si="84"/>
        <v>0</v>
      </c>
      <c r="AL138" s="160"/>
      <c r="AM138" s="160">
        <f t="shared" si="85"/>
        <v>0</v>
      </c>
      <c r="AN138" s="160"/>
      <c r="AO138" s="160">
        <f t="shared" si="86"/>
        <v>0</v>
      </c>
      <c r="AP138" s="160"/>
      <c r="AQ138" s="160">
        <f t="shared" si="87"/>
        <v>602.9584259999999</v>
      </c>
      <c r="AS138" s="159"/>
    </row>
    <row r="139" spans="2:45" ht="12.75">
      <c r="B139" s="448">
        <v>306</v>
      </c>
      <c r="D139" s="395" t="s">
        <v>385</v>
      </c>
      <c r="F139" s="150">
        <v>2</v>
      </c>
      <c r="G139" s="139"/>
      <c r="H139" s="146">
        <v>27567.45</v>
      </c>
      <c r="I139" s="139"/>
      <c r="J139" s="218">
        <f t="shared" si="75"/>
        <v>15062.85468</v>
      </c>
      <c r="K139" s="353"/>
      <c r="L139" s="218">
        <f t="shared" si="76"/>
        <v>6944.2406550000005</v>
      </c>
      <c r="M139" s="353"/>
      <c r="N139" s="218">
        <f t="shared" si="77"/>
        <v>2671.285905</v>
      </c>
      <c r="O139" s="353"/>
      <c r="P139" s="218">
        <f t="shared" si="78"/>
        <v>1513.453005</v>
      </c>
      <c r="Q139" s="353"/>
      <c r="R139" s="218">
        <f t="shared" si="79"/>
        <v>1270.859445</v>
      </c>
      <c r="S139" s="353"/>
      <c r="T139" s="218">
        <f t="shared" si="80"/>
        <v>104.75631</v>
      </c>
      <c r="U139" s="162"/>
      <c r="W139" s="396">
        <v>306</v>
      </c>
      <c r="X139" s="353"/>
      <c r="Y139" s="395" t="s">
        <v>385</v>
      </c>
      <c r="Z139" s="140"/>
      <c r="AA139" s="399">
        <f t="shared" si="88"/>
        <v>2</v>
      </c>
      <c r="AB139" s="138"/>
      <c r="AC139" s="399">
        <f t="shared" si="89"/>
        <v>27567.45</v>
      </c>
      <c r="AE139" s="160">
        <f t="shared" si="81"/>
        <v>17124.89994</v>
      </c>
      <c r="AF139" s="160"/>
      <c r="AG139" s="160">
        <f t="shared" si="82"/>
        <v>10337.79375</v>
      </c>
      <c r="AH139" s="160"/>
      <c r="AI139" s="160">
        <f t="shared" si="83"/>
        <v>0</v>
      </c>
      <c r="AJ139" s="160"/>
      <c r="AK139" s="160">
        <f t="shared" si="84"/>
        <v>0</v>
      </c>
      <c r="AL139" s="160"/>
      <c r="AM139" s="160">
        <f t="shared" si="85"/>
        <v>0</v>
      </c>
      <c r="AN139" s="160"/>
      <c r="AO139" s="160">
        <f t="shared" si="86"/>
        <v>0</v>
      </c>
      <c r="AP139" s="160"/>
      <c r="AQ139" s="160">
        <f t="shared" si="87"/>
        <v>104.75631</v>
      </c>
      <c r="AS139" s="159"/>
    </row>
    <row r="140" spans="2:45" ht="12.75">
      <c r="B140" s="448">
        <v>309</v>
      </c>
      <c r="D140" s="395" t="s">
        <v>23</v>
      </c>
      <c r="F140" s="150">
        <v>2</v>
      </c>
      <c r="G140" s="139"/>
      <c r="H140" s="146">
        <v>57952.46</v>
      </c>
      <c r="I140" s="139"/>
      <c r="J140" s="218">
        <f t="shared" si="75"/>
        <v>31665.224144</v>
      </c>
      <c r="K140" s="353"/>
      <c r="L140" s="218">
        <f t="shared" si="76"/>
        <v>14598.224674000001</v>
      </c>
      <c r="M140" s="353"/>
      <c r="N140" s="218">
        <f t="shared" si="77"/>
        <v>5615.593374</v>
      </c>
      <c r="O140" s="353"/>
      <c r="P140" s="218">
        <f t="shared" si="78"/>
        <v>3181.590054</v>
      </c>
      <c r="Q140" s="353"/>
      <c r="R140" s="218">
        <f t="shared" si="79"/>
        <v>2671.6084060000003</v>
      </c>
      <c r="S140" s="353"/>
      <c r="T140" s="218">
        <f t="shared" si="80"/>
        <v>220.219348</v>
      </c>
      <c r="U140" s="162"/>
      <c r="W140" s="396">
        <v>309</v>
      </c>
      <c r="X140" s="353"/>
      <c r="Y140" s="395" t="s">
        <v>23</v>
      </c>
      <c r="Z140" s="140"/>
      <c r="AA140" s="399">
        <f t="shared" si="88"/>
        <v>2</v>
      </c>
      <c r="AB140" s="138"/>
      <c r="AC140" s="399">
        <f t="shared" si="89"/>
        <v>57952.46</v>
      </c>
      <c r="AE140" s="160">
        <f t="shared" si="81"/>
        <v>36000.068152</v>
      </c>
      <c r="AF140" s="160"/>
      <c r="AG140" s="160">
        <f t="shared" si="82"/>
        <v>21732.1725</v>
      </c>
      <c r="AH140" s="160"/>
      <c r="AI140" s="160">
        <f t="shared" si="83"/>
        <v>0</v>
      </c>
      <c r="AJ140" s="160"/>
      <c r="AK140" s="160">
        <f t="shared" si="84"/>
        <v>0</v>
      </c>
      <c r="AL140" s="160"/>
      <c r="AM140" s="160">
        <f t="shared" si="85"/>
        <v>0</v>
      </c>
      <c r="AN140" s="160"/>
      <c r="AO140" s="160">
        <f t="shared" si="86"/>
        <v>0</v>
      </c>
      <c r="AP140" s="160"/>
      <c r="AQ140" s="160">
        <f t="shared" si="87"/>
        <v>220.219348</v>
      </c>
      <c r="AS140" s="159"/>
    </row>
    <row r="141" spans="2:45" ht="12.75">
      <c r="B141" s="448">
        <v>310.3</v>
      </c>
      <c r="D141" s="395" t="s">
        <v>386</v>
      </c>
      <c r="F141" s="150">
        <v>3</v>
      </c>
      <c r="G141" s="139"/>
      <c r="H141" s="146">
        <v>18747.72</v>
      </c>
      <c r="I141" s="139"/>
      <c r="J141" s="218">
        <f t="shared" si="75"/>
        <v>8790.805908000002</v>
      </c>
      <c r="K141" s="353"/>
      <c r="L141" s="218">
        <f t="shared" si="76"/>
        <v>4051.3822920000007</v>
      </c>
      <c r="M141" s="353"/>
      <c r="N141" s="218">
        <f t="shared" si="77"/>
        <v>1559.810304</v>
      </c>
      <c r="O141" s="353"/>
      <c r="P141" s="218">
        <f t="shared" si="78"/>
        <v>883.0176120000001</v>
      </c>
      <c r="Q141" s="353"/>
      <c r="R141" s="218">
        <f t="shared" si="79"/>
        <v>742.409712</v>
      </c>
      <c r="S141" s="353"/>
      <c r="T141" s="218">
        <f t="shared" si="80"/>
        <v>2720.2941720000003</v>
      </c>
      <c r="U141" s="162"/>
      <c r="W141" s="396">
        <v>310.3</v>
      </c>
      <c r="X141" s="353"/>
      <c r="Y141" s="395" t="s">
        <v>386</v>
      </c>
      <c r="Z141" s="140"/>
      <c r="AA141" s="399">
        <f t="shared" si="88"/>
        <v>3</v>
      </c>
      <c r="AB141" s="138"/>
      <c r="AC141" s="399">
        <f t="shared" si="89"/>
        <v>18747.72</v>
      </c>
      <c r="AE141" s="160">
        <f t="shared" si="81"/>
        <v>9996.284304</v>
      </c>
      <c r="AF141" s="160"/>
      <c r="AG141" s="160">
        <f t="shared" si="82"/>
        <v>6031.141524</v>
      </c>
      <c r="AH141" s="160"/>
      <c r="AI141" s="160">
        <f t="shared" si="83"/>
        <v>0</v>
      </c>
      <c r="AJ141" s="160"/>
      <c r="AK141" s="160">
        <f t="shared" si="84"/>
        <v>0</v>
      </c>
      <c r="AL141" s="160"/>
      <c r="AM141" s="160">
        <f t="shared" si="85"/>
        <v>0</v>
      </c>
      <c r="AN141" s="160"/>
      <c r="AO141" s="160">
        <f t="shared" si="86"/>
        <v>0</v>
      </c>
      <c r="AP141" s="160"/>
      <c r="AQ141" s="160">
        <f t="shared" si="87"/>
        <v>2720.2941720000003</v>
      </c>
      <c r="AS141" s="159"/>
    </row>
    <row r="142" spans="2:45" ht="12.75">
      <c r="B142" s="448">
        <v>311.1</v>
      </c>
      <c r="D142" s="395" t="s">
        <v>387</v>
      </c>
      <c r="F142" s="150">
        <v>3</v>
      </c>
      <c r="G142" s="139"/>
      <c r="H142" s="146">
        <v>190078.62</v>
      </c>
      <c r="I142" s="139"/>
      <c r="J142" s="218">
        <f t="shared" si="75"/>
        <v>89127.864918</v>
      </c>
      <c r="K142" s="353"/>
      <c r="L142" s="218">
        <f t="shared" si="76"/>
        <v>41075.989782000004</v>
      </c>
      <c r="M142" s="353"/>
      <c r="N142" s="218">
        <f t="shared" si="77"/>
        <v>15814.541184</v>
      </c>
      <c r="O142" s="353"/>
      <c r="P142" s="218">
        <f t="shared" si="78"/>
        <v>8952.703002</v>
      </c>
      <c r="Q142" s="353"/>
      <c r="R142" s="218">
        <f t="shared" si="79"/>
        <v>7527.113351999999</v>
      </c>
      <c r="S142" s="353"/>
      <c r="T142" s="218">
        <f t="shared" si="80"/>
        <v>27580.407762</v>
      </c>
      <c r="U142" s="162"/>
      <c r="W142" s="396">
        <v>311.1</v>
      </c>
      <c r="X142" s="353"/>
      <c r="Y142" s="395" t="s">
        <v>387</v>
      </c>
      <c r="Z142" s="140"/>
      <c r="AA142" s="399">
        <f t="shared" si="88"/>
        <v>3</v>
      </c>
      <c r="AB142" s="138"/>
      <c r="AC142" s="399">
        <f t="shared" si="89"/>
        <v>190078.62</v>
      </c>
      <c r="AE142" s="160">
        <f t="shared" si="81"/>
        <v>101349.920184</v>
      </c>
      <c r="AF142" s="160"/>
      <c r="AG142" s="160">
        <f t="shared" si="82"/>
        <v>61148.292054</v>
      </c>
      <c r="AH142" s="160"/>
      <c r="AI142" s="160">
        <f t="shared" si="83"/>
        <v>0</v>
      </c>
      <c r="AJ142" s="160"/>
      <c r="AK142" s="160">
        <f t="shared" si="84"/>
        <v>0</v>
      </c>
      <c r="AL142" s="160"/>
      <c r="AM142" s="160">
        <f t="shared" si="85"/>
        <v>0</v>
      </c>
      <c r="AN142" s="160"/>
      <c r="AO142" s="160">
        <f t="shared" si="86"/>
        <v>0</v>
      </c>
      <c r="AP142" s="160"/>
      <c r="AQ142" s="160">
        <f t="shared" si="87"/>
        <v>27580.407762</v>
      </c>
      <c r="AS142" s="159"/>
    </row>
    <row r="143" spans="2:45" ht="12.75">
      <c r="B143" s="448">
        <v>311.2</v>
      </c>
      <c r="D143" s="395" t="s">
        <v>387</v>
      </c>
      <c r="F143" s="150">
        <v>3</v>
      </c>
      <c r="G143" s="139"/>
      <c r="H143" s="146">
        <v>64179.03</v>
      </c>
      <c r="I143" s="139"/>
      <c r="J143" s="218">
        <f t="shared" si="75"/>
        <v>30093.547167</v>
      </c>
      <c r="K143" s="353"/>
      <c r="L143" s="218">
        <f t="shared" si="76"/>
        <v>13869.088383</v>
      </c>
      <c r="M143" s="353"/>
      <c r="N143" s="218">
        <f t="shared" si="77"/>
        <v>5339.695296</v>
      </c>
      <c r="O143" s="353"/>
      <c r="P143" s="218">
        <f t="shared" si="78"/>
        <v>3022.8323130000003</v>
      </c>
      <c r="Q143" s="353"/>
      <c r="R143" s="218">
        <f t="shared" si="79"/>
        <v>2541.489588</v>
      </c>
      <c r="S143" s="353"/>
      <c r="T143" s="218">
        <f t="shared" si="80"/>
        <v>9312.377253</v>
      </c>
      <c r="U143" s="162"/>
      <c r="W143" s="396">
        <v>311.2</v>
      </c>
      <c r="X143" s="353"/>
      <c r="Y143" s="395" t="s">
        <v>387</v>
      </c>
      <c r="Z143" s="140"/>
      <c r="AA143" s="399">
        <f t="shared" si="88"/>
        <v>3</v>
      </c>
      <c r="AB143" s="138"/>
      <c r="AC143" s="399">
        <f t="shared" si="89"/>
        <v>64179.03</v>
      </c>
      <c r="AE143" s="160">
        <f t="shared" si="81"/>
        <v>34220.258796</v>
      </c>
      <c r="AF143" s="160"/>
      <c r="AG143" s="160">
        <f t="shared" si="82"/>
        <v>20646.393951</v>
      </c>
      <c r="AH143" s="160"/>
      <c r="AI143" s="160">
        <f t="shared" si="83"/>
        <v>0</v>
      </c>
      <c r="AJ143" s="160"/>
      <c r="AK143" s="160">
        <f t="shared" si="84"/>
        <v>0</v>
      </c>
      <c r="AL143" s="160"/>
      <c r="AM143" s="160">
        <f t="shared" si="85"/>
        <v>0</v>
      </c>
      <c r="AN143" s="160"/>
      <c r="AO143" s="160">
        <f t="shared" si="86"/>
        <v>0</v>
      </c>
      <c r="AP143" s="160"/>
      <c r="AQ143" s="160">
        <f t="shared" si="87"/>
        <v>9312.377253</v>
      </c>
      <c r="AS143" s="159"/>
    </row>
    <row r="144" spans="2:45" ht="12.75">
      <c r="B144" s="448">
        <v>311.3</v>
      </c>
      <c r="D144" s="395" t="s">
        <v>387</v>
      </c>
      <c r="E144" s="138"/>
      <c r="F144" s="150">
        <v>3</v>
      </c>
      <c r="G144" s="139"/>
      <c r="H144" s="146">
        <v>300831.45</v>
      </c>
      <c r="I144" s="139"/>
      <c r="J144" s="218">
        <f t="shared" si="75"/>
        <v>141059.86690500003</v>
      </c>
      <c r="K144" s="353"/>
      <c r="L144" s="218">
        <f t="shared" si="76"/>
        <v>65009.67634500001</v>
      </c>
      <c r="M144" s="353"/>
      <c r="N144" s="218">
        <f t="shared" si="77"/>
        <v>25029.17664</v>
      </c>
      <c r="O144" s="353"/>
      <c r="P144" s="218">
        <f t="shared" si="78"/>
        <v>14169.161295000002</v>
      </c>
      <c r="Q144" s="353"/>
      <c r="R144" s="218">
        <f t="shared" si="79"/>
        <v>11912.92542</v>
      </c>
      <c r="S144" s="353"/>
      <c r="T144" s="218">
        <f t="shared" si="80"/>
        <v>43650.64339500001</v>
      </c>
      <c r="U144" s="162"/>
      <c r="W144" s="396">
        <v>311.3</v>
      </c>
      <c r="X144" s="353"/>
      <c r="Y144" s="395" t="s">
        <v>387</v>
      </c>
      <c r="Z144" s="138"/>
      <c r="AA144" s="399">
        <f t="shared" si="88"/>
        <v>3</v>
      </c>
      <c r="AB144" s="138"/>
      <c r="AC144" s="399">
        <f t="shared" si="89"/>
        <v>300831.45</v>
      </c>
      <c r="AE144" s="160">
        <f t="shared" si="81"/>
        <v>160403.32914000002</v>
      </c>
      <c r="AF144" s="160"/>
      <c r="AG144" s="160">
        <f t="shared" si="82"/>
        <v>96777.477465</v>
      </c>
      <c r="AH144" s="160"/>
      <c r="AI144" s="160">
        <f t="shared" si="83"/>
        <v>0</v>
      </c>
      <c r="AJ144" s="160"/>
      <c r="AK144" s="160">
        <f t="shared" si="84"/>
        <v>0</v>
      </c>
      <c r="AL144" s="160"/>
      <c r="AM144" s="160">
        <f t="shared" si="85"/>
        <v>0</v>
      </c>
      <c r="AN144" s="160"/>
      <c r="AO144" s="160">
        <f t="shared" si="86"/>
        <v>0</v>
      </c>
      <c r="AP144" s="160"/>
      <c r="AQ144" s="160">
        <f t="shared" si="87"/>
        <v>43650.64339500001</v>
      </c>
      <c r="AS144" s="159"/>
    </row>
    <row r="145" spans="2:45" ht="12.75">
      <c r="B145" s="448">
        <v>320.1</v>
      </c>
      <c r="D145" s="395" t="s">
        <v>388</v>
      </c>
      <c r="E145" s="138"/>
      <c r="F145" s="150">
        <v>2</v>
      </c>
      <c r="G145" s="139"/>
      <c r="H145" s="146">
        <v>383597.34</v>
      </c>
      <c r="I145" s="139"/>
      <c r="J145" s="218">
        <f t="shared" si="75"/>
        <v>209597.586576</v>
      </c>
      <c r="K145" s="353"/>
      <c r="L145" s="218">
        <f t="shared" si="76"/>
        <v>96628.16994600001</v>
      </c>
      <c r="M145" s="353"/>
      <c r="N145" s="218">
        <f t="shared" si="77"/>
        <v>37170.582246000005</v>
      </c>
      <c r="O145" s="353"/>
      <c r="P145" s="218">
        <f t="shared" si="78"/>
        <v>21059.493966000002</v>
      </c>
      <c r="Q145" s="353"/>
      <c r="R145" s="218">
        <f t="shared" si="79"/>
        <v>17683.837374000002</v>
      </c>
      <c r="S145" s="353"/>
      <c r="T145" s="218">
        <f t="shared" si="80"/>
        <v>1457.6698920000001</v>
      </c>
      <c r="U145" s="162"/>
      <c r="W145" s="396">
        <v>320.1</v>
      </c>
      <c r="X145" s="353"/>
      <c r="Y145" s="395" t="s">
        <v>388</v>
      </c>
      <c r="Z145" s="138"/>
      <c r="AA145" s="399">
        <f t="shared" si="88"/>
        <v>2</v>
      </c>
      <c r="AB145" s="138"/>
      <c r="AC145" s="399">
        <f t="shared" si="89"/>
        <v>383597.34</v>
      </c>
      <c r="AE145" s="160">
        <f t="shared" si="81"/>
        <v>238290.66760800002</v>
      </c>
      <c r="AF145" s="160"/>
      <c r="AG145" s="160">
        <f t="shared" si="82"/>
        <v>143849.0025</v>
      </c>
      <c r="AH145" s="160"/>
      <c r="AI145" s="160">
        <f t="shared" si="83"/>
        <v>0</v>
      </c>
      <c r="AJ145" s="160"/>
      <c r="AK145" s="160">
        <f t="shared" si="84"/>
        <v>0</v>
      </c>
      <c r="AL145" s="160"/>
      <c r="AM145" s="160">
        <f t="shared" si="85"/>
        <v>0</v>
      </c>
      <c r="AN145" s="160"/>
      <c r="AO145" s="160">
        <f t="shared" si="86"/>
        <v>0</v>
      </c>
      <c r="AP145" s="160"/>
      <c r="AQ145" s="160">
        <f t="shared" si="87"/>
        <v>1457.6698920000001</v>
      </c>
      <c r="AS145" s="159"/>
    </row>
    <row r="146" spans="2:45" ht="12.75">
      <c r="B146" s="448">
        <v>320.2</v>
      </c>
      <c r="D146" s="395" t="s">
        <v>389</v>
      </c>
      <c r="E146" s="138"/>
      <c r="F146" s="150">
        <v>2</v>
      </c>
      <c r="G146" s="139"/>
      <c r="H146" s="146">
        <v>4247.32</v>
      </c>
      <c r="I146" s="139"/>
      <c r="J146" s="218">
        <f t="shared" si="75"/>
        <v>2320.735648</v>
      </c>
      <c r="K146" s="353"/>
      <c r="L146" s="218">
        <f t="shared" si="76"/>
        <v>1069.8999079999999</v>
      </c>
      <c r="M146" s="353"/>
      <c r="N146" s="218">
        <f t="shared" si="77"/>
        <v>411.56530799999996</v>
      </c>
      <c r="O146" s="353"/>
      <c r="P146" s="218">
        <f t="shared" si="78"/>
        <v>233.17786799999996</v>
      </c>
      <c r="Q146" s="353"/>
      <c r="R146" s="218">
        <f t="shared" si="79"/>
        <v>195.80145199999998</v>
      </c>
      <c r="S146" s="353"/>
      <c r="T146" s="218">
        <f t="shared" si="80"/>
        <v>16.139816</v>
      </c>
      <c r="U146" s="162"/>
      <c r="W146" s="396">
        <v>320.2</v>
      </c>
      <c r="X146" s="353"/>
      <c r="Y146" s="395" t="s">
        <v>389</v>
      </c>
      <c r="Z146" s="138"/>
      <c r="AA146" s="399">
        <f t="shared" si="88"/>
        <v>2</v>
      </c>
      <c r="AB146" s="138"/>
      <c r="AC146" s="399">
        <f t="shared" si="89"/>
        <v>4247.32</v>
      </c>
      <c r="AE146" s="160">
        <f t="shared" si="81"/>
        <v>2638.435184</v>
      </c>
      <c r="AF146" s="160"/>
      <c r="AG146" s="160">
        <f t="shared" si="82"/>
        <v>1592.745</v>
      </c>
      <c r="AH146" s="160"/>
      <c r="AI146" s="160">
        <f t="shared" si="83"/>
        <v>0</v>
      </c>
      <c r="AJ146" s="160"/>
      <c r="AK146" s="160">
        <f t="shared" si="84"/>
        <v>0</v>
      </c>
      <c r="AL146" s="160"/>
      <c r="AM146" s="160">
        <f t="shared" si="85"/>
        <v>0</v>
      </c>
      <c r="AN146" s="160"/>
      <c r="AO146" s="160">
        <f t="shared" si="86"/>
        <v>0</v>
      </c>
      <c r="AP146" s="160"/>
      <c r="AQ146" s="160">
        <f t="shared" si="87"/>
        <v>16.139816</v>
      </c>
      <c r="AS146" s="159"/>
    </row>
    <row r="147" spans="2:45" ht="12.75">
      <c r="B147" s="448">
        <v>330.1</v>
      </c>
      <c r="D147" s="395" t="s">
        <v>390</v>
      </c>
      <c r="E147" s="138"/>
      <c r="F147" s="150">
        <v>5</v>
      </c>
      <c r="G147" s="139"/>
      <c r="H147" s="146">
        <v>304197.43</v>
      </c>
      <c r="I147" s="139"/>
      <c r="J147" s="218">
        <f t="shared" si="75"/>
        <v>129496.84595099998</v>
      </c>
      <c r="K147" s="353"/>
      <c r="L147" s="218">
        <f t="shared" si="76"/>
        <v>54390.500484000004</v>
      </c>
      <c r="M147" s="353"/>
      <c r="N147" s="218">
        <f t="shared" si="77"/>
        <v>17491.352225</v>
      </c>
      <c r="O147" s="353"/>
      <c r="P147" s="218">
        <f t="shared" si="78"/>
        <v>9916.836218</v>
      </c>
      <c r="Q147" s="353"/>
      <c r="R147" s="218">
        <f t="shared" si="79"/>
        <v>8304.589839</v>
      </c>
      <c r="S147" s="353"/>
      <c r="T147" s="218">
        <f t="shared" si="80"/>
        <v>84597.30528300001</v>
      </c>
      <c r="U147" s="162"/>
      <c r="W147" s="396">
        <v>330.1</v>
      </c>
      <c r="X147" s="353"/>
      <c r="Y147" s="395" t="s">
        <v>390</v>
      </c>
      <c r="Z147" s="138"/>
      <c r="AA147" s="399">
        <f t="shared" si="88"/>
        <v>5</v>
      </c>
      <c r="AB147" s="138"/>
      <c r="AC147" s="399">
        <f t="shared" si="89"/>
        <v>304197.43</v>
      </c>
      <c r="AE147" s="160">
        <f t="shared" si="81"/>
        <v>91167.96977099999</v>
      </c>
      <c r="AF147" s="160"/>
      <c r="AG147" s="160">
        <f t="shared" si="82"/>
        <v>0</v>
      </c>
      <c r="AH147" s="160"/>
      <c r="AI147" s="160">
        <f t="shared" si="83"/>
        <v>128432.15494600001</v>
      </c>
      <c r="AJ147" s="160"/>
      <c r="AK147" s="160">
        <f t="shared" si="84"/>
        <v>0</v>
      </c>
      <c r="AL147" s="160"/>
      <c r="AM147" s="160">
        <f t="shared" si="85"/>
        <v>0</v>
      </c>
      <c r="AN147" s="160"/>
      <c r="AO147" s="160">
        <f t="shared" si="86"/>
        <v>0</v>
      </c>
      <c r="AP147" s="160"/>
      <c r="AQ147" s="160">
        <f t="shared" si="87"/>
        <v>84597.30528300001</v>
      </c>
      <c r="AS147" s="159"/>
    </row>
    <row r="148" spans="2:45" ht="12.75">
      <c r="B148" s="448">
        <v>330.3</v>
      </c>
      <c r="D148" s="395" t="s">
        <v>391</v>
      </c>
      <c r="E148" s="138"/>
      <c r="F148" s="150">
        <v>5</v>
      </c>
      <c r="G148" s="139"/>
      <c r="H148" s="146">
        <v>2068.97</v>
      </c>
      <c r="I148" s="139"/>
      <c r="J148" s="218">
        <f t="shared" si="75"/>
        <v>880.7605289999998</v>
      </c>
      <c r="K148" s="353"/>
      <c r="L148" s="218">
        <f t="shared" si="76"/>
        <v>369.931836</v>
      </c>
      <c r="M148" s="353"/>
      <c r="N148" s="218">
        <f t="shared" si="77"/>
        <v>118.96577499999998</v>
      </c>
      <c r="O148" s="353"/>
      <c r="P148" s="218">
        <f t="shared" si="78"/>
        <v>67.44842200000001</v>
      </c>
      <c r="Q148" s="353"/>
      <c r="R148" s="218">
        <f t="shared" si="79"/>
        <v>56.482881</v>
      </c>
      <c r="S148" s="353"/>
      <c r="T148" s="218">
        <f t="shared" si="80"/>
        <v>575.380557</v>
      </c>
      <c r="U148" s="162"/>
      <c r="W148" s="396">
        <v>330.3</v>
      </c>
      <c r="X148" s="353"/>
      <c r="Y148" s="395" t="s">
        <v>391</v>
      </c>
      <c r="Z148" s="138"/>
      <c r="AA148" s="399">
        <f t="shared" si="88"/>
        <v>5</v>
      </c>
      <c r="AB148" s="138"/>
      <c r="AC148" s="399">
        <f t="shared" si="89"/>
        <v>2068.97</v>
      </c>
      <c r="AE148" s="160">
        <f t="shared" si="81"/>
        <v>620.0703089999998</v>
      </c>
      <c r="AF148" s="160"/>
      <c r="AG148" s="160">
        <f t="shared" si="82"/>
        <v>0</v>
      </c>
      <c r="AH148" s="160"/>
      <c r="AI148" s="160">
        <f t="shared" si="83"/>
        <v>873.519134</v>
      </c>
      <c r="AJ148" s="160"/>
      <c r="AK148" s="160">
        <f t="shared" si="84"/>
        <v>0</v>
      </c>
      <c r="AL148" s="160"/>
      <c r="AM148" s="160">
        <f t="shared" si="85"/>
        <v>0</v>
      </c>
      <c r="AN148" s="160"/>
      <c r="AO148" s="160">
        <f t="shared" si="86"/>
        <v>0</v>
      </c>
      <c r="AP148" s="160"/>
      <c r="AQ148" s="160">
        <f t="shared" si="87"/>
        <v>575.380557</v>
      </c>
      <c r="AS148" s="159"/>
    </row>
    <row r="149" spans="1:45" s="135" customFormat="1" ht="12.75">
      <c r="A149" s="352"/>
      <c r="B149" s="448">
        <v>331.1</v>
      </c>
      <c r="C149" s="353"/>
      <c r="D149" s="395" t="s">
        <v>38</v>
      </c>
      <c r="E149" s="138"/>
      <c r="F149" s="150">
        <v>3</v>
      </c>
      <c r="G149" s="139"/>
      <c r="H149" s="146">
        <v>960736.9776950001</v>
      </c>
      <c r="I149" s="139"/>
      <c r="J149" s="218">
        <f t="shared" si="75"/>
        <v>450489.5688411856</v>
      </c>
      <c r="K149" s="353"/>
      <c r="L149" s="218">
        <f t="shared" si="76"/>
        <v>207615.26087988954</v>
      </c>
      <c r="M149" s="353"/>
      <c r="N149" s="218">
        <f t="shared" si="77"/>
        <v>79933.31654422401</v>
      </c>
      <c r="O149" s="353"/>
      <c r="P149" s="218">
        <f t="shared" si="78"/>
        <v>45250.71164943451</v>
      </c>
      <c r="Q149" s="353"/>
      <c r="R149" s="218">
        <f t="shared" si="79"/>
        <v>38045.184316722</v>
      </c>
      <c r="S149" s="353"/>
      <c r="T149" s="218">
        <f t="shared" si="80"/>
        <v>139402.93546354453</v>
      </c>
      <c r="U149" s="162"/>
      <c r="V149"/>
      <c r="W149" s="396">
        <v>331.1</v>
      </c>
      <c r="X149" s="353"/>
      <c r="Y149" s="395" t="s">
        <v>201</v>
      </c>
      <c r="Z149" s="138"/>
      <c r="AA149" s="399">
        <f t="shared" si="88"/>
        <v>3</v>
      </c>
      <c r="AB149" s="138"/>
      <c r="AC149" s="399">
        <f t="shared" si="89"/>
        <v>960736.9776950001</v>
      </c>
      <c r="AE149" s="160">
        <f t="shared" si="81"/>
        <v>512264.95650697406</v>
      </c>
      <c r="AF149" s="160"/>
      <c r="AG149" s="160">
        <f t="shared" si="82"/>
        <v>309069.0857244815</v>
      </c>
      <c r="AH149" s="160"/>
      <c r="AI149" s="160">
        <f t="shared" si="83"/>
        <v>0</v>
      </c>
      <c r="AJ149" s="160"/>
      <c r="AK149" s="160">
        <f t="shared" si="84"/>
        <v>0</v>
      </c>
      <c r="AL149" s="160"/>
      <c r="AM149" s="160">
        <f t="shared" si="85"/>
        <v>0</v>
      </c>
      <c r="AN149" s="160"/>
      <c r="AO149" s="160">
        <f t="shared" si="86"/>
        <v>0</v>
      </c>
      <c r="AP149" s="160"/>
      <c r="AQ149" s="160">
        <f t="shared" si="87"/>
        <v>139402.93546354453</v>
      </c>
      <c r="AS149" s="154"/>
    </row>
    <row r="150" spans="1:45" s="135" customFormat="1" ht="12.75">
      <c r="A150" s="352"/>
      <c r="B150" s="448">
        <v>331.1</v>
      </c>
      <c r="C150" s="353"/>
      <c r="D150" s="395" t="s">
        <v>39</v>
      </c>
      <c r="E150" s="138"/>
      <c r="F150" s="150">
        <v>4</v>
      </c>
      <c r="G150" s="139"/>
      <c r="H150" s="146">
        <v>1197737.472305</v>
      </c>
      <c r="I150" s="139"/>
      <c r="J150" s="218">
        <f t="shared" si="75"/>
        <v>578507.199123315</v>
      </c>
      <c r="K150" s="353"/>
      <c r="L150" s="218">
        <f t="shared" si="76"/>
        <v>243260.48062514552</v>
      </c>
      <c r="M150" s="353"/>
      <c r="N150" s="218">
        <f t="shared" si="77"/>
        <v>78451.80443597751</v>
      </c>
      <c r="O150" s="353"/>
      <c r="P150" s="218">
        <f t="shared" si="78"/>
        <v>44436.060222515494</v>
      </c>
      <c r="Q150" s="353"/>
      <c r="R150" s="218">
        <f t="shared" si="79"/>
        <v>0</v>
      </c>
      <c r="S150" s="353"/>
      <c r="T150" s="218">
        <f t="shared" si="80"/>
        <v>253081.9278980465</v>
      </c>
      <c r="U150" s="162"/>
      <c r="V150"/>
      <c r="W150" s="396">
        <v>331.1</v>
      </c>
      <c r="X150" s="353"/>
      <c r="Y150" s="395" t="s">
        <v>202</v>
      </c>
      <c r="Z150" s="138"/>
      <c r="AA150" s="399">
        <f t="shared" si="88"/>
        <v>4</v>
      </c>
      <c r="AB150" s="138"/>
      <c r="AC150" s="399">
        <f aca="true" t="shared" si="90" ref="AC150:AC156">+H150</f>
        <v>1197737.472305</v>
      </c>
      <c r="AE150" s="160">
        <f t="shared" si="81"/>
        <v>392139.24843265704</v>
      </c>
      <c r="AF150" s="160"/>
      <c r="AG150" s="160">
        <f t="shared" si="82"/>
        <v>0</v>
      </c>
      <c r="AH150" s="160"/>
      <c r="AI150" s="160">
        <f t="shared" si="83"/>
        <v>552516.2959742965</v>
      </c>
      <c r="AJ150" s="160"/>
      <c r="AK150" s="160">
        <f t="shared" si="84"/>
        <v>0</v>
      </c>
      <c r="AL150" s="160"/>
      <c r="AM150" s="160">
        <f t="shared" si="85"/>
        <v>0</v>
      </c>
      <c r="AN150" s="160"/>
      <c r="AO150" s="160">
        <f t="shared" si="86"/>
        <v>0</v>
      </c>
      <c r="AP150" s="160"/>
      <c r="AQ150" s="160">
        <f t="shared" si="87"/>
        <v>253081.9278980465</v>
      </c>
      <c r="AS150" s="154"/>
    </row>
    <row r="151" spans="1:45" s="135" customFormat="1" ht="12.75">
      <c r="A151" s="352"/>
      <c r="B151" s="448">
        <v>331.2</v>
      </c>
      <c r="D151" s="395" t="s">
        <v>38</v>
      </c>
      <c r="E151" s="138"/>
      <c r="F151" s="150">
        <v>3</v>
      </c>
      <c r="G151" s="139"/>
      <c r="H151" s="146">
        <v>47591.137985</v>
      </c>
      <c r="I151" s="139"/>
      <c r="J151" s="218">
        <f t="shared" si="75"/>
        <v>22315.484601166503</v>
      </c>
      <c r="K151" s="353"/>
      <c r="L151" s="218">
        <f t="shared" si="76"/>
        <v>10284.444918558502</v>
      </c>
      <c r="M151" s="353"/>
      <c r="N151" s="218">
        <f t="shared" si="77"/>
        <v>3959.582680352</v>
      </c>
      <c r="O151" s="353"/>
      <c r="P151" s="218">
        <f t="shared" si="78"/>
        <v>2241.5425990935</v>
      </c>
      <c r="Q151" s="353"/>
      <c r="R151" s="218">
        <f t="shared" si="79"/>
        <v>1884.6090642059999</v>
      </c>
      <c r="S151" s="353"/>
      <c r="T151" s="218">
        <f t="shared" si="80"/>
        <v>6905.474121623501</v>
      </c>
      <c r="U151" s="162"/>
      <c r="V151"/>
      <c r="W151" s="396">
        <v>331.2</v>
      </c>
      <c r="Y151" s="395" t="s">
        <v>201</v>
      </c>
      <c r="Z151" s="138"/>
      <c r="AA151" s="399">
        <f t="shared" si="88"/>
        <v>3</v>
      </c>
      <c r="AB151" s="138"/>
      <c r="AC151" s="399">
        <f t="shared" si="90"/>
        <v>47591.137985</v>
      </c>
      <c r="AE151" s="160">
        <f t="shared" si="81"/>
        <v>25375.594773602003</v>
      </c>
      <c r="AF151" s="160"/>
      <c r="AG151" s="160">
        <f t="shared" si="82"/>
        <v>15310.069089774499</v>
      </c>
      <c r="AH151" s="160"/>
      <c r="AI151" s="160">
        <f t="shared" si="83"/>
        <v>0</v>
      </c>
      <c r="AJ151" s="160"/>
      <c r="AK151" s="160">
        <f t="shared" si="84"/>
        <v>0</v>
      </c>
      <c r="AL151" s="160"/>
      <c r="AM151" s="160">
        <f t="shared" si="85"/>
        <v>0</v>
      </c>
      <c r="AN151" s="160"/>
      <c r="AO151" s="160">
        <f t="shared" si="86"/>
        <v>0</v>
      </c>
      <c r="AP151" s="160"/>
      <c r="AQ151" s="160">
        <f t="shared" si="87"/>
        <v>6905.474121623501</v>
      </c>
      <c r="AS151" s="154"/>
    </row>
    <row r="152" spans="1:45" s="135" customFormat="1" ht="12.75">
      <c r="A152" s="352"/>
      <c r="B152" s="448">
        <v>331.2</v>
      </c>
      <c r="D152" s="395" t="s">
        <v>39</v>
      </c>
      <c r="E152" s="138"/>
      <c r="F152" s="150">
        <v>4</v>
      </c>
      <c r="G152" s="139"/>
      <c r="H152" s="146">
        <v>59331.212015</v>
      </c>
      <c r="I152" s="139"/>
      <c r="J152" s="218">
        <f t="shared" si="75"/>
        <v>28656.975403244996</v>
      </c>
      <c r="K152" s="353"/>
      <c r="L152" s="218">
        <f t="shared" si="76"/>
        <v>12050.1691602465</v>
      </c>
      <c r="M152" s="353"/>
      <c r="N152" s="218">
        <f t="shared" si="77"/>
        <v>3886.1943869825</v>
      </c>
      <c r="O152" s="353"/>
      <c r="P152" s="218">
        <f t="shared" si="78"/>
        <v>2201.1879657564996</v>
      </c>
      <c r="Q152" s="353"/>
      <c r="R152" s="218">
        <f t="shared" si="79"/>
        <v>0</v>
      </c>
      <c r="S152" s="353"/>
      <c r="T152" s="218">
        <f t="shared" si="80"/>
        <v>12536.685098769498</v>
      </c>
      <c r="U152" s="162"/>
      <c r="V152"/>
      <c r="W152" s="396">
        <v>331.2</v>
      </c>
      <c r="Y152" s="395" t="s">
        <v>202</v>
      </c>
      <c r="Z152" s="138"/>
      <c r="AA152" s="399">
        <f t="shared" si="88"/>
        <v>4</v>
      </c>
      <c r="AB152" s="138"/>
      <c r="AC152" s="399">
        <f t="shared" si="90"/>
        <v>59331.212015</v>
      </c>
      <c r="AE152" s="160">
        <f t="shared" si="81"/>
        <v>19425.038813711002</v>
      </c>
      <c r="AF152" s="160"/>
      <c r="AG152" s="160">
        <f t="shared" si="82"/>
        <v>0</v>
      </c>
      <c r="AH152" s="160"/>
      <c r="AI152" s="160">
        <f t="shared" si="83"/>
        <v>27369.4881025195</v>
      </c>
      <c r="AJ152" s="160"/>
      <c r="AK152" s="160">
        <f t="shared" si="84"/>
        <v>0</v>
      </c>
      <c r="AL152" s="160"/>
      <c r="AM152" s="160">
        <f t="shared" si="85"/>
        <v>0</v>
      </c>
      <c r="AN152" s="160"/>
      <c r="AO152" s="160">
        <f t="shared" si="86"/>
        <v>0</v>
      </c>
      <c r="AP152" s="160"/>
      <c r="AQ152" s="160">
        <f t="shared" si="87"/>
        <v>12536.685098769498</v>
      </c>
      <c r="AS152" s="154"/>
    </row>
    <row r="153" spans="1:45" s="135" customFormat="1" ht="13.5" customHeight="1">
      <c r="A153" s="352"/>
      <c r="B153" s="448">
        <v>331.3</v>
      </c>
      <c r="C153" s="353"/>
      <c r="D153" s="395" t="s">
        <v>38</v>
      </c>
      <c r="E153" s="138"/>
      <c r="F153" s="150">
        <v>3</v>
      </c>
      <c r="G153" s="139"/>
      <c r="H153" s="146">
        <v>18081.350712</v>
      </c>
      <c r="I153" s="139"/>
      <c r="J153" s="218">
        <f t="shared" si="75"/>
        <v>8478.345348856801</v>
      </c>
      <c r="K153" s="353"/>
      <c r="L153" s="218">
        <f t="shared" si="76"/>
        <v>3907.3798888632</v>
      </c>
      <c r="M153" s="353"/>
      <c r="N153" s="218">
        <f t="shared" si="77"/>
        <v>1504.3683792384</v>
      </c>
      <c r="O153" s="353"/>
      <c r="P153" s="218">
        <f t="shared" si="78"/>
        <v>851.6316185352</v>
      </c>
      <c r="Q153" s="353"/>
      <c r="R153" s="218">
        <f t="shared" si="79"/>
        <v>716.0214881951999</v>
      </c>
      <c r="S153" s="353"/>
      <c r="T153" s="218">
        <f t="shared" si="80"/>
        <v>2623.6039883112</v>
      </c>
      <c r="U153" s="162"/>
      <c r="V153"/>
      <c r="W153" s="396">
        <v>331.3</v>
      </c>
      <c r="X153" s="353"/>
      <c r="Y153" s="395" t="s">
        <v>203</v>
      </c>
      <c r="Z153" s="138"/>
      <c r="AA153" s="399">
        <f t="shared" si="88"/>
        <v>3</v>
      </c>
      <c r="AB153" s="138"/>
      <c r="AC153" s="399">
        <f t="shared" si="90"/>
        <v>18081.350712</v>
      </c>
      <c r="AE153" s="160">
        <f t="shared" si="81"/>
        <v>9640.9761996384</v>
      </c>
      <c r="AF153" s="160"/>
      <c r="AG153" s="160">
        <f t="shared" si="82"/>
        <v>5816.770524050399</v>
      </c>
      <c r="AH153" s="160"/>
      <c r="AI153" s="160">
        <f t="shared" si="83"/>
        <v>0</v>
      </c>
      <c r="AJ153" s="160"/>
      <c r="AK153" s="160">
        <f t="shared" si="84"/>
        <v>0</v>
      </c>
      <c r="AL153" s="160"/>
      <c r="AM153" s="160">
        <f t="shared" si="85"/>
        <v>0</v>
      </c>
      <c r="AN153" s="160"/>
      <c r="AO153" s="160">
        <f t="shared" si="86"/>
        <v>0</v>
      </c>
      <c r="AP153" s="160"/>
      <c r="AQ153" s="160">
        <f t="shared" si="87"/>
        <v>2623.6039883112</v>
      </c>
      <c r="AS153" s="154"/>
    </row>
    <row r="154" spans="1:45" s="135" customFormat="1" ht="13.5" customHeight="1">
      <c r="A154" s="352"/>
      <c r="B154" s="448">
        <v>331.3</v>
      </c>
      <c r="C154" s="353"/>
      <c r="D154" s="395" t="s">
        <v>39</v>
      </c>
      <c r="E154" s="138"/>
      <c r="F154" s="150">
        <v>4</v>
      </c>
      <c r="G154" s="139"/>
      <c r="H154" s="146">
        <v>22541.769288</v>
      </c>
      <c r="I154" s="139"/>
      <c r="J154" s="218">
        <f t="shared" si="75"/>
        <v>10887.674566103999</v>
      </c>
      <c r="K154" s="353"/>
      <c r="L154" s="218">
        <f t="shared" si="76"/>
        <v>4578.2333423928</v>
      </c>
      <c r="M154" s="353"/>
      <c r="N154" s="218">
        <f t="shared" si="77"/>
        <v>1476.485888364</v>
      </c>
      <c r="O154" s="353"/>
      <c r="P154" s="218">
        <f t="shared" si="78"/>
        <v>836.2996405847998</v>
      </c>
      <c r="Q154" s="353"/>
      <c r="R154" s="218">
        <f t="shared" si="79"/>
        <v>0</v>
      </c>
      <c r="S154" s="353"/>
      <c r="T154" s="218">
        <f t="shared" si="80"/>
        <v>4763.0758505544</v>
      </c>
      <c r="U154" s="162"/>
      <c r="V154"/>
      <c r="W154" s="396">
        <v>331.3</v>
      </c>
      <c r="X154" s="353"/>
      <c r="Y154" s="395" t="s">
        <v>204</v>
      </c>
      <c r="Z154" s="138"/>
      <c r="AA154" s="399">
        <f t="shared" si="88"/>
        <v>4</v>
      </c>
      <c r="AB154" s="138"/>
      <c r="AC154" s="399">
        <f t="shared" si="90"/>
        <v>22541.769288</v>
      </c>
      <c r="AE154" s="160">
        <f t="shared" si="81"/>
        <v>7380.175264891201</v>
      </c>
      <c r="AF154" s="160"/>
      <c r="AG154" s="160">
        <f t="shared" si="82"/>
        <v>0</v>
      </c>
      <c r="AH154" s="160"/>
      <c r="AI154" s="160">
        <f t="shared" si="83"/>
        <v>10398.518172554399</v>
      </c>
      <c r="AJ154" s="160"/>
      <c r="AK154" s="160">
        <f t="shared" si="84"/>
        <v>0</v>
      </c>
      <c r="AL154" s="160"/>
      <c r="AM154" s="160">
        <f t="shared" si="85"/>
        <v>0</v>
      </c>
      <c r="AN154" s="160"/>
      <c r="AO154" s="160">
        <f t="shared" si="86"/>
        <v>0</v>
      </c>
      <c r="AP154" s="160"/>
      <c r="AQ154" s="160">
        <f t="shared" si="87"/>
        <v>4763.0758505544</v>
      </c>
      <c r="AS154" s="154"/>
    </row>
    <row r="155" spans="1:45" s="135" customFormat="1" ht="12.75">
      <c r="A155" s="352"/>
      <c r="B155" s="448">
        <v>333.1</v>
      </c>
      <c r="C155" s="353"/>
      <c r="D155" s="395" t="s">
        <v>189</v>
      </c>
      <c r="E155" s="138"/>
      <c r="F155" s="150">
        <v>9</v>
      </c>
      <c r="G155" s="139"/>
      <c r="H155" s="146">
        <v>566612.22</v>
      </c>
      <c r="I155" s="139"/>
      <c r="J155" s="218">
        <f t="shared" si="75"/>
        <v>474991.024026</v>
      </c>
      <c r="K155" s="353"/>
      <c r="L155" s="218">
        <f t="shared" si="76"/>
        <v>76662.633366</v>
      </c>
      <c r="M155" s="353"/>
      <c r="N155" s="218">
        <f t="shared" si="77"/>
        <v>3796.3018739999998</v>
      </c>
      <c r="O155" s="353"/>
      <c r="P155" s="218">
        <f t="shared" si="78"/>
        <v>10992.277068</v>
      </c>
      <c r="Q155" s="353"/>
      <c r="R155" s="218">
        <f t="shared" si="79"/>
        <v>169.98366599999997</v>
      </c>
      <c r="S155" s="353"/>
      <c r="T155" s="218">
        <f t="shared" si="80"/>
        <v>0</v>
      </c>
      <c r="U155" s="291"/>
      <c r="W155" s="396">
        <v>333.1</v>
      </c>
      <c r="X155" s="353"/>
      <c r="Y155" s="395" t="s">
        <v>189</v>
      </c>
      <c r="Z155" s="138"/>
      <c r="AA155" s="399">
        <f t="shared" si="88"/>
        <v>9</v>
      </c>
      <c r="AB155" s="138"/>
      <c r="AC155" s="399">
        <f t="shared" si="90"/>
        <v>566612.22</v>
      </c>
      <c r="AE155" s="160">
        <f t="shared" si="81"/>
        <v>0</v>
      </c>
      <c r="AF155" s="160"/>
      <c r="AG155" s="160">
        <f t="shared" si="82"/>
        <v>0</v>
      </c>
      <c r="AH155" s="160"/>
      <c r="AI155" s="160">
        <f t="shared" si="83"/>
        <v>0</v>
      </c>
      <c r="AJ155" s="160"/>
      <c r="AK155" s="160">
        <f t="shared" si="84"/>
        <v>0</v>
      </c>
      <c r="AL155" s="160"/>
      <c r="AM155" s="160">
        <f t="shared" si="85"/>
        <v>566612.22</v>
      </c>
      <c r="AN155" s="160"/>
      <c r="AO155" s="160">
        <f t="shared" si="86"/>
        <v>0</v>
      </c>
      <c r="AP155" s="160"/>
      <c r="AQ155" s="160">
        <f t="shared" si="87"/>
        <v>0</v>
      </c>
      <c r="AS155" s="154"/>
    </row>
    <row r="156" spans="2:45" ht="12.75">
      <c r="B156" s="448">
        <v>333.2</v>
      </c>
      <c r="D156" s="395" t="s">
        <v>392</v>
      </c>
      <c r="E156" s="138"/>
      <c r="F156" s="150">
        <v>9</v>
      </c>
      <c r="G156" s="139"/>
      <c r="H156" s="146">
        <v>9750</v>
      </c>
      <c r="I156" s="139"/>
      <c r="J156" s="218">
        <f t="shared" si="75"/>
        <v>8173.425</v>
      </c>
      <c r="K156" s="353"/>
      <c r="L156" s="218">
        <f t="shared" si="76"/>
        <v>1319.175</v>
      </c>
      <c r="M156" s="353"/>
      <c r="N156" s="218">
        <f t="shared" si="77"/>
        <v>65.325</v>
      </c>
      <c r="O156" s="353"/>
      <c r="P156" s="218">
        <f t="shared" si="78"/>
        <v>189.15</v>
      </c>
      <c r="Q156" s="353"/>
      <c r="R156" s="218">
        <f t="shared" si="79"/>
        <v>2.925</v>
      </c>
      <c r="S156" s="353"/>
      <c r="T156" s="218">
        <f t="shared" si="80"/>
        <v>0</v>
      </c>
      <c r="U156" s="162"/>
      <c r="W156" s="396">
        <v>333.2</v>
      </c>
      <c r="X156" s="353"/>
      <c r="Y156" s="395" t="s">
        <v>392</v>
      </c>
      <c r="Z156" s="138"/>
      <c r="AA156" s="399">
        <f t="shared" si="88"/>
        <v>9</v>
      </c>
      <c r="AB156" s="138"/>
      <c r="AC156" s="399">
        <f t="shared" si="90"/>
        <v>9750</v>
      </c>
      <c r="AD156" s="135"/>
      <c r="AE156" s="160">
        <f t="shared" si="81"/>
        <v>0</v>
      </c>
      <c r="AF156" s="160"/>
      <c r="AG156" s="160">
        <f t="shared" si="82"/>
        <v>0</v>
      </c>
      <c r="AH156" s="160"/>
      <c r="AI156" s="160">
        <f t="shared" si="83"/>
        <v>0</v>
      </c>
      <c r="AJ156" s="160"/>
      <c r="AK156" s="160">
        <f t="shared" si="84"/>
        <v>0</v>
      </c>
      <c r="AL156" s="160"/>
      <c r="AM156" s="160">
        <f t="shared" si="85"/>
        <v>9750</v>
      </c>
      <c r="AN156" s="160"/>
      <c r="AO156" s="160">
        <f t="shared" si="86"/>
        <v>0</v>
      </c>
      <c r="AP156" s="160"/>
      <c r="AQ156" s="160">
        <f t="shared" si="87"/>
        <v>0</v>
      </c>
      <c r="AR156" s="135"/>
      <c r="AS156" s="154"/>
    </row>
    <row r="157" spans="2:45" ht="12.75">
      <c r="B157" s="448">
        <v>334.1</v>
      </c>
      <c r="D157" s="395" t="s">
        <v>260</v>
      </c>
      <c r="E157" s="138"/>
      <c r="F157" s="150">
        <v>8</v>
      </c>
      <c r="G157" s="139"/>
      <c r="H157" s="146">
        <v>201060</v>
      </c>
      <c r="I157" s="139"/>
      <c r="J157" s="218">
        <f t="shared" si="75"/>
        <v>156183.408</v>
      </c>
      <c r="K157" s="353"/>
      <c r="L157" s="218">
        <f t="shared" si="76"/>
        <v>35909.316</v>
      </c>
      <c r="M157" s="353"/>
      <c r="N157" s="218">
        <f t="shared" si="77"/>
        <v>2774.628</v>
      </c>
      <c r="O157" s="353"/>
      <c r="P157" s="218">
        <f t="shared" si="78"/>
        <v>6031.8</v>
      </c>
      <c r="Q157" s="353"/>
      <c r="R157" s="218">
        <f t="shared" si="79"/>
        <v>160.848</v>
      </c>
      <c r="S157" s="353"/>
      <c r="T157" s="218">
        <f t="shared" si="80"/>
        <v>0</v>
      </c>
      <c r="U157" s="162"/>
      <c r="W157" s="396">
        <v>334.1</v>
      </c>
      <c r="X157" s="353"/>
      <c r="Y157" s="395" t="s">
        <v>260</v>
      </c>
      <c r="Z157" s="138"/>
      <c r="AA157" s="399">
        <f t="shared" si="88"/>
        <v>8</v>
      </c>
      <c r="AB157" s="138"/>
      <c r="AC157" s="399">
        <f t="shared" si="89"/>
        <v>201060</v>
      </c>
      <c r="AE157" s="160">
        <f t="shared" si="81"/>
        <v>0</v>
      </c>
      <c r="AF157" s="160"/>
      <c r="AG157" s="160">
        <f t="shared" si="82"/>
        <v>0</v>
      </c>
      <c r="AH157" s="160"/>
      <c r="AI157" s="160">
        <f t="shared" si="83"/>
        <v>0</v>
      </c>
      <c r="AJ157" s="160"/>
      <c r="AK157" s="160">
        <f t="shared" si="84"/>
        <v>201060</v>
      </c>
      <c r="AL157" s="160"/>
      <c r="AM157" s="160">
        <f t="shared" si="85"/>
        <v>0</v>
      </c>
      <c r="AN157" s="160"/>
      <c r="AO157" s="160">
        <f t="shared" si="86"/>
        <v>0</v>
      </c>
      <c r="AP157" s="160"/>
      <c r="AQ157" s="160">
        <f t="shared" si="87"/>
        <v>0</v>
      </c>
      <c r="AS157" s="159"/>
    </row>
    <row r="158" spans="2:45" ht="12.75">
      <c r="B158" s="448">
        <v>334.2</v>
      </c>
      <c r="D158" s="395" t="s">
        <v>260</v>
      </c>
      <c r="E158" s="138"/>
      <c r="F158" s="150">
        <v>8</v>
      </c>
      <c r="G158" s="139"/>
      <c r="H158" s="146">
        <v>261.6</v>
      </c>
      <c r="I158" s="139"/>
      <c r="J158" s="218">
        <f t="shared" si="75"/>
        <v>203.21088000000003</v>
      </c>
      <c r="K158" s="353"/>
      <c r="L158" s="218">
        <f t="shared" si="76"/>
        <v>46.72176</v>
      </c>
      <c r="M158" s="353"/>
      <c r="N158" s="218">
        <f t="shared" si="77"/>
        <v>3.6100800000000004</v>
      </c>
      <c r="O158" s="353"/>
      <c r="P158" s="218">
        <f t="shared" si="78"/>
        <v>7.848000000000001</v>
      </c>
      <c r="Q158" s="353"/>
      <c r="R158" s="218">
        <f t="shared" si="79"/>
        <v>0.20928000000000002</v>
      </c>
      <c r="S158" s="353"/>
      <c r="T158" s="218">
        <f t="shared" si="80"/>
        <v>0</v>
      </c>
      <c r="U158" s="162"/>
      <c r="W158" s="396">
        <v>334.2</v>
      </c>
      <c r="X158" s="353"/>
      <c r="Y158" s="395" t="s">
        <v>260</v>
      </c>
      <c r="Z158" s="138"/>
      <c r="AA158" s="399">
        <f t="shared" si="88"/>
        <v>8</v>
      </c>
      <c r="AB158" s="138"/>
      <c r="AC158" s="399">
        <f t="shared" si="89"/>
        <v>261.6</v>
      </c>
      <c r="AE158" s="160">
        <f t="shared" si="81"/>
        <v>0</v>
      </c>
      <c r="AF158" s="160"/>
      <c r="AG158" s="160">
        <f t="shared" si="82"/>
        <v>0</v>
      </c>
      <c r="AH158" s="160"/>
      <c r="AI158" s="160">
        <f t="shared" si="83"/>
        <v>0</v>
      </c>
      <c r="AJ158" s="160"/>
      <c r="AK158" s="160">
        <f t="shared" si="84"/>
        <v>261.6</v>
      </c>
      <c r="AL158" s="160"/>
      <c r="AM158" s="160">
        <f t="shared" si="85"/>
        <v>0</v>
      </c>
      <c r="AN158" s="160"/>
      <c r="AO158" s="160">
        <f t="shared" si="86"/>
        <v>0</v>
      </c>
      <c r="AP158" s="160"/>
      <c r="AQ158" s="160">
        <f t="shared" si="87"/>
        <v>0</v>
      </c>
      <c r="AS158" s="159"/>
    </row>
    <row r="159" spans="2:45" ht="12.75">
      <c r="B159" s="448">
        <v>335.1</v>
      </c>
      <c r="D159" s="395" t="s">
        <v>393</v>
      </c>
      <c r="E159" s="138"/>
      <c r="F159" s="150">
        <v>7</v>
      </c>
      <c r="G159" s="139"/>
      <c r="H159" s="146">
        <v>160682.98</v>
      </c>
      <c r="I159" s="139"/>
      <c r="J159" s="218">
        <f t="shared" si="75"/>
        <v>0</v>
      </c>
      <c r="K159" s="353"/>
      <c r="L159" s="218">
        <f t="shared" si="76"/>
        <v>0</v>
      </c>
      <c r="M159" s="353"/>
      <c r="N159" s="218">
        <f t="shared" si="77"/>
        <v>0</v>
      </c>
      <c r="O159" s="353"/>
      <c r="P159" s="218">
        <f t="shared" si="78"/>
        <v>0</v>
      </c>
      <c r="Q159" s="353"/>
      <c r="R159" s="218">
        <f t="shared" si="79"/>
        <v>0</v>
      </c>
      <c r="S159" s="353"/>
      <c r="T159" s="218">
        <f t="shared" si="80"/>
        <v>160682.98</v>
      </c>
      <c r="U159" s="162"/>
      <c r="W159" s="396">
        <v>335.1</v>
      </c>
      <c r="X159" s="353"/>
      <c r="Y159" s="395" t="s">
        <v>393</v>
      </c>
      <c r="Z159" s="138"/>
      <c r="AA159" s="399">
        <f t="shared" si="88"/>
        <v>7</v>
      </c>
      <c r="AB159" s="138"/>
      <c r="AC159" s="399">
        <f t="shared" si="89"/>
        <v>160682.98</v>
      </c>
      <c r="AE159" s="160">
        <f t="shared" si="81"/>
        <v>0</v>
      </c>
      <c r="AF159" s="160"/>
      <c r="AG159" s="160">
        <f t="shared" si="82"/>
        <v>0</v>
      </c>
      <c r="AH159" s="160"/>
      <c r="AI159" s="160">
        <f t="shared" si="83"/>
        <v>0</v>
      </c>
      <c r="AJ159" s="160"/>
      <c r="AK159" s="160">
        <f t="shared" si="84"/>
        <v>0</v>
      </c>
      <c r="AL159" s="160"/>
      <c r="AM159" s="160">
        <f t="shared" si="85"/>
        <v>0</v>
      </c>
      <c r="AN159" s="160"/>
      <c r="AO159" s="160">
        <f t="shared" si="86"/>
        <v>0</v>
      </c>
      <c r="AP159" s="160"/>
      <c r="AQ159" s="160">
        <f t="shared" si="87"/>
        <v>160682.98</v>
      </c>
      <c r="AS159" s="159"/>
    </row>
    <row r="160" spans="2:45" ht="12.75">
      <c r="B160" s="448">
        <v>335.3</v>
      </c>
      <c r="D160" s="395" t="s">
        <v>394</v>
      </c>
      <c r="E160" s="138"/>
      <c r="F160" s="150">
        <v>7</v>
      </c>
      <c r="G160" s="139"/>
      <c r="H160" s="146">
        <v>4166.67</v>
      </c>
      <c r="I160" s="139"/>
      <c r="J160" s="218">
        <f t="shared" si="75"/>
        <v>0</v>
      </c>
      <c r="K160" s="353"/>
      <c r="L160" s="218">
        <f t="shared" si="76"/>
        <v>0</v>
      </c>
      <c r="M160" s="353"/>
      <c r="N160" s="218">
        <f t="shared" si="77"/>
        <v>0</v>
      </c>
      <c r="O160" s="353"/>
      <c r="P160" s="218">
        <f t="shared" si="78"/>
        <v>0</v>
      </c>
      <c r="Q160" s="353"/>
      <c r="R160" s="218">
        <f t="shared" si="79"/>
        <v>0</v>
      </c>
      <c r="S160" s="353"/>
      <c r="T160" s="218">
        <f t="shared" si="80"/>
        <v>4166.67</v>
      </c>
      <c r="U160" s="162"/>
      <c r="W160" s="396">
        <v>335.3</v>
      </c>
      <c r="X160" s="353"/>
      <c r="Y160" s="395" t="s">
        <v>394</v>
      </c>
      <c r="Z160" s="138"/>
      <c r="AA160" s="399">
        <f t="shared" si="88"/>
        <v>7</v>
      </c>
      <c r="AB160" s="138"/>
      <c r="AC160" s="399">
        <f t="shared" si="89"/>
        <v>4166.67</v>
      </c>
      <c r="AE160" s="160">
        <f t="shared" si="81"/>
        <v>0</v>
      </c>
      <c r="AF160" s="160"/>
      <c r="AG160" s="160">
        <f t="shared" si="82"/>
        <v>0</v>
      </c>
      <c r="AH160" s="160"/>
      <c r="AI160" s="160">
        <f t="shared" si="83"/>
        <v>0</v>
      </c>
      <c r="AJ160" s="160"/>
      <c r="AK160" s="160">
        <f t="shared" si="84"/>
        <v>0</v>
      </c>
      <c r="AL160" s="160"/>
      <c r="AM160" s="160">
        <f t="shared" si="85"/>
        <v>0</v>
      </c>
      <c r="AN160" s="160"/>
      <c r="AO160" s="160">
        <f t="shared" si="86"/>
        <v>0</v>
      </c>
      <c r="AP160" s="160"/>
      <c r="AQ160" s="160">
        <f t="shared" si="87"/>
        <v>4166.67</v>
      </c>
      <c r="AS160" s="159"/>
    </row>
    <row r="161" spans="2:45" ht="12.75">
      <c r="B161" s="448">
        <v>339.1</v>
      </c>
      <c r="D161" s="395" t="s">
        <v>395</v>
      </c>
      <c r="E161" s="138"/>
      <c r="F161" s="150">
        <v>14</v>
      </c>
      <c r="G161" s="139"/>
      <c r="H161" s="146">
        <v>323660.64</v>
      </c>
      <c r="I161" s="139"/>
      <c r="J161" s="218">
        <f t="shared" si="75"/>
        <v>191477.63462400003</v>
      </c>
      <c r="K161" s="353"/>
      <c r="L161" s="218">
        <f t="shared" si="76"/>
        <v>61819.18224</v>
      </c>
      <c r="M161" s="353"/>
      <c r="N161" s="218">
        <f t="shared" si="77"/>
        <v>18934.14744</v>
      </c>
      <c r="O161" s="353"/>
      <c r="P161" s="218">
        <f t="shared" si="78"/>
        <v>11878.345488</v>
      </c>
      <c r="Q161" s="353"/>
      <c r="R161" s="218">
        <f t="shared" si="79"/>
        <v>6020.087904</v>
      </c>
      <c r="S161" s="353"/>
      <c r="T161" s="218">
        <f t="shared" si="80"/>
        <v>33531.242304</v>
      </c>
      <c r="U161" s="162"/>
      <c r="W161" s="396">
        <v>339.1</v>
      </c>
      <c r="X161" s="353"/>
      <c r="Y161" s="395" t="s">
        <v>395</v>
      </c>
      <c r="Z161" s="138"/>
      <c r="AA161" s="399">
        <f t="shared" si="88"/>
        <v>14</v>
      </c>
      <c r="AB161" s="138"/>
      <c r="AC161" s="399">
        <f t="shared" si="89"/>
        <v>323660.64</v>
      </c>
      <c r="AE161" s="160">
        <f t="shared" si="81"/>
        <v>108717.608976</v>
      </c>
      <c r="AF161" s="160"/>
      <c r="AG161" s="160">
        <f t="shared" si="82"/>
        <v>45409.587792000006</v>
      </c>
      <c r="AH161" s="160"/>
      <c r="AI161" s="160">
        <f t="shared" si="83"/>
        <v>47124.989184000005</v>
      </c>
      <c r="AJ161" s="160"/>
      <c r="AK161" s="160">
        <f t="shared" si="84"/>
        <v>23983.253424000002</v>
      </c>
      <c r="AL161" s="160"/>
      <c r="AM161" s="160">
        <f t="shared" si="85"/>
        <v>25148.431728000003</v>
      </c>
      <c r="AN161" s="160"/>
      <c r="AO161" s="160">
        <f t="shared" si="86"/>
        <v>39745.526592</v>
      </c>
      <c r="AP161" s="160"/>
      <c r="AQ161" s="160">
        <f t="shared" si="87"/>
        <v>33531.242304</v>
      </c>
      <c r="AS161" s="159"/>
    </row>
    <row r="162" spans="2:45" ht="12.75">
      <c r="B162" s="448">
        <v>339.2</v>
      </c>
      <c r="D162" s="395" t="s">
        <v>395</v>
      </c>
      <c r="E162" s="293"/>
      <c r="F162" s="150">
        <v>14</v>
      </c>
      <c r="G162" s="225"/>
      <c r="H162" s="146">
        <v>942.35</v>
      </c>
      <c r="I162" s="139"/>
      <c r="J162" s="218">
        <f t="shared" si="75"/>
        <v>557.49426</v>
      </c>
      <c r="K162" s="353"/>
      <c r="L162" s="218">
        <f t="shared" si="76"/>
        <v>179.98885</v>
      </c>
      <c r="M162" s="353"/>
      <c r="N162" s="218">
        <f t="shared" si="77"/>
        <v>55.127475000000004</v>
      </c>
      <c r="O162" s="353"/>
      <c r="P162" s="218">
        <f t="shared" si="78"/>
        <v>34.584245</v>
      </c>
      <c r="Q162" s="353"/>
      <c r="R162" s="218">
        <f t="shared" si="79"/>
        <v>17.52771</v>
      </c>
      <c r="S162" s="353"/>
      <c r="T162" s="218">
        <f t="shared" si="80"/>
        <v>97.62746</v>
      </c>
      <c r="U162" s="162"/>
      <c r="W162" s="396">
        <v>339.2</v>
      </c>
      <c r="X162" s="353"/>
      <c r="Y162" s="395" t="s">
        <v>395</v>
      </c>
      <c r="Z162" s="293"/>
      <c r="AA162" s="399">
        <f t="shared" si="88"/>
        <v>14</v>
      </c>
      <c r="AB162" s="138"/>
      <c r="AC162" s="399">
        <f t="shared" si="89"/>
        <v>942.35</v>
      </c>
      <c r="AE162" s="160">
        <f t="shared" si="81"/>
        <v>316.535365</v>
      </c>
      <c r="AF162" s="160"/>
      <c r="AG162" s="160">
        <f t="shared" si="82"/>
        <v>132.21170500000002</v>
      </c>
      <c r="AH162" s="160"/>
      <c r="AI162" s="160">
        <f t="shared" si="83"/>
        <v>137.20616</v>
      </c>
      <c r="AJ162" s="160"/>
      <c r="AK162" s="160">
        <f t="shared" si="84"/>
        <v>69.828135</v>
      </c>
      <c r="AL162" s="160"/>
      <c r="AM162" s="160">
        <f t="shared" si="85"/>
        <v>73.220595</v>
      </c>
      <c r="AN162" s="160"/>
      <c r="AO162" s="160">
        <f t="shared" si="86"/>
        <v>115.72058000000001</v>
      </c>
      <c r="AP162" s="160"/>
      <c r="AQ162" s="160">
        <f t="shared" si="87"/>
        <v>97.62746</v>
      </c>
      <c r="AS162" s="159"/>
    </row>
    <row r="163" spans="2:45" ht="12.75">
      <c r="B163" s="448">
        <v>340.1</v>
      </c>
      <c r="D163" s="395" t="s">
        <v>396</v>
      </c>
      <c r="E163" s="138"/>
      <c r="F163" s="150">
        <v>14</v>
      </c>
      <c r="G163" s="139"/>
      <c r="H163" s="146">
        <v>223043.63</v>
      </c>
      <c r="I163" s="139"/>
      <c r="J163" s="218">
        <f t="shared" si="75"/>
        <v>131952.611508</v>
      </c>
      <c r="K163" s="353"/>
      <c r="L163" s="218">
        <f t="shared" si="76"/>
        <v>42601.33333</v>
      </c>
      <c r="M163" s="353"/>
      <c r="N163" s="218">
        <f t="shared" si="77"/>
        <v>13048.052355000002</v>
      </c>
      <c r="O163" s="353"/>
      <c r="P163" s="218">
        <f t="shared" si="78"/>
        <v>8185.701221000001</v>
      </c>
      <c r="Q163" s="353"/>
      <c r="R163" s="218">
        <f t="shared" si="79"/>
        <v>4148.611518</v>
      </c>
      <c r="S163" s="353"/>
      <c r="T163" s="218">
        <f t="shared" si="80"/>
        <v>23107.320068</v>
      </c>
      <c r="U163" s="162"/>
      <c r="W163" s="396">
        <v>340.1</v>
      </c>
      <c r="X163" s="353"/>
      <c r="Y163" s="395" t="s">
        <v>396</v>
      </c>
      <c r="Z163" s="138"/>
      <c r="AA163" s="399">
        <f t="shared" si="88"/>
        <v>14</v>
      </c>
      <c r="AB163" s="138"/>
      <c r="AC163" s="399">
        <f t="shared" si="89"/>
        <v>223043.63</v>
      </c>
      <c r="AE163" s="160">
        <f t="shared" si="81"/>
        <v>74920.355317</v>
      </c>
      <c r="AF163" s="160"/>
      <c r="AG163" s="160">
        <f t="shared" si="82"/>
        <v>31293.021289000004</v>
      </c>
      <c r="AH163" s="160"/>
      <c r="AI163" s="160">
        <f t="shared" si="83"/>
        <v>32475.152528000002</v>
      </c>
      <c r="AJ163" s="160"/>
      <c r="AK163" s="160">
        <f t="shared" si="84"/>
        <v>16527.532983</v>
      </c>
      <c r="AL163" s="160"/>
      <c r="AM163" s="160">
        <f t="shared" si="85"/>
        <v>17330.490051</v>
      </c>
      <c r="AN163" s="160"/>
      <c r="AO163" s="160">
        <f t="shared" si="86"/>
        <v>27389.757764</v>
      </c>
      <c r="AP163" s="160"/>
      <c r="AQ163" s="160">
        <f t="shared" si="87"/>
        <v>23107.320068</v>
      </c>
      <c r="AS163" s="159"/>
    </row>
    <row r="164" spans="2:45" ht="12.75">
      <c r="B164" s="448">
        <v>340.2</v>
      </c>
      <c r="D164" s="395" t="s">
        <v>396</v>
      </c>
      <c r="E164" s="138"/>
      <c r="F164" s="150">
        <v>14</v>
      </c>
      <c r="G164" s="139"/>
      <c r="H164" s="146">
        <v>1043.77</v>
      </c>
      <c r="I164" s="139"/>
      <c r="J164" s="218">
        <f t="shared" si="75"/>
        <v>617.494332</v>
      </c>
      <c r="K164" s="353"/>
      <c r="L164" s="218">
        <f t="shared" si="76"/>
        <v>199.36007</v>
      </c>
      <c r="M164" s="353"/>
      <c r="N164" s="218">
        <f t="shared" si="77"/>
        <v>61.060545000000005</v>
      </c>
      <c r="O164" s="353"/>
      <c r="P164" s="218">
        <f t="shared" si="78"/>
        <v>38.306359</v>
      </c>
      <c r="Q164" s="353"/>
      <c r="R164" s="218">
        <f t="shared" si="79"/>
        <v>19.414122</v>
      </c>
      <c r="S164" s="353"/>
      <c r="T164" s="218">
        <f t="shared" si="80"/>
        <v>108.13457199999999</v>
      </c>
      <c r="U164" s="162"/>
      <c r="W164" s="396">
        <v>340.2</v>
      </c>
      <c r="X164" s="353"/>
      <c r="Y164" s="395" t="s">
        <v>396</v>
      </c>
      <c r="Z164" s="138"/>
      <c r="AA164" s="399">
        <f t="shared" si="88"/>
        <v>14</v>
      </c>
      <c r="AB164" s="138"/>
      <c r="AC164" s="399">
        <f t="shared" si="89"/>
        <v>1043.77</v>
      </c>
      <c r="AE164" s="160">
        <f t="shared" si="81"/>
        <v>350.60234299999996</v>
      </c>
      <c r="AF164" s="160"/>
      <c r="AG164" s="160">
        <f t="shared" si="82"/>
        <v>146.440931</v>
      </c>
      <c r="AH164" s="160"/>
      <c r="AI164" s="160">
        <f t="shared" si="83"/>
        <v>151.972912</v>
      </c>
      <c r="AJ164" s="160"/>
      <c r="AK164" s="160">
        <f t="shared" si="84"/>
        <v>77.343357</v>
      </c>
      <c r="AL164" s="160"/>
      <c r="AM164" s="160">
        <f t="shared" si="85"/>
        <v>81.10092900000001</v>
      </c>
      <c r="AN164" s="160"/>
      <c r="AO164" s="160">
        <f t="shared" si="86"/>
        <v>128.174956</v>
      </c>
      <c r="AP164" s="160"/>
      <c r="AQ164" s="160">
        <f t="shared" si="87"/>
        <v>108.13457199999999</v>
      </c>
      <c r="AS164" s="159"/>
    </row>
    <row r="165" spans="2:45" ht="12.75">
      <c r="B165" s="448">
        <v>341.1</v>
      </c>
      <c r="D165" s="395" t="s">
        <v>397</v>
      </c>
      <c r="E165" s="138"/>
      <c r="F165" s="150">
        <v>14</v>
      </c>
      <c r="G165" s="139"/>
      <c r="H165" s="146">
        <v>241904.36</v>
      </c>
      <c r="I165" s="139"/>
      <c r="J165" s="218">
        <f t="shared" si="75"/>
        <v>143110.619376</v>
      </c>
      <c r="K165" s="353"/>
      <c r="L165" s="218">
        <f t="shared" si="76"/>
        <v>46203.73276</v>
      </c>
      <c r="M165" s="353"/>
      <c r="N165" s="218">
        <f t="shared" si="77"/>
        <v>14151.40506</v>
      </c>
      <c r="O165" s="353"/>
      <c r="P165" s="218">
        <f t="shared" si="78"/>
        <v>8877.890012</v>
      </c>
      <c r="Q165" s="353"/>
      <c r="R165" s="218">
        <f t="shared" si="79"/>
        <v>4499.421095999999</v>
      </c>
      <c r="S165" s="353"/>
      <c r="T165" s="218">
        <f t="shared" si="80"/>
        <v>25061.291695999997</v>
      </c>
      <c r="U165" s="162"/>
      <c r="W165" s="396">
        <v>341.1</v>
      </c>
      <c r="X165" s="353"/>
      <c r="Y165" s="395" t="s">
        <v>397</v>
      </c>
      <c r="Z165" s="138"/>
      <c r="AA165" s="399">
        <f t="shared" si="88"/>
        <v>14</v>
      </c>
      <c r="AB165" s="138"/>
      <c r="AC165" s="399">
        <f t="shared" si="89"/>
        <v>241904.36</v>
      </c>
      <c r="AE165" s="160">
        <f t="shared" si="81"/>
        <v>81255.67452399999</v>
      </c>
      <c r="AF165" s="160"/>
      <c r="AG165" s="160">
        <f t="shared" si="82"/>
        <v>33939.181708</v>
      </c>
      <c r="AH165" s="160"/>
      <c r="AI165" s="160">
        <f t="shared" si="83"/>
        <v>35221.274816</v>
      </c>
      <c r="AJ165" s="160"/>
      <c r="AK165" s="160">
        <f t="shared" si="84"/>
        <v>17925.113075999998</v>
      </c>
      <c r="AL165" s="160"/>
      <c r="AM165" s="160">
        <f t="shared" si="85"/>
        <v>18795.968772</v>
      </c>
      <c r="AN165" s="160"/>
      <c r="AO165" s="160">
        <f t="shared" si="86"/>
        <v>29705.855408</v>
      </c>
      <c r="AP165" s="160"/>
      <c r="AQ165" s="160">
        <f t="shared" si="87"/>
        <v>25061.291695999997</v>
      </c>
      <c r="AS165" s="159"/>
    </row>
    <row r="166" spans="2:45" ht="12.75">
      <c r="B166" s="448">
        <v>341.2</v>
      </c>
      <c r="D166" s="395" t="s">
        <v>397</v>
      </c>
      <c r="E166" s="138"/>
      <c r="F166" s="150">
        <v>14</v>
      </c>
      <c r="G166" s="139"/>
      <c r="H166" s="146">
        <v>0</v>
      </c>
      <c r="I166" s="139"/>
      <c r="J166" s="218">
        <f t="shared" si="75"/>
        <v>0</v>
      </c>
      <c r="K166" s="353"/>
      <c r="L166" s="218">
        <f t="shared" si="76"/>
        <v>0</v>
      </c>
      <c r="M166" s="353"/>
      <c r="N166" s="218">
        <f t="shared" si="77"/>
        <v>0</v>
      </c>
      <c r="O166" s="353"/>
      <c r="P166" s="218">
        <f t="shared" si="78"/>
        <v>0</v>
      </c>
      <c r="Q166" s="353"/>
      <c r="R166" s="218">
        <f t="shared" si="79"/>
        <v>0</v>
      </c>
      <c r="S166" s="353"/>
      <c r="T166" s="218">
        <f t="shared" si="80"/>
        <v>0</v>
      </c>
      <c r="U166" s="162"/>
      <c r="W166" s="396">
        <v>341.2</v>
      </c>
      <c r="X166" s="353"/>
      <c r="Y166" s="395" t="s">
        <v>397</v>
      </c>
      <c r="Z166" s="138"/>
      <c r="AA166" s="399">
        <f t="shared" si="88"/>
        <v>14</v>
      </c>
      <c r="AB166" s="138"/>
      <c r="AC166" s="399">
        <f t="shared" si="89"/>
        <v>0</v>
      </c>
      <c r="AE166" s="160">
        <f t="shared" si="81"/>
        <v>0</v>
      </c>
      <c r="AF166" s="160"/>
      <c r="AG166" s="160">
        <f t="shared" si="82"/>
        <v>0</v>
      </c>
      <c r="AH166" s="160"/>
      <c r="AI166" s="160">
        <f t="shared" si="83"/>
        <v>0</v>
      </c>
      <c r="AJ166" s="160"/>
      <c r="AK166" s="160">
        <f t="shared" si="84"/>
        <v>0</v>
      </c>
      <c r="AL166" s="160"/>
      <c r="AM166" s="160">
        <f t="shared" si="85"/>
        <v>0</v>
      </c>
      <c r="AN166" s="160"/>
      <c r="AO166" s="160">
        <f t="shared" si="86"/>
        <v>0</v>
      </c>
      <c r="AP166" s="160"/>
      <c r="AQ166" s="160">
        <f t="shared" si="87"/>
        <v>0</v>
      </c>
      <c r="AS166" s="159"/>
    </row>
    <row r="167" spans="2:45" ht="12.75">
      <c r="B167" s="448">
        <v>342.1</v>
      </c>
      <c r="D167" s="395" t="s">
        <v>24</v>
      </c>
      <c r="E167" s="138"/>
      <c r="F167" s="150">
        <v>14</v>
      </c>
      <c r="G167" s="139"/>
      <c r="H167" s="146">
        <v>296.33</v>
      </c>
      <c r="I167" s="139"/>
      <c r="J167" s="218">
        <f t="shared" si="75"/>
        <v>175.308828</v>
      </c>
      <c r="K167" s="353"/>
      <c r="L167" s="218">
        <f t="shared" si="76"/>
        <v>56.59903</v>
      </c>
      <c r="M167" s="353"/>
      <c r="N167" s="218">
        <f t="shared" si="77"/>
        <v>17.335305</v>
      </c>
      <c r="O167" s="353"/>
      <c r="P167" s="218">
        <f t="shared" si="78"/>
        <v>10.875311</v>
      </c>
      <c r="Q167" s="353"/>
      <c r="R167" s="218">
        <f t="shared" si="79"/>
        <v>5.511737999999999</v>
      </c>
      <c r="S167" s="353"/>
      <c r="T167" s="218">
        <f t="shared" si="80"/>
        <v>30.699787999999998</v>
      </c>
      <c r="U167" s="162"/>
      <c r="W167" s="396">
        <v>342.1</v>
      </c>
      <c r="X167" s="353"/>
      <c r="Y167" s="395" t="s">
        <v>24</v>
      </c>
      <c r="Z167" s="138"/>
      <c r="AA167" s="399">
        <f t="shared" si="88"/>
        <v>14</v>
      </c>
      <c r="AB167" s="138"/>
      <c r="AC167" s="399">
        <f t="shared" si="89"/>
        <v>296.33</v>
      </c>
      <c r="AE167" s="160">
        <f t="shared" si="81"/>
        <v>99.537247</v>
      </c>
      <c r="AF167" s="160"/>
      <c r="AG167" s="160">
        <f t="shared" si="82"/>
        <v>41.575099</v>
      </c>
      <c r="AH167" s="160"/>
      <c r="AI167" s="160">
        <f t="shared" si="83"/>
        <v>43.145648</v>
      </c>
      <c r="AJ167" s="160"/>
      <c r="AK167" s="160">
        <f t="shared" si="84"/>
        <v>21.958053</v>
      </c>
      <c r="AL167" s="160"/>
      <c r="AM167" s="160">
        <f t="shared" si="85"/>
        <v>23.024841</v>
      </c>
      <c r="AN167" s="160"/>
      <c r="AO167" s="160">
        <f t="shared" si="86"/>
        <v>36.389324</v>
      </c>
      <c r="AP167" s="160"/>
      <c r="AQ167" s="160">
        <f t="shared" si="87"/>
        <v>30.699787999999998</v>
      </c>
      <c r="AS167" s="159"/>
    </row>
    <row r="168" spans="2:45" ht="12.75">
      <c r="B168" s="448">
        <v>343.1</v>
      </c>
      <c r="D168" s="395" t="s">
        <v>398</v>
      </c>
      <c r="E168" s="138"/>
      <c r="F168" s="150">
        <v>14</v>
      </c>
      <c r="G168" s="139"/>
      <c r="H168" s="146">
        <v>20017.26</v>
      </c>
      <c r="I168" s="139"/>
      <c r="J168" s="218">
        <f t="shared" si="75"/>
        <v>11842.211016</v>
      </c>
      <c r="K168" s="353"/>
      <c r="L168" s="218">
        <f t="shared" si="76"/>
        <v>3823.29666</v>
      </c>
      <c r="M168" s="353"/>
      <c r="N168" s="218">
        <f t="shared" si="77"/>
        <v>1171.00971</v>
      </c>
      <c r="O168" s="353"/>
      <c r="P168" s="218">
        <f t="shared" si="78"/>
        <v>734.6334420000001</v>
      </c>
      <c r="Q168" s="353"/>
      <c r="R168" s="218">
        <f t="shared" si="79"/>
        <v>372.32103599999994</v>
      </c>
      <c r="S168" s="353"/>
      <c r="T168" s="218">
        <f t="shared" si="80"/>
        <v>2073.7881359999997</v>
      </c>
      <c r="U168" s="162"/>
      <c r="W168" s="396">
        <v>343.1</v>
      </c>
      <c r="X168" s="353"/>
      <c r="Y168" s="395" t="s">
        <v>398</v>
      </c>
      <c r="Z168" s="138"/>
      <c r="AA168" s="399">
        <f t="shared" si="88"/>
        <v>14</v>
      </c>
      <c r="AB168" s="138"/>
      <c r="AC168" s="399">
        <f t="shared" si="89"/>
        <v>20017.26</v>
      </c>
      <c r="AE168" s="160">
        <f t="shared" si="81"/>
        <v>6723.797633999999</v>
      </c>
      <c r="AF168" s="160"/>
      <c r="AG168" s="160">
        <f t="shared" si="82"/>
        <v>2808.421578</v>
      </c>
      <c r="AH168" s="160"/>
      <c r="AI168" s="160">
        <f t="shared" si="83"/>
        <v>2914.513056</v>
      </c>
      <c r="AJ168" s="160"/>
      <c r="AK168" s="160">
        <f t="shared" si="84"/>
        <v>1483.2789659999999</v>
      </c>
      <c r="AL168" s="160"/>
      <c r="AM168" s="160">
        <f t="shared" si="85"/>
        <v>1555.341102</v>
      </c>
      <c r="AN168" s="160"/>
      <c r="AO168" s="160">
        <f t="shared" si="86"/>
        <v>2458.1195279999997</v>
      </c>
      <c r="AP168" s="160"/>
      <c r="AQ168" s="160">
        <f t="shared" si="87"/>
        <v>2073.7881359999997</v>
      </c>
      <c r="AS168" s="159"/>
    </row>
    <row r="169" spans="2:45" ht="12.75">
      <c r="B169" s="448">
        <v>344.1</v>
      </c>
      <c r="D169" s="395" t="s">
        <v>25</v>
      </c>
      <c r="E169" s="138"/>
      <c r="F169" s="150">
        <v>2</v>
      </c>
      <c r="G169" s="139"/>
      <c r="H169" s="146">
        <v>11176.51</v>
      </c>
      <c r="I169" s="139"/>
      <c r="J169" s="218">
        <f t="shared" si="75"/>
        <v>6106.845064</v>
      </c>
      <c r="K169" s="353"/>
      <c r="L169" s="218">
        <f t="shared" si="76"/>
        <v>2815.362869</v>
      </c>
      <c r="M169" s="353"/>
      <c r="N169" s="218">
        <f t="shared" si="77"/>
        <v>1083.003819</v>
      </c>
      <c r="O169" s="353"/>
      <c r="P169" s="218">
        <f t="shared" si="78"/>
        <v>613.5903989999999</v>
      </c>
      <c r="Q169" s="353"/>
      <c r="R169" s="218">
        <f t="shared" si="79"/>
        <v>515.237111</v>
      </c>
      <c r="S169" s="353"/>
      <c r="T169" s="218">
        <f t="shared" si="80"/>
        <v>42.470738</v>
      </c>
      <c r="U169" s="162"/>
      <c r="W169" s="396">
        <v>344.1</v>
      </c>
      <c r="X169" s="353"/>
      <c r="Y169" s="395" t="s">
        <v>25</v>
      </c>
      <c r="Z169" s="138"/>
      <c r="AA169" s="399">
        <f t="shared" si="88"/>
        <v>2</v>
      </c>
      <c r="AB169" s="138"/>
      <c r="AC169" s="399">
        <f t="shared" si="89"/>
        <v>11176.51</v>
      </c>
      <c r="AE169" s="160">
        <f t="shared" si="81"/>
        <v>6942.8480119999995</v>
      </c>
      <c r="AF169" s="160"/>
      <c r="AG169" s="160">
        <f t="shared" si="82"/>
        <v>4191.19125</v>
      </c>
      <c r="AH169" s="160"/>
      <c r="AI169" s="160">
        <f t="shared" si="83"/>
        <v>0</v>
      </c>
      <c r="AJ169" s="160"/>
      <c r="AK169" s="160">
        <f t="shared" si="84"/>
        <v>0</v>
      </c>
      <c r="AL169" s="160"/>
      <c r="AM169" s="160">
        <f t="shared" si="85"/>
        <v>0</v>
      </c>
      <c r="AN169" s="160"/>
      <c r="AO169" s="160">
        <f t="shared" si="86"/>
        <v>0</v>
      </c>
      <c r="AP169" s="160"/>
      <c r="AQ169" s="160">
        <f t="shared" si="87"/>
        <v>42.470738</v>
      </c>
      <c r="AS169" s="159"/>
    </row>
    <row r="170" spans="2:45" ht="12.75">
      <c r="B170" s="448">
        <v>345.1</v>
      </c>
      <c r="D170" s="395" t="s">
        <v>26</v>
      </c>
      <c r="E170" s="138"/>
      <c r="F170" s="150">
        <v>14</v>
      </c>
      <c r="G170" s="139"/>
      <c r="H170" s="146">
        <v>53122</v>
      </c>
      <c r="I170" s="139"/>
      <c r="J170" s="218">
        <f t="shared" si="75"/>
        <v>31426.9752</v>
      </c>
      <c r="K170" s="353"/>
      <c r="L170" s="218">
        <f t="shared" si="76"/>
        <v>10146.302</v>
      </c>
      <c r="M170" s="353"/>
      <c r="N170" s="218">
        <f t="shared" si="77"/>
        <v>3107.637</v>
      </c>
      <c r="O170" s="353"/>
      <c r="P170" s="218">
        <f t="shared" si="78"/>
        <v>1949.5774000000001</v>
      </c>
      <c r="Q170" s="353"/>
      <c r="R170" s="218">
        <f t="shared" si="79"/>
        <v>988.0691999999999</v>
      </c>
      <c r="S170" s="353"/>
      <c r="T170" s="218">
        <f t="shared" si="80"/>
        <v>5503.4392</v>
      </c>
      <c r="U170" s="162"/>
      <c r="W170" s="396">
        <v>345.1</v>
      </c>
      <c r="X170" s="353"/>
      <c r="Y170" s="395" t="s">
        <v>26</v>
      </c>
      <c r="Z170" s="138"/>
      <c r="AA170" s="399">
        <f t="shared" si="88"/>
        <v>14</v>
      </c>
      <c r="AB170" s="138"/>
      <c r="AC170" s="399">
        <f t="shared" si="89"/>
        <v>53122</v>
      </c>
      <c r="AE170" s="160">
        <f t="shared" si="81"/>
        <v>17843.679799999998</v>
      </c>
      <c r="AF170" s="160"/>
      <c r="AG170" s="160">
        <f t="shared" si="82"/>
        <v>7453.016600000001</v>
      </c>
      <c r="AH170" s="160"/>
      <c r="AI170" s="160">
        <f t="shared" si="83"/>
        <v>7734.5632000000005</v>
      </c>
      <c r="AJ170" s="160"/>
      <c r="AK170" s="160">
        <f t="shared" si="84"/>
        <v>3936.3402</v>
      </c>
      <c r="AL170" s="160"/>
      <c r="AM170" s="160">
        <f t="shared" si="85"/>
        <v>4127.5794000000005</v>
      </c>
      <c r="AN170" s="160"/>
      <c r="AO170" s="160">
        <f t="shared" si="86"/>
        <v>6523.381600000001</v>
      </c>
      <c r="AP170" s="160"/>
      <c r="AQ170" s="160">
        <f t="shared" si="87"/>
        <v>5503.4392</v>
      </c>
      <c r="AS170" s="159"/>
    </row>
    <row r="171" spans="2:45" ht="12.75">
      <c r="B171" s="448">
        <v>346.1</v>
      </c>
      <c r="D171" s="395" t="s">
        <v>399</v>
      </c>
      <c r="E171" s="138"/>
      <c r="F171" s="150">
        <v>14</v>
      </c>
      <c r="G171" s="139"/>
      <c r="H171" s="146">
        <v>8694.23</v>
      </c>
      <c r="I171" s="139"/>
      <c r="J171" s="218">
        <f t="shared" si="75"/>
        <v>5143.506468</v>
      </c>
      <c r="K171" s="353"/>
      <c r="L171" s="218">
        <f t="shared" si="76"/>
        <v>1660.59793</v>
      </c>
      <c r="M171" s="353"/>
      <c r="N171" s="218">
        <f t="shared" si="77"/>
        <v>508.612455</v>
      </c>
      <c r="O171" s="353"/>
      <c r="P171" s="218">
        <f t="shared" si="78"/>
        <v>319.078241</v>
      </c>
      <c r="Q171" s="353"/>
      <c r="R171" s="218">
        <f t="shared" si="79"/>
        <v>161.71267799999998</v>
      </c>
      <c r="S171" s="353"/>
      <c r="T171" s="218">
        <f t="shared" si="80"/>
        <v>900.722228</v>
      </c>
      <c r="U171" s="162"/>
      <c r="W171" s="396">
        <v>346.1</v>
      </c>
      <c r="X171" s="353"/>
      <c r="Y171" s="395" t="s">
        <v>399</v>
      </c>
      <c r="Z171" s="138"/>
      <c r="AA171" s="399">
        <f t="shared" si="88"/>
        <v>14</v>
      </c>
      <c r="AB171" s="138"/>
      <c r="AC171" s="399">
        <f t="shared" si="89"/>
        <v>8694.23</v>
      </c>
      <c r="AE171" s="160">
        <f t="shared" si="81"/>
        <v>2920.3918569999996</v>
      </c>
      <c r="AF171" s="160"/>
      <c r="AG171" s="160">
        <f t="shared" si="82"/>
        <v>1219.800469</v>
      </c>
      <c r="AH171" s="160"/>
      <c r="AI171" s="160">
        <f t="shared" si="83"/>
        <v>1265.879888</v>
      </c>
      <c r="AJ171" s="160"/>
      <c r="AK171" s="160">
        <f t="shared" si="84"/>
        <v>644.242443</v>
      </c>
      <c r="AL171" s="160"/>
      <c r="AM171" s="160">
        <f t="shared" si="85"/>
        <v>675.5416710000001</v>
      </c>
      <c r="AN171" s="160"/>
      <c r="AO171" s="160">
        <f t="shared" si="86"/>
        <v>1067.651444</v>
      </c>
      <c r="AP171" s="160"/>
      <c r="AQ171" s="160">
        <f t="shared" si="87"/>
        <v>900.722228</v>
      </c>
      <c r="AS171" s="159"/>
    </row>
    <row r="172" spans="2:45" ht="12.75">
      <c r="B172" s="448">
        <v>346.2</v>
      </c>
      <c r="D172" s="395" t="s">
        <v>399</v>
      </c>
      <c r="E172" s="138"/>
      <c r="F172" s="150">
        <v>14</v>
      </c>
      <c r="G172" s="139"/>
      <c r="H172" s="146">
        <v>0</v>
      </c>
      <c r="I172" s="139"/>
      <c r="J172" s="218">
        <f t="shared" si="75"/>
        <v>0</v>
      </c>
      <c r="K172" s="353"/>
      <c r="L172" s="218">
        <f t="shared" si="76"/>
        <v>0</v>
      </c>
      <c r="M172" s="353"/>
      <c r="N172" s="218">
        <f t="shared" si="77"/>
        <v>0</v>
      </c>
      <c r="O172" s="353"/>
      <c r="P172" s="218">
        <f t="shared" si="78"/>
        <v>0</v>
      </c>
      <c r="Q172" s="353"/>
      <c r="R172" s="218">
        <f t="shared" si="79"/>
        <v>0</v>
      </c>
      <c r="S172" s="353"/>
      <c r="T172" s="218">
        <f t="shared" si="80"/>
        <v>0</v>
      </c>
      <c r="U172" s="162"/>
      <c r="W172" s="396">
        <v>346.2</v>
      </c>
      <c r="X172" s="353"/>
      <c r="Y172" s="395" t="s">
        <v>399</v>
      </c>
      <c r="Z172" s="138"/>
      <c r="AA172" s="399">
        <f t="shared" si="88"/>
        <v>14</v>
      </c>
      <c r="AB172" s="138"/>
      <c r="AC172" s="399">
        <f t="shared" si="89"/>
        <v>0</v>
      </c>
      <c r="AE172" s="160">
        <f t="shared" si="81"/>
        <v>0</v>
      </c>
      <c r="AF172" s="160"/>
      <c r="AG172" s="160">
        <f t="shared" si="82"/>
        <v>0</v>
      </c>
      <c r="AH172" s="160"/>
      <c r="AI172" s="160">
        <f t="shared" si="83"/>
        <v>0</v>
      </c>
      <c r="AJ172" s="160"/>
      <c r="AK172" s="160">
        <f t="shared" si="84"/>
        <v>0</v>
      </c>
      <c r="AL172" s="160"/>
      <c r="AM172" s="160">
        <f t="shared" si="85"/>
        <v>0</v>
      </c>
      <c r="AN172" s="160"/>
      <c r="AO172" s="160">
        <f t="shared" si="86"/>
        <v>0</v>
      </c>
      <c r="AP172" s="160"/>
      <c r="AQ172" s="160">
        <f t="shared" si="87"/>
        <v>0</v>
      </c>
      <c r="AS172" s="159"/>
    </row>
    <row r="173" spans="2:45" ht="12.75">
      <c r="B173" s="448">
        <v>347.1</v>
      </c>
      <c r="D173" s="395" t="s">
        <v>400</v>
      </c>
      <c r="E173" s="138"/>
      <c r="F173" s="150">
        <v>14</v>
      </c>
      <c r="G173" s="139"/>
      <c r="H173" s="147">
        <v>534.44</v>
      </c>
      <c r="I173" s="139"/>
      <c r="J173" s="405">
        <f t="shared" si="75"/>
        <v>316.174704</v>
      </c>
      <c r="K173" s="353"/>
      <c r="L173" s="405">
        <f t="shared" si="76"/>
        <v>102.07804000000002</v>
      </c>
      <c r="M173" s="353"/>
      <c r="N173" s="405">
        <f t="shared" si="77"/>
        <v>31.264740000000003</v>
      </c>
      <c r="O173" s="353"/>
      <c r="P173" s="405">
        <f t="shared" si="78"/>
        <v>19.613948000000004</v>
      </c>
      <c r="Q173" s="353"/>
      <c r="R173" s="405">
        <f t="shared" si="79"/>
        <v>9.940584</v>
      </c>
      <c r="S173" s="353"/>
      <c r="T173" s="405">
        <f t="shared" si="80"/>
        <v>55.36798400000001</v>
      </c>
      <c r="U173" s="162"/>
      <c r="W173" s="396">
        <v>347.1</v>
      </c>
      <c r="X173" s="353"/>
      <c r="Y173" s="395" t="s">
        <v>400</v>
      </c>
      <c r="Z173" s="138"/>
      <c r="AA173" s="399">
        <f t="shared" si="88"/>
        <v>14</v>
      </c>
      <c r="AB173" s="138"/>
      <c r="AC173" s="400">
        <f t="shared" si="89"/>
        <v>534.44</v>
      </c>
      <c r="AE173" s="147">
        <f t="shared" si="81"/>
        <v>179.518396</v>
      </c>
      <c r="AF173" s="160"/>
      <c r="AG173" s="147">
        <f t="shared" si="82"/>
        <v>74.98193200000001</v>
      </c>
      <c r="AH173" s="160"/>
      <c r="AI173" s="147">
        <f t="shared" si="83"/>
        <v>77.81446400000002</v>
      </c>
      <c r="AJ173" s="160"/>
      <c r="AK173" s="147">
        <f t="shared" si="84"/>
        <v>39.602004</v>
      </c>
      <c r="AL173" s="160"/>
      <c r="AM173" s="147">
        <f t="shared" si="85"/>
        <v>41.525988000000005</v>
      </c>
      <c r="AN173" s="160"/>
      <c r="AO173" s="147">
        <f t="shared" si="86"/>
        <v>65.62923200000002</v>
      </c>
      <c r="AP173" s="160"/>
      <c r="AQ173" s="147">
        <f t="shared" si="87"/>
        <v>55.36798400000001</v>
      </c>
      <c r="AS173" s="159"/>
    </row>
    <row r="174" spans="4:45" ht="12.75">
      <c r="D174" s="354"/>
      <c r="E174" s="138"/>
      <c r="F174" s="150"/>
      <c r="G174" s="139"/>
      <c r="H174" s="146"/>
      <c r="I174" s="139"/>
      <c r="J174" s="146"/>
      <c r="L174" s="146"/>
      <c r="N174" s="146"/>
      <c r="P174" s="146"/>
      <c r="R174" s="146"/>
      <c r="T174" s="146"/>
      <c r="W174" s="144"/>
      <c r="X174" s="353"/>
      <c r="Y174" s="354"/>
      <c r="Z174" s="138"/>
      <c r="AA174" s="150"/>
      <c r="AC174" s="159"/>
      <c r="AE174" s="146"/>
      <c r="AF174" s="146"/>
      <c r="AG174" s="146"/>
      <c r="AH174" s="146"/>
      <c r="AI174" s="146"/>
      <c r="AJ174" s="146"/>
      <c r="AK174" s="146"/>
      <c r="AL174" s="146"/>
      <c r="AM174" s="146"/>
      <c r="AN174" s="146"/>
      <c r="AO174" s="146"/>
      <c r="AP174" s="146"/>
      <c r="AQ174" s="146"/>
      <c r="AS174" s="159"/>
    </row>
    <row r="175" spans="4:45" ht="12.75">
      <c r="D175" s="227" t="s">
        <v>30</v>
      </c>
      <c r="E175" s="138"/>
      <c r="F175" s="150"/>
      <c r="G175" s="139"/>
      <c r="H175" s="147">
        <f>SUM(H132:H174)</f>
        <v>8023443.44</v>
      </c>
      <c r="I175" s="139"/>
      <c r="J175" s="147">
        <f>SUM(J132:J174)</f>
        <v>4307223.598591874</v>
      </c>
      <c r="K175" s="139"/>
      <c r="L175" s="147">
        <f>SUM(L132:L174)</f>
        <v>1664805.0953460964</v>
      </c>
      <c r="N175" s="147">
        <f>SUM(N132:N174)</f>
        <v>563687.3524561385</v>
      </c>
      <c r="P175" s="147">
        <f>SUM(P132:P174)</f>
        <v>337510.06066092</v>
      </c>
      <c r="R175" s="147">
        <f>SUM(R132:R174)</f>
        <v>213126.11612012313</v>
      </c>
      <c r="T175" s="147">
        <f>SUM(T132:T174)</f>
        <v>937091.21682485</v>
      </c>
      <c r="W175" s="144"/>
      <c r="X175" s="353"/>
      <c r="Y175" s="227" t="s">
        <v>30</v>
      </c>
      <c r="Z175" s="138"/>
      <c r="AA175" s="150"/>
      <c r="AC175" s="147">
        <f>SUM(AC132:AC174)</f>
        <v>8023443.44</v>
      </c>
      <c r="AD175" s="139"/>
      <c r="AE175" s="147">
        <f>SUM(AE132:AE174)</f>
        <v>3378882.5680734734</v>
      </c>
      <c r="AF175" s="154"/>
      <c r="AG175" s="147">
        <f>SUM(AG132:AG174)</f>
        <v>1647418.191760306</v>
      </c>
      <c r="AH175" s="154"/>
      <c r="AI175" s="147">
        <f>SUM(AI132:AI174)</f>
        <v>914593.3754653702</v>
      </c>
      <c r="AJ175" s="154"/>
      <c r="AK175" s="147">
        <f>SUM(AK132:AK174)</f>
        <v>300564.40134599997</v>
      </c>
      <c r="AL175" s="154"/>
      <c r="AM175" s="147">
        <f>SUM(AM132:AM174)</f>
        <v>680426.5339619999</v>
      </c>
      <c r="AN175" s="154"/>
      <c r="AO175" s="147">
        <f>SUM(AO132:AO174)</f>
        <v>164467.152568</v>
      </c>
      <c r="AP175" s="154"/>
      <c r="AQ175" s="147">
        <f>SUM(AQ132:AQ174)</f>
        <v>937091.21682485</v>
      </c>
      <c r="AS175" s="159"/>
    </row>
    <row r="176" spans="4:45" ht="14.25" customHeight="1">
      <c r="D176" s="354"/>
      <c r="E176" s="138"/>
      <c r="F176" s="150"/>
      <c r="G176" s="139"/>
      <c r="H176" s="146"/>
      <c r="I176" s="139"/>
      <c r="J176" s="146"/>
      <c r="L176" s="146"/>
      <c r="N176" s="146"/>
      <c r="P176" s="146"/>
      <c r="R176" s="146"/>
      <c r="T176" s="146"/>
      <c r="W176" s="144"/>
      <c r="X176" s="353"/>
      <c r="Y176" s="354"/>
      <c r="Z176" s="138"/>
      <c r="AA176" s="150"/>
      <c r="AS176" s="159"/>
    </row>
    <row r="177" spans="1:45" s="291" customFormat="1" ht="12.75">
      <c r="A177" s="392"/>
      <c r="B177" s="447"/>
      <c r="C177" s="355"/>
      <c r="D177" s="280" t="s">
        <v>163</v>
      </c>
      <c r="E177" s="202"/>
      <c r="F177" s="148">
        <v>18</v>
      </c>
      <c r="G177" s="203"/>
      <c r="H177" s="160">
        <v>201120</v>
      </c>
      <c r="I177" s="203"/>
      <c r="J177" s="218">
        <f>(VLOOKUP($F177,Factors,J$324))*$H177</f>
        <v>106332.14400000001</v>
      </c>
      <c r="K177" s="353"/>
      <c r="L177" s="218">
        <f>(VLOOKUP($F177,Factors,L$324))*$H177</f>
        <v>42597.216</v>
      </c>
      <c r="M177" s="353"/>
      <c r="N177" s="218">
        <f>(VLOOKUP($F177,Factors,N$324))*$H177</f>
        <v>14601.312</v>
      </c>
      <c r="O177" s="353"/>
      <c r="P177" s="218">
        <f>(VLOOKUP($F177,Factors,P$324))*$H177</f>
        <v>8728.608</v>
      </c>
      <c r="Q177" s="353"/>
      <c r="R177" s="218">
        <f>(VLOOKUP($F177,Factors,R$324))*$H177</f>
        <v>5691.696</v>
      </c>
      <c r="S177" s="353"/>
      <c r="T177" s="218">
        <f>(VLOOKUP($F177,Factors,T$324))*$H177</f>
        <v>23169.023999999998</v>
      </c>
      <c r="U177" s="162"/>
      <c r="V177"/>
      <c r="W177" s="385"/>
      <c r="X177" s="355"/>
      <c r="Y177" s="280" t="s">
        <v>43</v>
      </c>
      <c r="Z177" s="202"/>
      <c r="AA177" s="148">
        <f>+F177</f>
        <v>18</v>
      </c>
      <c r="AC177" s="204">
        <f>+H177</f>
        <v>201120</v>
      </c>
      <c r="AE177" s="160">
        <f aca="true" t="shared" si="91" ref="AE177:AQ177">(VLOOKUP($AA177,func,AE$324))*$AC177</f>
        <v>88030.224</v>
      </c>
      <c r="AG177" s="160">
        <f t="shared" si="91"/>
        <v>44588.304000000004</v>
      </c>
      <c r="AI177" s="160">
        <f t="shared" si="91"/>
        <v>19971.216</v>
      </c>
      <c r="AK177" s="160">
        <f t="shared" si="91"/>
        <v>11664.960000000001</v>
      </c>
      <c r="AM177" s="160">
        <f t="shared" si="91"/>
        <v>13233.696</v>
      </c>
      <c r="AO177" s="160">
        <f t="shared" si="91"/>
        <v>462.57599999999996</v>
      </c>
      <c r="AQ177" s="160">
        <f t="shared" si="91"/>
        <v>23169.023999999998</v>
      </c>
      <c r="AS177" s="159"/>
    </row>
    <row r="178" spans="1:45" s="291" customFormat="1" ht="12.75">
      <c r="A178" s="399"/>
      <c r="B178" s="447"/>
      <c r="C178" s="355"/>
      <c r="D178" s="218"/>
      <c r="E178" s="202"/>
      <c r="F178" s="148"/>
      <c r="G178" s="203"/>
      <c r="H178" s="160"/>
      <c r="I178" s="203"/>
      <c r="J178" s="160"/>
      <c r="K178" s="204"/>
      <c r="L178" s="160"/>
      <c r="M178" s="204"/>
      <c r="N178" s="160"/>
      <c r="O178" s="204"/>
      <c r="P178" s="160"/>
      <c r="Q178" s="204"/>
      <c r="R178" s="160"/>
      <c r="S178" s="204"/>
      <c r="T178" s="160"/>
      <c r="V178"/>
      <c r="W178" s="385"/>
      <c r="X178" s="355"/>
      <c r="Y178" s="218"/>
      <c r="Z178" s="202"/>
      <c r="AA178" s="148"/>
      <c r="AC178" s="204"/>
      <c r="AE178" s="160"/>
      <c r="AG178" s="160"/>
      <c r="AI178" s="160"/>
      <c r="AK178" s="160"/>
      <c r="AM178" s="160"/>
      <c r="AO178" s="160"/>
      <c r="AQ178" s="160"/>
      <c r="AS178" s="159"/>
    </row>
    <row r="179" spans="1:45" s="291" customFormat="1" ht="12.75">
      <c r="A179" s="403"/>
      <c r="B179" s="447"/>
      <c r="C179" s="355"/>
      <c r="D179" s="340" t="s">
        <v>193</v>
      </c>
      <c r="E179" s="202"/>
      <c r="F179" s="148">
        <v>18</v>
      </c>
      <c r="G179" s="203"/>
      <c r="H179" s="160">
        <v>17314762</v>
      </c>
      <c r="I179" s="203"/>
      <c r="J179" s="218">
        <f aca="true" t="shared" si="92" ref="J179:T180">(VLOOKUP($F179,Factors,J$324))*$H179</f>
        <v>9154314.669400001</v>
      </c>
      <c r="K179" s="203"/>
      <c r="L179" s="218">
        <f t="shared" si="92"/>
        <v>3667266.5916</v>
      </c>
      <c r="M179" s="203"/>
      <c r="N179" s="218">
        <f t="shared" si="92"/>
        <v>1257051.7212</v>
      </c>
      <c r="O179" s="203"/>
      <c r="P179" s="218">
        <f t="shared" si="92"/>
        <v>751460.6708</v>
      </c>
      <c r="Q179" s="203"/>
      <c r="R179" s="218">
        <f t="shared" si="92"/>
        <v>490007.7646</v>
      </c>
      <c r="S179" s="203"/>
      <c r="T179" s="218">
        <f t="shared" si="92"/>
        <v>1994660.5824</v>
      </c>
      <c r="U179" s="162"/>
      <c r="V179"/>
      <c r="W179" s="385"/>
      <c r="X179" s="355"/>
      <c r="Y179" s="340" t="s">
        <v>193</v>
      </c>
      <c r="Z179" s="202"/>
      <c r="AA179" s="148">
        <f>+F179</f>
        <v>18</v>
      </c>
      <c r="AC179" s="204">
        <f>+H179</f>
        <v>17314762</v>
      </c>
      <c r="AE179" s="160">
        <f aca="true" t="shared" si="93" ref="AE179:AQ180">(VLOOKUP($AA179,func,AE$324))*$AC179</f>
        <v>7578671.327400001</v>
      </c>
      <c r="AG179" s="160">
        <f t="shared" si="93"/>
        <v>3838682.7354</v>
      </c>
      <c r="AI179" s="160">
        <f t="shared" si="93"/>
        <v>1719355.8666</v>
      </c>
      <c r="AK179" s="160">
        <f t="shared" si="93"/>
        <v>1004256.196</v>
      </c>
      <c r="AM179" s="160">
        <f t="shared" si="93"/>
        <v>1139311.3396</v>
      </c>
      <c r="AO179" s="160">
        <f t="shared" si="93"/>
        <v>39823.9526</v>
      </c>
      <c r="AQ179" s="160">
        <f t="shared" si="93"/>
        <v>1994660.5824</v>
      </c>
      <c r="AS179" s="159"/>
    </row>
    <row r="180" spans="1:45" s="291" customFormat="1" ht="12.75">
      <c r="A180" s="403"/>
      <c r="B180" s="447"/>
      <c r="C180" s="355"/>
      <c r="D180" s="340" t="s">
        <v>407</v>
      </c>
      <c r="E180" s="202"/>
      <c r="F180" s="148">
        <v>18</v>
      </c>
      <c r="G180" s="203"/>
      <c r="H180" s="147">
        <v>3462952.4</v>
      </c>
      <c r="I180" s="203"/>
      <c r="J180" s="405">
        <f t="shared" si="92"/>
        <v>1830862.9338800001</v>
      </c>
      <c r="K180" s="203"/>
      <c r="L180" s="405">
        <f t="shared" si="92"/>
        <v>733453.31832</v>
      </c>
      <c r="M180" s="203"/>
      <c r="N180" s="405">
        <f t="shared" si="92"/>
        <v>251410.34423999998</v>
      </c>
      <c r="O180" s="203"/>
      <c r="P180" s="405">
        <f t="shared" si="92"/>
        <v>150292.13416</v>
      </c>
      <c r="Q180" s="203"/>
      <c r="R180" s="405">
        <f t="shared" si="92"/>
        <v>98001.55291999999</v>
      </c>
      <c r="S180" s="203"/>
      <c r="T180" s="405">
        <f t="shared" si="92"/>
        <v>398932.11647999997</v>
      </c>
      <c r="U180" s="162"/>
      <c r="V180"/>
      <c r="W180" s="385"/>
      <c r="X180" s="355"/>
      <c r="Y180" s="340" t="s">
        <v>407</v>
      </c>
      <c r="Z180" s="202"/>
      <c r="AA180" s="148">
        <f>+F180</f>
        <v>18</v>
      </c>
      <c r="AC180" s="215">
        <f>+H180</f>
        <v>3462952.4</v>
      </c>
      <c r="AE180" s="147">
        <f t="shared" si="93"/>
        <v>1515734.26548</v>
      </c>
      <c r="AG180" s="147">
        <f t="shared" si="93"/>
        <v>767736.54708</v>
      </c>
      <c r="AI180" s="147">
        <f t="shared" si="93"/>
        <v>343871.17332</v>
      </c>
      <c r="AK180" s="147">
        <f t="shared" si="93"/>
        <v>200851.2392</v>
      </c>
      <c r="AM180" s="147">
        <f t="shared" si="93"/>
        <v>227862.26791999998</v>
      </c>
      <c r="AO180" s="147">
        <f t="shared" si="93"/>
        <v>7964.79052</v>
      </c>
      <c r="AQ180" s="147">
        <f t="shared" si="93"/>
        <v>398932.11647999997</v>
      </c>
      <c r="AS180" s="159"/>
    </row>
    <row r="181" spans="1:45" s="291" customFormat="1" ht="12.75">
      <c r="A181" s="403"/>
      <c r="B181" s="447"/>
      <c r="C181" s="355"/>
      <c r="D181" s="340" t="s">
        <v>410</v>
      </c>
      <c r="E181" s="202"/>
      <c r="F181" s="148"/>
      <c r="G181" s="203"/>
      <c r="H181" s="160">
        <f>SUM(H179:H180)</f>
        <v>20777714.4</v>
      </c>
      <c r="I181" s="203"/>
      <c r="J181" s="160">
        <f>SUM(J179:J180)</f>
        <v>10985177.60328</v>
      </c>
      <c r="K181" s="203"/>
      <c r="L181" s="160">
        <f>SUM(L179:L180)</f>
        <v>4400719.90992</v>
      </c>
      <c r="M181" s="203"/>
      <c r="N181" s="160">
        <f>SUM(N179:N180)</f>
        <v>1508462.06544</v>
      </c>
      <c r="O181" s="203"/>
      <c r="P181" s="160">
        <f>SUM(P179:P180)</f>
        <v>901752.80496</v>
      </c>
      <c r="Q181" s="203"/>
      <c r="R181" s="160">
        <f>SUM(R179:R180)</f>
        <v>588009.31752</v>
      </c>
      <c r="S181" s="203"/>
      <c r="T181" s="160">
        <f>SUM(T179:T180)</f>
        <v>2393592.69888</v>
      </c>
      <c r="U181" s="162"/>
      <c r="V181"/>
      <c r="W181" s="385"/>
      <c r="X181" s="355"/>
      <c r="Y181" s="340" t="s">
        <v>410</v>
      </c>
      <c r="Z181" s="202"/>
      <c r="AA181" s="148"/>
      <c r="AC181" s="204">
        <f>SUM(AC179:AC180)</f>
        <v>20777714.4</v>
      </c>
      <c r="AE181" s="204">
        <f>SUM(AE179:AE180)</f>
        <v>9094405.592880001</v>
      </c>
      <c r="AG181" s="204">
        <f>SUM(AG179:AG180)</f>
        <v>4606419.2824800005</v>
      </c>
      <c r="AI181" s="204">
        <f>SUM(AI179:AI180)</f>
        <v>2063227.0399200001</v>
      </c>
      <c r="AK181" s="204">
        <f>SUM(AK179:AK180)</f>
        <v>1205107.4352</v>
      </c>
      <c r="AM181" s="204">
        <f>SUM(AM179:AM180)</f>
        <v>1367173.60752</v>
      </c>
      <c r="AO181" s="204">
        <f>SUM(AO179:AO180)</f>
        <v>47788.74312</v>
      </c>
      <c r="AQ181" s="204">
        <f>SUM(AQ179:AQ180)</f>
        <v>2393592.69888</v>
      </c>
      <c r="AS181" s="159"/>
    </row>
    <row r="182" spans="1:45" s="135" customFormat="1" ht="12.75" customHeight="1">
      <c r="A182" s="352"/>
      <c r="B182" s="441"/>
      <c r="C182" s="353"/>
      <c r="D182" s="354"/>
      <c r="E182" s="138"/>
      <c r="F182" s="150"/>
      <c r="G182" s="139"/>
      <c r="H182" s="146"/>
      <c r="I182" s="139"/>
      <c r="J182" s="146"/>
      <c r="K182" s="154"/>
      <c r="L182" s="146"/>
      <c r="M182" s="154"/>
      <c r="N182" s="146"/>
      <c r="O182" s="154"/>
      <c r="P182" s="146"/>
      <c r="Q182" s="154"/>
      <c r="R182" s="146"/>
      <c r="S182" s="154"/>
      <c r="T182" s="146"/>
      <c r="V182"/>
      <c r="W182" s="137"/>
      <c r="X182" s="353"/>
      <c r="Y182" s="354"/>
      <c r="Z182" s="138"/>
      <c r="AA182" s="150"/>
      <c r="AS182" s="159"/>
    </row>
    <row r="183" spans="1:45" s="135" customFormat="1" ht="12.75">
      <c r="A183" s="352"/>
      <c r="B183" s="449"/>
      <c r="C183" s="353"/>
      <c r="D183" s="220" t="s">
        <v>32</v>
      </c>
      <c r="E183" s="138"/>
      <c r="F183" s="150"/>
      <c r="G183" s="139"/>
      <c r="H183" s="146"/>
      <c r="I183" s="139"/>
      <c r="J183" s="146"/>
      <c r="K183" s="154"/>
      <c r="L183" s="146"/>
      <c r="M183" s="154"/>
      <c r="N183" s="146"/>
      <c r="O183" s="154"/>
      <c r="P183" s="146"/>
      <c r="Q183" s="154"/>
      <c r="R183" s="146"/>
      <c r="S183" s="154"/>
      <c r="T183" s="146"/>
      <c r="V183"/>
      <c r="X183" s="353"/>
      <c r="Y183" s="220" t="s">
        <v>32</v>
      </c>
      <c r="Z183" s="138"/>
      <c r="AA183" s="150"/>
      <c r="AS183" s="159"/>
    </row>
    <row r="184" spans="1:45" s="135" customFormat="1" ht="12.75">
      <c r="A184" s="352"/>
      <c r="B184" s="449"/>
      <c r="C184" s="353"/>
      <c r="D184" s="218" t="s">
        <v>33</v>
      </c>
      <c r="E184" s="138"/>
      <c r="F184" s="150">
        <v>19</v>
      </c>
      <c r="G184" s="139"/>
      <c r="H184" s="146">
        <v>63773.87</v>
      </c>
      <c r="I184" s="139"/>
      <c r="J184" s="218">
        <f>(VLOOKUP($F184,Factors,J$324))*$H184</f>
        <v>35547.555138</v>
      </c>
      <c r="K184" s="353"/>
      <c r="L184" s="218">
        <f>(VLOOKUP($F184,Factors,L$324))*$H184</f>
        <v>13156.549381</v>
      </c>
      <c r="M184" s="353"/>
      <c r="N184" s="218">
        <f>(VLOOKUP($F184,Factors,N$324))*$H184</f>
        <v>4394.0196430000005</v>
      </c>
      <c r="O184" s="353"/>
      <c r="P184" s="218">
        <f>(VLOOKUP($F184,Factors,P$324))*$H184</f>
        <v>2652.992992</v>
      </c>
      <c r="Q184" s="353"/>
      <c r="R184" s="218">
        <f>(VLOOKUP($F184,Factors,R$324))*$H184</f>
        <v>1651.743233</v>
      </c>
      <c r="S184" s="353"/>
      <c r="T184" s="218">
        <f>(VLOOKUP($F184,Factors,T$324))*$H184</f>
        <v>6371.009613</v>
      </c>
      <c r="U184" s="162"/>
      <c r="V184"/>
      <c r="X184" s="353"/>
      <c r="Y184" s="218" t="s">
        <v>33</v>
      </c>
      <c r="Z184" s="138"/>
      <c r="AA184" s="150">
        <f>+F184</f>
        <v>19</v>
      </c>
      <c r="AC184" s="154">
        <f>+H184</f>
        <v>63773.87</v>
      </c>
      <c r="AE184" s="160">
        <f>(VLOOKUP($AA184,func,AE$324))*$AC184</f>
        <v>27945.709834000005</v>
      </c>
      <c r="AF184" s="160"/>
      <c r="AG184" s="160">
        <f>(VLOOKUP($AA184,func,AG$324))*$AC184</f>
        <v>10886.199609</v>
      </c>
      <c r="AH184" s="160"/>
      <c r="AI184" s="160">
        <f>(VLOOKUP($AA184,func,AI$324))*$AC184</f>
        <v>6887.5779600000005</v>
      </c>
      <c r="AJ184" s="160"/>
      <c r="AK184" s="160">
        <f>(VLOOKUP($AA184,func,AK$324))*$AC184</f>
        <v>3737.148782</v>
      </c>
      <c r="AL184" s="160"/>
      <c r="AM184" s="160">
        <f>(VLOOKUP($AA184,func,AM$324))*$AC184</f>
        <v>4126.169389</v>
      </c>
      <c r="AN184" s="160"/>
      <c r="AO184" s="160">
        <f>(VLOOKUP($AA184,func,AO$324))*$AC184</f>
        <v>3820.054813</v>
      </c>
      <c r="AP184" s="160"/>
      <c r="AQ184" s="160">
        <f>(VLOOKUP($AA184,func,AQ$324))*$AC184</f>
        <v>6371.009613</v>
      </c>
      <c r="AS184" s="159"/>
    </row>
    <row r="185" spans="1:45" s="135" customFormat="1" ht="12.75">
      <c r="A185" s="352"/>
      <c r="C185" s="353"/>
      <c r="D185" s="218" t="s">
        <v>368</v>
      </c>
      <c r="E185" s="138"/>
      <c r="F185" s="150">
        <v>16</v>
      </c>
      <c r="G185" s="139"/>
      <c r="H185" s="147">
        <v>600167.06</v>
      </c>
      <c r="I185" s="139"/>
      <c r="J185" s="405">
        <f>(VLOOKUP($F185,Factors,J$324))*$H185</f>
        <v>356859.333876</v>
      </c>
      <c r="K185" s="353"/>
      <c r="L185" s="405">
        <f>(VLOOKUP($F185,Factors,L$324))*$H185</f>
        <v>117752.77717200002</v>
      </c>
      <c r="M185" s="353"/>
      <c r="N185" s="405">
        <f>(VLOOKUP($F185,Factors,N$324))*$H185</f>
        <v>36130.057012000005</v>
      </c>
      <c r="O185" s="353"/>
      <c r="P185" s="405">
        <f>(VLOOKUP($F185,Factors,P$324))*$H185</f>
        <v>22806.348280000002</v>
      </c>
      <c r="Q185" s="353"/>
      <c r="R185" s="405">
        <f>(VLOOKUP($F185,Factors,R$324))*$H185</f>
        <v>11523.207552</v>
      </c>
      <c r="S185" s="353"/>
      <c r="T185" s="405">
        <f>(VLOOKUP($F185,Factors,T$324))*$H185</f>
        <v>55095.33610800001</v>
      </c>
      <c r="U185" s="291"/>
      <c r="X185" s="353"/>
      <c r="Y185" s="218" t="s">
        <v>368</v>
      </c>
      <c r="Z185" s="138"/>
      <c r="AA185" s="150">
        <f>+F185</f>
        <v>16</v>
      </c>
      <c r="AC185" s="215">
        <f>+H185</f>
        <v>600167.06</v>
      </c>
      <c r="AE185" s="147">
        <f>(VLOOKUP($AA185,func,AE$324))*$AC185</f>
        <v>207837.852878</v>
      </c>
      <c r="AF185" s="160"/>
      <c r="AG185" s="147">
        <f>(VLOOKUP($AA185,func,AG$324))*$AC185</f>
        <v>91045.34300200001</v>
      </c>
      <c r="AH185" s="160"/>
      <c r="AI185" s="147">
        <f>(VLOOKUP($AA185,func,AI$324))*$AC185</f>
        <v>80362.369334</v>
      </c>
      <c r="AJ185" s="160"/>
      <c r="AK185" s="147">
        <f>(VLOOKUP($AA185,func,AK$324))*$AC185</f>
        <v>66798.59377800001</v>
      </c>
      <c r="AL185" s="160"/>
      <c r="AM185" s="147">
        <f>(VLOOKUP($AA185,func,AM$324))*$AC185</f>
        <v>32228.971122000003</v>
      </c>
      <c r="AN185" s="160"/>
      <c r="AO185" s="147">
        <f>(VLOOKUP($AA185,func,AO$324))*$AC185</f>
        <v>66798.59377800001</v>
      </c>
      <c r="AP185" s="160"/>
      <c r="AQ185" s="147">
        <f>(VLOOKUP($AA185,func,AQ$324))*$AC185</f>
        <v>55095.33610800001</v>
      </c>
      <c r="AS185" s="154"/>
    </row>
    <row r="186" spans="1:45" s="135" customFormat="1" ht="12.75" customHeight="1">
      <c r="A186" s="449"/>
      <c r="B186" s="441"/>
      <c r="C186" s="353"/>
      <c r="D186" s="138"/>
      <c r="E186" s="138"/>
      <c r="F186" s="150"/>
      <c r="G186" s="139"/>
      <c r="H186" s="146"/>
      <c r="I186" s="139"/>
      <c r="J186" s="146"/>
      <c r="K186" s="154"/>
      <c r="L186" s="154"/>
      <c r="M186" s="154"/>
      <c r="N186" s="154"/>
      <c r="O186" s="154"/>
      <c r="P186" s="154"/>
      <c r="Q186" s="154"/>
      <c r="R186" s="154"/>
      <c r="S186" s="154"/>
      <c r="T186" s="154"/>
      <c r="V186" s="296"/>
      <c r="W186" s="137"/>
      <c r="X186" s="353"/>
      <c r="Y186" s="138"/>
      <c r="Z186" s="138"/>
      <c r="AA186" s="150"/>
      <c r="AS186" s="159"/>
    </row>
    <row r="187" spans="1:45" s="135" customFormat="1" ht="12.75">
      <c r="A187" s="352"/>
      <c r="B187" s="441"/>
      <c r="C187" s="353"/>
      <c r="D187" s="228" t="s">
        <v>274</v>
      </c>
      <c r="E187" s="138"/>
      <c r="F187" s="150"/>
      <c r="G187" s="139"/>
      <c r="H187" s="147">
        <f>SUM(H184:H186)</f>
        <v>663940.93</v>
      </c>
      <c r="I187" s="139"/>
      <c r="J187" s="147">
        <f>SUM(J184:J186)</f>
        <v>392406.889014</v>
      </c>
      <c r="K187" s="154"/>
      <c r="L187" s="147">
        <f>SUM(L184:L186)</f>
        <v>130909.32655300002</v>
      </c>
      <c r="M187" s="154"/>
      <c r="N187" s="147">
        <f>SUM(N184:N186)</f>
        <v>40524.076655000004</v>
      </c>
      <c r="O187" s="154"/>
      <c r="P187" s="147">
        <f>SUM(P184:P186)</f>
        <v>25459.341272</v>
      </c>
      <c r="Q187" s="154"/>
      <c r="R187" s="147">
        <f>SUM(R184:R186)</f>
        <v>13174.950784999999</v>
      </c>
      <c r="S187" s="154"/>
      <c r="T187" s="147">
        <f>SUM(T184:T186)</f>
        <v>61466.34572100001</v>
      </c>
      <c r="V187" s="296"/>
      <c r="W187" s="137"/>
      <c r="X187" s="353"/>
      <c r="Y187" s="228" t="s">
        <v>274</v>
      </c>
      <c r="Z187" s="138"/>
      <c r="AA187" s="150"/>
      <c r="AC187" s="147">
        <f>SUM(AC184:AC186)</f>
        <v>663940.93</v>
      </c>
      <c r="AD187" s="139"/>
      <c r="AE187" s="147">
        <f>SUM(AE184:AE186)</f>
        <v>235783.562712</v>
      </c>
      <c r="AF187" s="154"/>
      <c r="AG187" s="147">
        <f>SUM(AG184:AG186)</f>
        <v>101931.54261100001</v>
      </c>
      <c r="AH187" s="154"/>
      <c r="AI187" s="147">
        <f>SUM(AI184:AI186)</f>
        <v>87249.947294</v>
      </c>
      <c r="AJ187" s="154"/>
      <c r="AK187" s="147">
        <f>SUM(AK184:AK186)</f>
        <v>70535.74256000001</v>
      </c>
      <c r="AL187" s="154"/>
      <c r="AM187" s="147">
        <f>SUM(AM184:AM186)</f>
        <v>36355.140511000005</v>
      </c>
      <c r="AN187" s="154"/>
      <c r="AO187" s="147">
        <f>SUM(AO184:AO186)</f>
        <v>70618.648591</v>
      </c>
      <c r="AP187" s="154"/>
      <c r="AQ187" s="147">
        <f>SUM(AQ184:AQ186)</f>
        <v>61466.34572100001</v>
      </c>
      <c r="AS187" s="159"/>
    </row>
    <row r="188" spans="4:45" ht="7.5" customHeight="1">
      <c r="D188" s="138"/>
      <c r="E188" s="138"/>
      <c r="F188" s="150"/>
      <c r="G188" s="139"/>
      <c r="H188" s="146"/>
      <c r="I188" s="139"/>
      <c r="J188" s="146"/>
      <c r="V188" s="191"/>
      <c r="W188" s="144"/>
      <c r="X188" s="353"/>
      <c r="Y188" s="138"/>
      <c r="Z188" s="138"/>
      <c r="AA188" s="150"/>
      <c r="AS188" s="159"/>
    </row>
    <row r="189" spans="4:45" ht="12.75">
      <c r="D189" s="138"/>
      <c r="E189" s="138"/>
      <c r="F189" s="150"/>
      <c r="G189" s="139"/>
      <c r="H189" s="146"/>
      <c r="I189" s="139"/>
      <c r="J189" s="146"/>
      <c r="V189" s="191"/>
      <c r="W189" s="144"/>
      <c r="X189" s="353"/>
      <c r="Y189" s="138"/>
      <c r="Z189" s="138"/>
      <c r="AA189" s="150"/>
      <c r="AS189" s="159"/>
    </row>
    <row r="190" spans="4:45" ht="9" customHeight="1">
      <c r="D190" s="138"/>
      <c r="E190" s="138"/>
      <c r="F190" s="150"/>
      <c r="G190" s="139"/>
      <c r="H190" s="146"/>
      <c r="I190" s="139"/>
      <c r="J190" s="146"/>
      <c r="V190" s="191"/>
      <c r="W190" s="144"/>
      <c r="X190" s="353"/>
      <c r="Y190" s="138"/>
      <c r="Z190" s="138"/>
      <c r="AA190" s="150"/>
      <c r="AS190" s="159"/>
    </row>
    <row r="191" spans="4:45" ht="12.75">
      <c r="D191" s="228" t="s">
        <v>273</v>
      </c>
      <c r="E191" s="138"/>
      <c r="F191" s="150"/>
      <c r="G191" s="139"/>
      <c r="H191" s="147">
        <f>+H187+H175+H129+H181+H177</f>
        <v>53481400.09</v>
      </c>
      <c r="I191" s="139"/>
      <c r="J191" s="147">
        <f>+J187+J175+J129+J181+J177</f>
        <v>29804255.156500094</v>
      </c>
      <c r="K191" s="139"/>
      <c r="L191" s="147">
        <f>+L187+L175+L129+L181+L177</f>
        <v>11036043.320714952</v>
      </c>
      <c r="M191" s="139"/>
      <c r="N191" s="147">
        <f>+N187+N175+N129+N181+N177</f>
        <v>3684939.6445072163</v>
      </c>
      <c r="O191" s="139"/>
      <c r="P191" s="147">
        <f>+P187+P175+P129+P181+P177</f>
        <v>2227355.957761721</v>
      </c>
      <c r="Q191" s="139"/>
      <c r="R191" s="147">
        <f>+R187+R175+R129+R181+R177</f>
        <v>1385273.8317610002</v>
      </c>
      <c r="S191" s="139"/>
      <c r="T191" s="147">
        <f>+T187+T175+T129+T181+T177</f>
        <v>5343532.178755021</v>
      </c>
      <c r="U191" s="139"/>
      <c r="V191" s="191"/>
      <c r="W191" s="144"/>
      <c r="X191" s="353"/>
      <c r="Y191" s="228" t="s">
        <v>273</v>
      </c>
      <c r="Z191" s="138"/>
      <c r="AA191" s="150"/>
      <c r="AC191" s="147">
        <f>+AC187+AC175+AC129+AC181+AC177</f>
        <v>53481400.09</v>
      </c>
      <c r="AE191" s="147">
        <f>+AE187+AE175+AE129+AE181+AE177</f>
        <v>23440486.63413436</v>
      </c>
      <c r="AG191" s="147">
        <f>+AG187+AG175+AG129+AG181+AG177</f>
        <v>9139695.723030807</v>
      </c>
      <c r="AI191" s="147">
        <f>+AI187+AI175+AI129+AI181+AI177</f>
        <v>5773969.936475428</v>
      </c>
      <c r="AK191" s="147">
        <f>+AK187+AK175+AK129+AK181+AK177</f>
        <v>3132102.4238316463</v>
      </c>
      <c r="AM191" s="147">
        <f>+AM187+AM175+AM129+AM181+AM177</f>
        <v>3461287.158086136</v>
      </c>
      <c r="AO191" s="147">
        <f>+AO187+AO175+AO129+AO181+AO177</f>
        <v>3190326.035686607</v>
      </c>
      <c r="AQ191" s="147">
        <f>+AQ187+AQ175+AQ129+AQ181+AQ177</f>
        <v>5343532.178755021</v>
      </c>
      <c r="AS191" s="159"/>
    </row>
    <row r="192" spans="4:45" ht="7.5" customHeight="1">
      <c r="D192" s="138"/>
      <c r="E192" s="138"/>
      <c r="F192" s="150"/>
      <c r="G192" s="139"/>
      <c r="H192" s="146"/>
      <c r="I192"/>
      <c r="J192" s="146"/>
      <c r="K192"/>
      <c r="M192"/>
      <c r="O192"/>
      <c r="Q192"/>
      <c r="S192"/>
      <c r="V192" s="191"/>
      <c r="W192" s="144"/>
      <c r="X192" s="353"/>
      <c r="Y192" s="138"/>
      <c r="Z192" s="138"/>
      <c r="AA192" s="150"/>
      <c r="AS192" s="159"/>
    </row>
    <row r="193" spans="4:45" ht="11.25" customHeight="1">
      <c r="D193" s="228" t="s">
        <v>272</v>
      </c>
      <c r="E193" s="293"/>
      <c r="F193" s="294"/>
      <c r="G193" s="225"/>
      <c r="H193" s="295"/>
      <c r="I193"/>
      <c r="J193" s="295"/>
      <c r="K193" s="159"/>
      <c r="L193" s="295"/>
      <c r="M193" s="159"/>
      <c r="N193" s="295"/>
      <c r="O193" s="159"/>
      <c r="P193" s="295"/>
      <c r="Q193" s="159"/>
      <c r="R193" s="295"/>
      <c r="S193" s="159"/>
      <c r="T193" s="295"/>
      <c r="V193" s="191"/>
      <c r="W193" s="144"/>
      <c r="X193" s="353"/>
      <c r="Y193" s="228" t="s">
        <v>272</v>
      </c>
      <c r="Z193" s="293"/>
      <c r="AA193" s="294"/>
      <c r="AC193" s="159"/>
      <c r="AE193" s="295"/>
      <c r="AF193" s="295"/>
      <c r="AG193" s="295"/>
      <c r="AH193" s="295"/>
      <c r="AI193" s="295"/>
      <c r="AJ193" s="295"/>
      <c r="AK193" s="295"/>
      <c r="AL193" s="295"/>
      <c r="AM193" s="295"/>
      <c r="AN193" s="295"/>
      <c r="AO193" s="295"/>
      <c r="AP193" s="295"/>
      <c r="AQ193" s="295"/>
      <c r="AS193" s="159"/>
    </row>
    <row r="194" spans="1:45" s="135" customFormat="1" ht="11.25" customHeight="1">
      <c r="A194" s="352"/>
      <c r="B194" s="441"/>
      <c r="C194" s="353"/>
      <c r="D194" s="138" t="s">
        <v>415</v>
      </c>
      <c r="E194" s="138"/>
      <c r="F194" s="150">
        <v>19</v>
      </c>
      <c r="G194" s="139"/>
      <c r="H194" s="146">
        <v>765148.89</v>
      </c>
      <c r="J194" s="218">
        <f aca="true" t="shared" si="94" ref="J194:J203">(VLOOKUP($F194,Factors,J$324))*$H194</f>
        <v>426493.991286</v>
      </c>
      <c r="K194" s="353"/>
      <c r="L194" s="218">
        <f aca="true" t="shared" si="95" ref="L194:L203">(VLOOKUP($F194,Factors,L$324))*$H194</f>
        <v>157850.216007</v>
      </c>
      <c r="M194" s="353"/>
      <c r="N194" s="218">
        <f aca="true" t="shared" si="96" ref="N194:N203">(VLOOKUP($F194,Factors,N$324))*$H194</f>
        <v>52718.758521</v>
      </c>
      <c r="O194" s="353"/>
      <c r="P194" s="218">
        <f aca="true" t="shared" si="97" ref="P194:P203">(VLOOKUP($F194,Factors,P$324))*$H194</f>
        <v>31830.193823999998</v>
      </c>
      <c r="Q194" s="353"/>
      <c r="R194" s="218">
        <f aca="true" t="shared" si="98" ref="R194:R203">(VLOOKUP($F194,Factors,R$324))*$H194</f>
        <v>19817.356251</v>
      </c>
      <c r="S194" s="353"/>
      <c r="T194" s="218">
        <f aca="true" t="shared" si="99" ref="T194:T203">(VLOOKUP($F194,Factors,T$324))*$H194</f>
        <v>76438.374111</v>
      </c>
      <c r="U194" s="291"/>
      <c r="W194" s="137"/>
      <c r="X194" s="353"/>
      <c r="Y194" s="138" t="s">
        <v>415</v>
      </c>
      <c r="Z194" s="138"/>
      <c r="AA194" s="150">
        <f>+F194</f>
        <v>19</v>
      </c>
      <c r="AC194" s="154">
        <f aca="true" t="shared" si="100" ref="AC194:AC203">+H194</f>
        <v>765148.89</v>
      </c>
      <c r="AE194" s="160">
        <f aca="true" t="shared" si="101" ref="AE194:AE203">(VLOOKUP($AA194,func,AE$324))*$AC194</f>
        <v>335288.24359800003</v>
      </c>
      <c r="AF194" s="160"/>
      <c r="AG194" s="160">
        <f aca="true" t="shared" si="102" ref="AG194:AG203">(VLOOKUP($AA194,func,AG$324))*$AC194</f>
        <v>130610.91552299999</v>
      </c>
      <c r="AH194" s="160"/>
      <c r="AI194" s="160">
        <f aca="true" t="shared" si="103" ref="AI194:AI203">(VLOOKUP($AA194,func,AI$324))*$AC194</f>
        <v>82636.08012</v>
      </c>
      <c r="AJ194" s="160"/>
      <c r="AK194" s="160">
        <f aca="true" t="shared" si="104" ref="AK194:AK203">(VLOOKUP($AA194,func,AK$324))*$AC194</f>
        <v>44837.724954</v>
      </c>
      <c r="AL194" s="160"/>
      <c r="AM194" s="160">
        <f aca="true" t="shared" si="105" ref="AM194:AM203">(VLOOKUP($AA194,func,AM$324))*$AC194</f>
        <v>49505.133183</v>
      </c>
      <c r="AN194" s="160"/>
      <c r="AO194" s="160">
        <f aca="true" t="shared" si="106" ref="AO194:AO203">(VLOOKUP($AA194,func,AO$324))*$AC194</f>
        <v>45832.418511</v>
      </c>
      <c r="AP194" s="160"/>
      <c r="AQ194" s="160">
        <f aca="true" t="shared" si="107" ref="AQ194:AQ203">(VLOOKUP($AA194,func,AQ$324))*$AC194</f>
        <v>76438.374111</v>
      </c>
      <c r="AS194" s="154"/>
    </row>
    <row r="195" spans="1:45" s="135" customFormat="1" ht="11.25" customHeight="1">
      <c r="A195" s="352"/>
      <c r="B195" s="441"/>
      <c r="C195" s="353"/>
      <c r="D195" s="138" t="s">
        <v>416</v>
      </c>
      <c r="E195" s="138"/>
      <c r="F195" s="150">
        <v>8</v>
      </c>
      <c r="G195" s="139"/>
      <c r="H195" s="146">
        <v>309380</v>
      </c>
      <c r="J195" s="218">
        <f t="shared" si="94"/>
        <v>240326.38400000002</v>
      </c>
      <c r="K195" s="353"/>
      <c r="L195" s="218">
        <f t="shared" si="95"/>
        <v>55255.268000000004</v>
      </c>
      <c r="M195" s="353"/>
      <c r="N195" s="218">
        <f t="shared" si="96"/>
        <v>4269.4439999999995</v>
      </c>
      <c r="O195" s="353"/>
      <c r="P195" s="218">
        <f t="shared" si="97"/>
        <v>9281.4</v>
      </c>
      <c r="Q195" s="353"/>
      <c r="R195" s="218">
        <f t="shared" si="98"/>
        <v>247.50400000000002</v>
      </c>
      <c r="S195" s="353"/>
      <c r="T195" s="218">
        <f t="shared" si="99"/>
        <v>0</v>
      </c>
      <c r="U195" s="291"/>
      <c r="W195" s="137"/>
      <c r="X195" s="353"/>
      <c r="Y195" s="138" t="s">
        <v>416</v>
      </c>
      <c r="Z195" s="138"/>
      <c r="AA195" s="150">
        <f aca="true" t="shared" si="108" ref="AA195:AA203">+F195</f>
        <v>8</v>
      </c>
      <c r="AC195" s="154">
        <f t="shared" si="100"/>
        <v>309380</v>
      </c>
      <c r="AE195" s="160">
        <f t="shared" si="101"/>
        <v>0</v>
      </c>
      <c r="AF195" s="160"/>
      <c r="AG195" s="160">
        <f t="shared" si="102"/>
        <v>0</v>
      </c>
      <c r="AH195" s="160"/>
      <c r="AI195" s="160">
        <f t="shared" si="103"/>
        <v>0</v>
      </c>
      <c r="AJ195" s="160"/>
      <c r="AK195" s="160">
        <f t="shared" si="104"/>
        <v>309380</v>
      </c>
      <c r="AL195" s="160"/>
      <c r="AM195" s="160">
        <f t="shared" si="105"/>
        <v>0</v>
      </c>
      <c r="AN195" s="160"/>
      <c r="AO195" s="160">
        <f t="shared" si="106"/>
        <v>0</v>
      </c>
      <c r="AP195" s="160"/>
      <c r="AQ195" s="160">
        <f t="shared" si="107"/>
        <v>0</v>
      </c>
      <c r="AS195" s="154"/>
    </row>
    <row r="196" spans="1:45" s="135" customFormat="1" ht="11.25" customHeight="1">
      <c r="A196" s="352"/>
      <c r="B196" s="441"/>
      <c r="C196" s="353"/>
      <c r="D196" s="138" t="s">
        <v>417</v>
      </c>
      <c r="E196" s="138"/>
      <c r="F196" s="150">
        <v>19</v>
      </c>
      <c r="G196" s="139"/>
      <c r="H196" s="146">
        <v>540701.59</v>
      </c>
      <c r="J196" s="218">
        <f t="shared" si="94"/>
        <v>301387.066266</v>
      </c>
      <c r="K196" s="353"/>
      <c r="L196" s="218">
        <f t="shared" si="95"/>
        <v>111546.738017</v>
      </c>
      <c r="M196" s="353"/>
      <c r="N196" s="218">
        <f t="shared" si="96"/>
        <v>37254.339551</v>
      </c>
      <c r="O196" s="353"/>
      <c r="P196" s="218">
        <f t="shared" si="97"/>
        <v>22493.186144</v>
      </c>
      <c r="Q196" s="353"/>
      <c r="R196" s="218">
        <f t="shared" si="98"/>
        <v>14004.171181</v>
      </c>
      <c r="S196" s="353"/>
      <c r="T196" s="218">
        <f t="shared" si="99"/>
        <v>54016.088841</v>
      </c>
      <c r="U196" s="291"/>
      <c r="W196" s="137"/>
      <c r="X196" s="353"/>
      <c r="Y196" s="138" t="s">
        <v>417</v>
      </c>
      <c r="Z196" s="138"/>
      <c r="AA196" s="150">
        <f t="shared" si="108"/>
        <v>19</v>
      </c>
      <c r="AC196" s="154">
        <f t="shared" si="100"/>
        <v>540701.59</v>
      </c>
      <c r="AE196" s="160">
        <f t="shared" si="101"/>
        <v>236935.43673800002</v>
      </c>
      <c r="AF196" s="160"/>
      <c r="AG196" s="160">
        <f t="shared" si="102"/>
        <v>92297.76141299999</v>
      </c>
      <c r="AH196" s="160"/>
      <c r="AI196" s="160">
        <f t="shared" si="103"/>
        <v>58395.77172</v>
      </c>
      <c r="AJ196" s="160"/>
      <c r="AK196" s="160">
        <f t="shared" si="104"/>
        <v>31685.113174</v>
      </c>
      <c r="AL196" s="160"/>
      <c r="AM196" s="160">
        <f t="shared" si="105"/>
        <v>34983.392873</v>
      </c>
      <c r="AN196" s="160"/>
      <c r="AO196" s="160">
        <f t="shared" si="106"/>
        <v>32388.025241</v>
      </c>
      <c r="AP196" s="160"/>
      <c r="AQ196" s="160">
        <f t="shared" si="107"/>
        <v>54016.088841</v>
      </c>
      <c r="AS196" s="154"/>
    </row>
    <row r="197" spans="1:45" s="135" customFormat="1" ht="11.25" customHeight="1">
      <c r="A197" s="352"/>
      <c r="B197" s="441"/>
      <c r="C197" s="353"/>
      <c r="D197" s="138" t="s">
        <v>418</v>
      </c>
      <c r="E197" s="138"/>
      <c r="F197" s="150">
        <v>2</v>
      </c>
      <c r="G197" s="139"/>
      <c r="H197" s="146">
        <v>34855.4</v>
      </c>
      <c r="J197" s="218">
        <f t="shared" si="94"/>
        <v>19044.990560000002</v>
      </c>
      <c r="K197" s="353"/>
      <c r="L197" s="218">
        <f t="shared" si="95"/>
        <v>8780.075260000001</v>
      </c>
      <c r="M197" s="353"/>
      <c r="N197" s="218">
        <f t="shared" si="96"/>
        <v>3377.48826</v>
      </c>
      <c r="O197" s="353"/>
      <c r="P197" s="218">
        <f t="shared" si="97"/>
        <v>1913.56146</v>
      </c>
      <c r="Q197" s="353"/>
      <c r="R197" s="218">
        <f t="shared" si="98"/>
        <v>1606.8339400000002</v>
      </c>
      <c r="S197" s="353"/>
      <c r="T197" s="218">
        <f t="shared" si="99"/>
        <v>132.45052</v>
      </c>
      <c r="U197" s="291"/>
      <c r="W197" s="137"/>
      <c r="X197" s="353"/>
      <c r="Y197" s="138" t="s">
        <v>418</v>
      </c>
      <c r="Z197" s="138"/>
      <c r="AA197" s="150">
        <f t="shared" si="108"/>
        <v>2</v>
      </c>
      <c r="AC197" s="154">
        <f t="shared" si="100"/>
        <v>34855.4</v>
      </c>
      <c r="AE197" s="160">
        <f t="shared" si="101"/>
        <v>21652.17448</v>
      </c>
      <c r="AF197" s="160"/>
      <c r="AG197" s="160">
        <f t="shared" si="102"/>
        <v>13070.775000000001</v>
      </c>
      <c r="AH197" s="160"/>
      <c r="AI197" s="160">
        <f t="shared" si="103"/>
        <v>0</v>
      </c>
      <c r="AJ197" s="160"/>
      <c r="AK197" s="160">
        <f t="shared" si="104"/>
        <v>0</v>
      </c>
      <c r="AL197" s="160"/>
      <c r="AM197" s="160">
        <f t="shared" si="105"/>
        <v>0</v>
      </c>
      <c r="AN197" s="160"/>
      <c r="AO197" s="160">
        <f t="shared" si="106"/>
        <v>0</v>
      </c>
      <c r="AP197" s="160"/>
      <c r="AQ197" s="160">
        <f t="shared" si="107"/>
        <v>132.45052</v>
      </c>
      <c r="AS197" s="154"/>
    </row>
    <row r="198" spans="1:45" s="135" customFormat="1" ht="11.25" customHeight="1">
      <c r="A198" s="352"/>
      <c r="B198" s="441"/>
      <c r="C198" s="353"/>
      <c r="D198" s="138" t="s">
        <v>419</v>
      </c>
      <c r="E198" s="138"/>
      <c r="F198" s="150">
        <v>14</v>
      </c>
      <c r="G198" s="139"/>
      <c r="H198" s="146">
        <v>87022.92</v>
      </c>
      <c r="J198" s="218">
        <f t="shared" si="94"/>
        <v>51482.759472</v>
      </c>
      <c r="K198" s="353"/>
      <c r="L198" s="218">
        <f t="shared" si="95"/>
        <v>16621.37772</v>
      </c>
      <c r="M198" s="353"/>
      <c r="N198" s="218">
        <f t="shared" si="96"/>
        <v>5090.84082</v>
      </c>
      <c r="O198" s="353"/>
      <c r="P198" s="218">
        <f t="shared" si="97"/>
        <v>3193.741164</v>
      </c>
      <c r="Q198" s="353"/>
      <c r="R198" s="218">
        <f t="shared" si="98"/>
        <v>1618.6263119999999</v>
      </c>
      <c r="S198" s="353"/>
      <c r="T198" s="218">
        <f t="shared" si="99"/>
        <v>9015.574512</v>
      </c>
      <c r="U198" s="291"/>
      <c r="W198" s="137"/>
      <c r="X198" s="353"/>
      <c r="Y198" s="138" t="s">
        <v>419</v>
      </c>
      <c r="Z198" s="138"/>
      <c r="AA198" s="150">
        <f t="shared" si="108"/>
        <v>14</v>
      </c>
      <c r="AC198" s="154">
        <f t="shared" si="100"/>
        <v>87022.92</v>
      </c>
      <c r="AE198" s="160">
        <f t="shared" si="101"/>
        <v>29230.998827999996</v>
      </c>
      <c r="AF198" s="160"/>
      <c r="AG198" s="160">
        <f t="shared" si="102"/>
        <v>12209.315676</v>
      </c>
      <c r="AH198" s="160"/>
      <c r="AI198" s="160">
        <f t="shared" si="103"/>
        <v>12670.537152</v>
      </c>
      <c r="AJ198" s="160"/>
      <c r="AK198" s="160">
        <f t="shared" si="104"/>
        <v>6448.398372</v>
      </c>
      <c r="AL198" s="160"/>
      <c r="AM198" s="160">
        <f t="shared" si="105"/>
        <v>6761.680884</v>
      </c>
      <c r="AN198" s="160"/>
      <c r="AO198" s="160">
        <f t="shared" si="106"/>
        <v>10686.414576000001</v>
      </c>
      <c r="AP198" s="160"/>
      <c r="AQ198" s="160">
        <f t="shared" si="107"/>
        <v>9015.574512</v>
      </c>
      <c r="AS198" s="154"/>
    </row>
    <row r="199" spans="1:45" s="135" customFormat="1" ht="11.25" customHeight="1">
      <c r="A199" s="352"/>
      <c r="B199" s="441"/>
      <c r="C199" s="353"/>
      <c r="D199" s="138" t="s">
        <v>420</v>
      </c>
      <c r="E199" s="138"/>
      <c r="F199" s="150">
        <v>18</v>
      </c>
      <c r="G199" s="139"/>
      <c r="H199" s="146">
        <v>1803434.03</v>
      </c>
      <c r="J199" s="218">
        <f t="shared" si="94"/>
        <v>953475.5716610001</v>
      </c>
      <c r="K199" s="353"/>
      <c r="L199" s="218">
        <f t="shared" si="95"/>
        <v>381967.32755399996</v>
      </c>
      <c r="M199" s="353"/>
      <c r="N199" s="218">
        <f t="shared" si="96"/>
        <v>130929.310578</v>
      </c>
      <c r="O199" s="353"/>
      <c r="P199" s="218">
        <f t="shared" si="97"/>
        <v>78269.036902</v>
      </c>
      <c r="Q199" s="353"/>
      <c r="R199" s="218">
        <f t="shared" si="98"/>
        <v>51037.183049</v>
      </c>
      <c r="S199" s="353"/>
      <c r="T199" s="218">
        <f t="shared" si="99"/>
        <v>207755.600256</v>
      </c>
      <c r="U199" s="291"/>
      <c r="W199" s="137"/>
      <c r="X199" s="353"/>
      <c r="Y199" s="138" t="s">
        <v>420</v>
      </c>
      <c r="Z199" s="138"/>
      <c r="AA199" s="150">
        <f t="shared" si="108"/>
        <v>18</v>
      </c>
      <c r="AC199" s="154">
        <f t="shared" si="100"/>
        <v>1803434.03</v>
      </c>
      <c r="AE199" s="160">
        <f t="shared" si="101"/>
        <v>789363.0749310001</v>
      </c>
      <c r="AF199" s="160"/>
      <c r="AG199" s="160">
        <f t="shared" si="102"/>
        <v>399821.324451</v>
      </c>
      <c r="AH199" s="160"/>
      <c r="AI199" s="160">
        <f t="shared" si="103"/>
        <v>179080.999179</v>
      </c>
      <c r="AJ199" s="160"/>
      <c r="AK199" s="160">
        <f t="shared" si="104"/>
        <v>104599.17374000001</v>
      </c>
      <c r="AL199" s="160"/>
      <c r="AM199" s="160">
        <f t="shared" si="105"/>
        <v>118665.959174</v>
      </c>
      <c r="AN199" s="160"/>
      <c r="AO199" s="160">
        <f t="shared" si="106"/>
        <v>4147.898269</v>
      </c>
      <c r="AP199" s="160"/>
      <c r="AQ199" s="160">
        <f t="shared" si="107"/>
        <v>207755.600256</v>
      </c>
      <c r="AS199" s="154"/>
    </row>
    <row r="200" spans="1:45" s="135" customFormat="1" ht="11.25" customHeight="1">
      <c r="A200" s="352"/>
      <c r="B200" s="441"/>
      <c r="C200" s="353"/>
      <c r="D200" s="138" t="s">
        <v>236</v>
      </c>
      <c r="E200" s="138"/>
      <c r="F200" s="150">
        <v>19</v>
      </c>
      <c r="G200" s="139"/>
      <c r="H200" s="146">
        <v>438584</v>
      </c>
      <c r="J200" s="218">
        <f t="shared" si="94"/>
        <v>244466.7216</v>
      </c>
      <c r="K200" s="353"/>
      <c r="L200" s="218">
        <f t="shared" si="95"/>
        <v>90479.87920000001</v>
      </c>
      <c r="M200" s="353"/>
      <c r="N200" s="218">
        <f t="shared" si="96"/>
        <v>30218.4376</v>
      </c>
      <c r="O200" s="353"/>
      <c r="P200" s="218">
        <f t="shared" si="97"/>
        <v>18245.094399999998</v>
      </c>
      <c r="Q200" s="353"/>
      <c r="R200" s="218">
        <f t="shared" si="98"/>
        <v>11359.3256</v>
      </c>
      <c r="S200" s="353"/>
      <c r="T200" s="218">
        <f t="shared" si="99"/>
        <v>43814.541600000004</v>
      </c>
      <c r="U200" s="291"/>
      <c r="W200" s="137"/>
      <c r="X200" s="353"/>
      <c r="Y200" s="138" t="s">
        <v>236</v>
      </c>
      <c r="Z200" s="138"/>
      <c r="AA200" s="150">
        <f t="shared" si="108"/>
        <v>19</v>
      </c>
      <c r="AC200" s="154">
        <f>+H200</f>
        <v>438584</v>
      </c>
      <c r="AE200" s="160">
        <f t="shared" si="101"/>
        <v>192187.5088</v>
      </c>
      <c r="AF200" s="160"/>
      <c r="AG200" s="160">
        <f t="shared" si="102"/>
        <v>74866.2888</v>
      </c>
      <c r="AH200" s="160"/>
      <c r="AI200" s="160">
        <f t="shared" si="103"/>
        <v>47367.072</v>
      </c>
      <c r="AJ200" s="160"/>
      <c r="AK200" s="160">
        <f t="shared" si="104"/>
        <v>25701.022399999998</v>
      </c>
      <c r="AL200" s="160"/>
      <c r="AM200" s="160">
        <f t="shared" si="105"/>
        <v>28376.384799999996</v>
      </c>
      <c r="AN200" s="160"/>
      <c r="AO200" s="160">
        <f t="shared" si="106"/>
        <v>26271.1816</v>
      </c>
      <c r="AP200" s="160"/>
      <c r="AQ200" s="160">
        <f t="shared" si="107"/>
        <v>43814.541600000004</v>
      </c>
      <c r="AS200" s="154"/>
    </row>
    <row r="201" spans="1:45" s="135" customFormat="1" ht="11.25" customHeight="1">
      <c r="A201" s="352"/>
      <c r="B201" s="441"/>
      <c r="C201" s="353"/>
      <c r="D201" s="138" t="s">
        <v>423</v>
      </c>
      <c r="E201" s="138"/>
      <c r="F201" s="150">
        <v>19</v>
      </c>
      <c r="G201" s="139"/>
      <c r="H201" s="146">
        <v>88959.708</v>
      </c>
      <c r="J201" s="218">
        <f t="shared" si="94"/>
        <v>49586.1412392</v>
      </c>
      <c r="K201" s="353"/>
      <c r="L201" s="218">
        <f t="shared" si="95"/>
        <v>18352.3877604</v>
      </c>
      <c r="M201" s="353"/>
      <c r="N201" s="218">
        <f t="shared" si="96"/>
        <v>6129.3238812</v>
      </c>
      <c r="O201" s="353"/>
      <c r="P201" s="218">
        <f t="shared" si="97"/>
        <v>3700.7238528</v>
      </c>
      <c r="Q201" s="353"/>
      <c r="R201" s="218">
        <f t="shared" si="98"/>
        <v>2304.0564372</v>
      </c>
      <c r="S201" s="353"/>
      <c r="T201" s="218">
        <f t="shared" si="99"/>
        <v>8887.0748292</v>
      </c>
      <c r="U201" s="291"/>
      <c r="W201" s="137"/>
      <c r="X201" s="353"/>
      <c r="Y201" s="138" t="s">
        <v>423</v>
      </c>
      <c r="Z201" s="138"/>
      <c r="AA201" s="150">
        <f t="shared" si="108"/>
        <v>19</v>
      </c>
      <c r="AC201" s="154">
        <f>+H201</f>
        <v>88959.708</v>
      </c>
      <c r="AE201" s="160">
        <f t="shared" si="101"/>
        <v>38982.144045600005</v>
      </c>
      <c r="AF201" s="160"/>
      <c r="AG201" s="160">
        <f t="shared" si="102"/>
        <v>15185.4221556</v>
      </c>
      <c r="AH201" s="160"/>
      <c r="AI201" s="160">
        <f t="shared" si="103"/>
        <v>9607.648464</v>
      </c>
      <c r="AJ201" s="160"/>
      <c r="AK201" s="160">
        <f t="shared" si="104"/>
        <v>5213.0388888</v>
      </c>
      <c r="AL201" s="160"/>
      <c r="AM201" s="160">
        <f t="shared" si="105"/>
        <v>5755.693107599999</v>
      </c>
      <c r="AN201" s="160"/>
      <c r="AO201" s="160">
        <f t="shared" si="106"/>
        <v>5328.6865092</v>
      </c>
      <c r="AP201" s="160"/>
      <c r="AQ201" s="160">
        <f t="shared" si="107"/>
        <v>8887.0748292</v>
      </c>
      <c r="AS201" s="154"/>
    </row>
    <row r="202" spans="1:45" s="135" customFormat="1" ht="11.25" customHeight="1">
      <c r="A202" s="352"/>
      <c r="B202" s="441"/>
      <c r="C202" s="353"/>
      <c r="D202" s="138" t="s">
        <v>411</v>
      </c>
      <c r="E202" s="138"/>
      <c r="F202" s="150">
        <v>19</v>
      </c>
      <c r="G202" s="139"/>
      <c r="H202" s="146">
        <v>638600.9</v>
      </c>
      <c r="J202" s="218">
        <f t="shared" si="94"/>
        <v>355956.14166</v>
      </c>
      <c r="K202" s="353"/>
      <c r="L202" s="218">
        <f t="shared" si="95"/>
        <v>131743.36567</v>
      </c>
      <c r="M202" s="353"/>
      <c r="N202" s="218">
        <f t="shared" si="96"/>
        <v>43999.60201</v>
      </c>
      <c r="O202" s="353"/>
      <c r="P202" s="218">
        <f t="shared" si="97"/>
        <v>26565.79744</v>
      </c>
      <c r="Q202" s="353"/>
      <c r="R202" s="218">
        <f t="shared" si="98"/>
        <v>16539.76331</v>
      </c>
      <c r="S202" s="353"/>
      <c r="T202" s="218">
        <f t="shared" si="99"/>
        <v>63796.22991</v>
      </c>
      <c r="U202" s="291"/>
      <c r="W202" s="137"/>
      <c r="X202" s="353"/>
      <c r="Y202" s="138" t="s">
        <v>411</v>
      </c>
      <c r="Z202" s="138"/>
      <c r="AA202" s="150">
        <f t="shared" si="108"/>
        <v>19</v>
      </c>
      <c r="AC202" s="154">
        <f>+H202</f>
        <v>638600.9</v>
      </c>
      <c r="AE202" s="160">
        <f t="shared" si="101"/>
        <v>279834.91438000003</v>
      </c>
      <c r="AF202" s="160"/>
      <c r="AG202" s="160">
        <f t="shared" si="102"/>
        <v>109009.17363</v>
      </c>
      <c r="AH202" s="160"/>
      <c r="AI202" s="160">
        <f t="shared" si="103"/>
        <v>68968.8972</v>
      </c>
      <c r="AJ202" s="160"/>
      <c r="AK202" s="160">
        <f t="shared" si="104"/>
        <v>37422.01274</v>
      </c>
      <c r="AL202" s="160"/>
      <c r="AM202" s="160">
        <f t="shared" si="105"/>
        <v>41317.47823</v>
      </c>
      <c r="AN202" s="160"/>
      <c r="AO202" s="160">
        <f t="shared" si="106"/>
        <v>38252.19391</v>
      </c>
      <c r="AP202" s="160"/>
      <c r="AQ202" s="160">
        <f t="shared" si="107"/>
        <v>63796.22991</v>
      </c>
      <c r="AS202" s="154"/>
    </row>
    <row r="203" spans="4:45" ht="11.25" customHeight="1">
      <c r="D203" s="138" t="s">
        <v>422</v>
      </c>
      <c r="E203" s="293"/>
      <c r="F203" s="294">
        <v>19</v>
      </c>
      <c r="G203" s="225"/>
      <c r="H203" s="147">
        <v>158618.7</v>
      </c>
      <c r="I203"/>
      <c r="J203" s="405">
        <f t="shared" si="94"/>
        <v>88414.06338</v>
      </c>
      <c r="K203" s="353"/>
      <c r="L203" s="405">
        <f t="shared" si="95"/>
        <v>32723.037810000005</v>
      </c>
      <c r="M203" s="353"/>
      <c r="N203" s="405">
        <f t="shared" si="96"/>
        <v>10928.828430000001</v>
      </c>
      <c r="O203" s="353"/>
      <c r="P203" s="405">
        <f t="shared" si="97"/>
        <v>6598.53792</v>
      </c>
      <c r="Q203" s="353"/>
      <c r="R203" s="405">
        <f t="shared" si="98"/>
        <v>4108.22433</v>
      </c>
      <c r="S203" s="353"/>
      <c r="T203" s="405">
        <f t="shared" si="99"/>
        <v>15846.008130000002</v>
      </c>
      <c r="U203" s="162"/>
      <c r="W203" s="144"/>
      <c r="X203" s="353"/>
      <c r="Y203" s="138" t="s">
        <v>422</v>
      </c>
      <c r="Z203" s="293"/>
      <c r="AA203" s="294">
        <f t="shared" si="108"/>
        <v>19</v>
      </c>
      <c r="AC203" s="426">
        <f t="shared" si="100"/>
        <v>158618.7</v>
      </c>
      <c r="AE203" s="147">
        <f t="shared" si="101"/>
        <v>69506.71434</v>
      </c>
      <c r="AF203" s="160"/>
      <c r="AG203" s="147">
        <f t="shared" si="102"/>
        <v>27076.21209</v>
      </c>
      <c r="AH203" s="160"/>
      <c r="AI203" s="147">
        <f t="shared" si="103"/>
        <v>17130.819600000003</v>
      </c>
      <c r="AJ203" s="160"/>
      <c r="AK203" s="147">
        <f t="shared" si="104"/>
        <v>9295.055820000001</v>
      </c>
      <c r="AL203" s="160"/>
      <c r="AM203" s="147">
        <f t="shared" si="105"/>
        <v>10262.62989</v>
      </c>
      <c r="AN203" s="160"/>
      <c r="AO203" s="147">
        <f t="shared" si="106"/>
        <v>9501.26013</v>
      </c>
      <c r="AP203" s="160"/>
      <c r="AQ203" s="147">
        <f t="shared" si="107"/>
        <v>15846.008130000002</v>
      </c>
      <c r="AS203" s="159"/>
    </row>
    <row r="204" spans="4:45" ht="11.25" customHeight="1">
      <c r="D204" s="228" t="s">
        <v>421</v>
      </c>
      <c r="E204" s="293"/>
      <c r="F204" s="294"/>
      <c r="G204" s="225"/>
      <c r="H204" s="295">
        <f>SUM(H194:H203)</f>
        <v>4865306.138</v>
      </c>
      <c r="I204" s="225"/>
      <c r="J204" s="295">
        <f>SUM(J194:J203)</f>
        <v>2730633.8311242</v>
      </c>
      <c r="K204" s="225"/>
      <c r="L204" s="295">
        <f>SUM(L194:L203)</f>
        <v>1005319.6729983998</v>
      </c>
      <c r="M204" s="225"/>
      <c r="N204" s="295">
        <f>SUM(N194:N203)</f>
        <v>324916.3736512</v>
      </c>
      <c r="O204" s="225"/>
      <c r="P204" s="295">
        <f>SUM(P194:P203)</f>
        <v>202091.27310679998</v>
      </c>
      <c r="Q204" s="225"/>
      <c r="R204" s="295">
        <f>SUM(R194:R203)</f>
        <v>122643.04441019997</v>
      </c>
      <c r="S204" s="225"/>
      <c r="T204" s="295">
        <f>SUM(T194:T203)</f>
        <v>479701.94270919997</v>
      </c>
      <c r="U204" s="225"/>
      <c r="V204" s="191"/>
      <c r="W204" s="144"/>
      <c r="X204" s="353"/>
      <c r="Y204" s="228" t="s">
        <v>421</v>
      </c>
      <c r="Z204" s="293"/>
      <c r="AA204" s="294"/>
      <c r="AC204" s="159">
        <f>SUM(AC194:AC203)</f>
        <v>4865306.138</v>
      </c>
      <c r="AE204" s="159">
        <f>SUM(AE194:AE203)</f>
        <v>1992981.2101406</v>
      </c>
      <c r="AG204" s="159">
        <f>SUM(AG194:AG203)</f>
        <v>874147.1887386</v>
      </c>
      <c r="AI204" s="159">
        <f>SUM(AI194:AI203)</f>
        <v>475857.825435</v>
      </c>
      <c r="AK204" s="159">
        <f>SUM(AK194:AK203)</f>
        <v>574581.5400888</v>
      </c>
      <c r="AM204" s="159">
        <f>SUM(AM194:AM203)</f>
        <v>295628.3521416</v>
      </c>
      <c r="AO204" s="159">
        <f>SUM(AO194:AO203)</f>
        <v>172408.07874620002</v>
      </c>
      <c r="AQ204" s="159">
        <f>SUM(AQ194:AQ203)</f>
        <v>479701.94270919997</v>
      </c>
      <c r="AS204" s="159"/>
    </row>
    <row r="205" spans="4:45" ht="11.25" customHeight="1">
      <c r="D205" s="228"/>
      <c r="E205" s="293"/>
      <c r="F205" s="294"/>
      <c r="G205" s="225"/>
      <c r="H205" s="295"/>
      <c r="I205"/>
      <c r="J205" s="295"/>
      <c r="K205" s="159"/>
      <c r="L205" s="295"/>
      <c r="M205" s="159"/>
      <c r="N205" s="295"/>
      <c r="O205" s="159"/>
      <c r="P205" s="295"/>
      <c r="Q205" s="159"/>
      <c r="R205" s="295"/>
      <c r="S205" s="159"/>
      <c r="T205" s="295"/>
      <c r="V205" s="191"/>
      <c r="W205" s="144"/>
      <c r="X205" s="353"/>
      <c r="Y205" s="228"/>
      <c r="Z205" s="293"/>
      <c r="AA205" s="294"/>
      <c r="AC205" s="159"/>
      <c r="AE205" s="295"/>
      <c r="AF205" s="295"/>
      <c r="AG205" s="295"/>
      <c r="AH205" s="295"/>
      <c r="AI205" s="295"/>
      <c r="AJ205" s="295"/>
      <c r="AK205" s="295"/>
      <c r="AL205" s="295"/>
      <c r="AM205" s="295"/>
      <c r="AN205" s="295"/>
      <c r="AO205" s="295"/>
      <c r="AP205" s="295"/>
      <c r="AQ205" s="295"/>
      <c r="AS205" s="159"/>
    </row>
    <row r="206" spans="4:45" ht="12" customHeight="1">
      <c r="D206" s="138"/>
      <c r="E206" s="138"/>
      <c r="F206" s="150"/>
      <c r="G206" s="139"/>
      <c r="H206" s="146"/>
      <c r="I206"/>
      <c r="J206" s="146"/>
      <c r="K206"/>
      <c r="M206"/>
      <c r="O206"/>
      <c r="Q206"/>
      <c r="S206"/>
      <c r="V206" s="191"/>
      <c r="W206" s="144"/>
      <c r="X206" s="353"/>
      <c r="Y206" s="138"/>
      <c r="Z206" s="138"/>
      <c r="AA206" s="150"/>
      <c r="AC206" s="146"/>
      <c r="AE206" s="146"/>
      <c r="AG206" s="154"/>
      <c r="AI206" s="154"/>
      <c r="AK206" s="154"/>
      <c r="AM206" s="154"/>
      <c r="AO206" s="154"/>
      <c r="AQ206" s="154"/>
      <c r="AS206" s="159"/>
    </row>
    <row r="207" spans="4:45" ht="12.75">
      <c r="D207" s="228" t="s">
        <v>271</v>
      </c>
      <c r="E207" s="138"/>
      <c r="F207" s="150"/>
      <c r="G207" s="139"/>
      <c r="H207" s="146"/>
      <c r="I207"/>
      <c r="J207" s="146"/>
      <c r="K207"/>
      <c r="M207"/>
      <c r="O207"/>
      <c r="Q207"/>
      <c r="S207"/>
      <c r="V207" s="191"/>
      <c r="W207" s="144"/>
      <c r="X207" s="353"/>
      <c r="Y207" s="228" t="s">
        <v>271</v>
      </c>
      <c r="Z207" s="138"/>
      <c r="AA207" s="150"/>
      <c r="AC207" s="146"/>
      <c r="AE207" s="146"/>
      <c r="AG207" s="154"/>
      <c r="AI207" s="154"/>
      <c r="AK207" s="154"/>
      <c r="AM207" s="154"/>
      <c r="AO207" s="154"/>
      <c r="AQ207" s="154"/>
      <c r="AS207" s="159"/>
    </row>
    <row r="208" spans="4:46" ht="13.5" thickBot="1">
      <c r="D208" s="228" t="s">
        <v>270</v>
      </c>
      <c r="E208" s="138"/>
      <c r="F208" s="150"/>
      <c r="G208" s="139"/>
      <c r="H208" s="205">
        <f>H191-H204</f>
        <v>48616093.95200001</v>
      </c>
      <c r="I208" s="139"/>
      <c r="J208" s="205">
        <f>J191-J204</f>
        <v>27073621.325375892</v>
      </c>
      <c r="K208" s="139"/>
      <c r="L208" s="205">
        <f>L191-L204</f>
        <v>10030723.647716552</v>
      </c>
      <c r="M208" s="139"/>
      <c r="N208" s="205">
        <f>N191-N204</f>
        <v>3360023.2708560163</v>
      </c>
      <c r="O208" s="139"/>
      <c r="P208" s="205">
        <f>P191-P204</f>
        <v>2025264.6846549213</v>
      </c>
      <c r="Q208" s="139"/>
      <c r="R208" s="205">
        <f>R191-R204</f>
        <v>1262630.7873508004</v>
      </c>
      <c r="S208" s="139"/>
      <c r="T208" s="205">
        <f>T191-T204</f>
        <v>4863830.236045821</v>
      </c>
      <c r="V208" s="191"/>
      <c r="W208" s="144"/>
      <c r="X208" s="353"/>
      <c r="Y208" s="228" t="s">
        <v>270</v>
      </c>
      <c r="Z208" s="138"/>
      <c r="AA208" s="150"/>
      <c r="AC208" s="161">
        <f>AC191-AC204</f>
        <v>48616093.95200001</v>
      </c>
      <c r="AE208" s="161">
        <f>AE191-AE204</f>
        <v>21447505.42399376</v>
      </c>
      <c r="AG208" s="161">
        <f>AG191-AG204</f>
        <v>8265548.534292207</v>
      </c>
      <c r="AI208" s="161">
        <f>AI191-AI204</f>
        <v>5298112.111040428</v>
      </c>
      <c r="AK208" s="161">
        <f>AK191-AK204</f>
        <v>2557520.8837428465</v>
      </c>
      <c r="AM208" s="161">
        <f>AM191-AM204</f>
        <v>3165658.805944536</v>
      </c>
      <c r="AO208" s="161">
        <f>AO191-AO204</f>
        <v>3017917.956940407</v>
      </c>
      <c r="AQ208" s="161">
        <f>AQ191-AQ204</f>
        <v>4863830.236045821</v>
      </c>
      <c r="AS208" s="159"/>
      <c r="AT208" s="270"/>
    </row>
    <row r="209" spans="4:45" ht="7.5" customHeight="1" thickTop="1">
      <c r="D209" s="138"/>
      <c r="E209" s="138"/>
      <c r="F209" s="150"/>
      <c r="G209" s="139"/>
      <c r="H209" s="146"/>
      <c r="I209"/>
      <c r="J209" s="146"/>
      <c r="K209"/>
      <c r="M209"/>
      <c r="O209"/>
      <c r="Q209"/>
      <c r="S209"/>
      <c r="U209" s="159"/>
      <c r="V209" s="191"/>
      <c r="W209" s="144"/>
      <c r="X209" s="353"/>
      <c r="Y209" s="138"/>
      <c r="Z209" s="138"/>
      <c r="AA209" s="150"/>
      <c r="AS209" s="159"/>
    </row>
    <row r="210" spans="4:45" ht="9.75" customHeight="1">
      <c r="D210" s="138"/>
      <c r="E210" s="138"/>
      <c r="F210" s="150"/>
      <c r="G210" s="139"/>
      <c r="H210" s="146"/>
      <c r="I210"/>
      <c r="J210" s="146"/>
      <c r="K210"/>
      <c r="M210"/>
      <c r="O210"/>
      <c r="Q210"/>
      <c r="S210"/>
      <c r="U210" s="159"/>
      <c r="V210" s="191"/>
      <c r="W210" s="144"/>
      <c r="X210" s="353"/>
      <c r="Y210" s="138"/>
      <c r="Z210" s="138"/>
      <c r="AA210" s="150"/>
      <c r="AS210" s="159"/>
    </row>
    <row r="211" spans="4:45" ht="12.75">
      <c r="D211" s="138" t="s">
        <v>328</v>
      </c>
      <c r="E211" s="138"/>
      <c r="F211" s="150">
        <v>20</v>
      </c>
      <c r="G211" s="139"/>
      <c r="H211" s="147"/>
      <c r="I211"/>
      <c r="J211" s="147">
        <f>(VLOOKUP($F211,Factors,J$324))*-$T211</f>
        <v>3781141.625502021</v>
      </c>
      <c r="K211" s="147"/>
      <c r="L211" s="147">
        <f>(VLOOKUP($F211,Factors,L$324))*-$T211</f>
        <v>869652.8462049926</v>
      </c>
      <c r="M211" s="147"/>
      <c r="N211" s="147">
        <f>(VLOOKUP($F211,Factors,N$324))*-$T211</f>
        <v>67120.85725743232</v>
      </c>
      <c r="O211" s="147"/>
      <c r="P211" s="147">
        <f>(VLOOKUP($F211,Factors,P$324))*-$T211</f>
        <v>145914.9070813746</v>
      </c>
      <c r="Q211" s="147"/>
      <c r="R211" s="147">
        <f>(VLOOKUP($F211,Factors,R$324))*-$T211</f>
        <v>0</v>
      </c>
      <c r="S211"/>
      <c r="T211" s="215">
        <f>+-T208</f>
        <v>-4863830.236045821</v>
      </c>
      <c r="U211" s="159"/>
      <c r="V211" s="191"/>
      <c r="W211" s="144"/>
      <c r="X211" s="353"/>
      <c r="Y211" s="138" t="s">
        <v>328</v>
      </c>
      <c r="Z211" s="138"/>
      <c r="AA211" s="150">
        <f>+F211</f>
        <v>20</v>
      </c>
      <c r="AC211" s="159">
        <f>+H211</f>
        <v>0</v>
      </c>
      <c r="AE211" s="146">
        <f>(VLOOKUP($AA211,func,AE$324))*$AC211</f>
        <v>0</v>
      </c>
      <c r="AF211" s="146"/>
      <c r="AG211" s="146">
        <f>(VLOOKUP($AA211,func,AG$324))*$AC211</f>
        <v>0</v>
      </c>
      <c r="AH211" s="146"/>
      <c r="AI211" s="146">
        <f>(VLOOKUP($AA211,func,AI$324))*$AC211</f>
        <v>0</v>
      </c>
      <c r="AJ211" s="146"/>
      <c r="AK211" s="146">
        <f>-AQ211</f>
        <v>4863830.236045821</v>
      </c>
      <c r="AL211" s="146"/>
      <c r="AM211" s="146">
        <f>(VLOOKUP($AA211,func,AM$324))*$AC211</f>
        <v>0</v>
      </c>
      <c r="AN211" s="146"/>
      <c r="AO211" s="146">
        <f>(VLOOKUP($AA211,func,AO$324))*$AC211</f>
        <v>0</v>
      </c>
      <c r="AP211" s="146"/>
      <c r="AQ211" s="146">
        <f>+T211</f>
        <v>-4863830.236045821</v>
      </c>
      <c r="AS211" s="159"/>
    </row>
    <row r="212" spans="4:45" ht="9.75" customHeight="1">
      <c r="D212" s="138"/>
      <c r="E212" s="138"/>
      <c r="F212" s="150"/>
      <c r="G212" s="139"/>
      <c r="H212" s="146"/>
      <c r="I212"/>
      <c r="J212" s="146"/>
      <c r="K212"/>
      <c r="M212"/>
      <c r="O212"/>
      <c r="Q212"/>
      <c r="S212"/>
      <c r="U212" s="159"/>
      <c r="V212" s="191"/>
      <c r="W212" s="144"/>
      <c r="X212" s="353"/>
      <c r="Y212" s="138"/>
      <c r="Z212" s="138"/>
      <c r="AA212" s="150"/>
      <c r="AS212" s="159"/>
    </row>
    <row r="213" spans="4:45" ht="13.5" thickBot="1">
      <c r="D213" s="228" t="s">
        <v>14</v>
      </c>
      <c r="E213" s="138"/>
      <c r="F213" s="150"/>
      <c r="G213" s="139"/>
      <c r="H213" s="205">
        <f>H208+H211</f>
        <v>48616093.95200001</v>
      </c>
      <c r="I213" s="206"/>
      <c r="J213" s="205">
        <f>J208+J211</f>
        <v>30854762.950877912</v>
      </c>
      <c r="K213" s="206"/>
      <c r="L213" s="205">
        <f>L208+L211</f>
        <v>10900376.493921544</v>
      </c>
      <c r="M213" s="206"/>
      <c r="N213" s="205">
        <f>N208+N211</f>
        <v>3427144.1281134486</v>
      </c>
      <c r="O213" s="206"/>
      <c r="P213" s="205">
        <f>P208+P211</f>
        <v>2171179.5917362957</v>
      </c>
      <c r="Q213" s="206"/>
      <c r="R213" s="205">
        <f>R208+R211</f>
        <v>1262630.7873508004</v>
      </c>
      <c r="S213" s="206"/>
      <c r="T213" s="205">
        <f>T208+T211</f>
        <v>0</v>
      </c>
      <c r="V213" s="191"/>
      <c r="W213" s="144"/>
      <c r="X213" s="353"/>
      <c r="Y213" s="228" t="s">
        <v>14</v>
      </c>
      <c r="Z213" s="138"/>
      <c r="AA213" s="150"/>
      <c r="AC213" s="205">
        <f>AC208+AC211</f>
        <v>48616093.95200001</v>
      </c>
      <c r="AD213" s="206"/>
      <c r="AE213" s="205">
        <f>AE208+AE211</f>
        <v>21447505.42399376</v>
      </c>
      <c r="AF213" s="206"/>
      <c r="AG213" s="205">
        <f>AG208+AG211</f>
        <v>8265548.534292207</v>
      </c>
      <c r="AH213" s="206"/>
      <c r="AI213" s="205">
        <f>AI208+AI211</f>
        <v>5298112.111040428</v>
      </c>
      <c r="AJ213" s="206"/>
      <c r="AK213" s="205">
        <f>AK208+AK211</f>
        <v>7421351.119788667</v>
      </c>
      <c r="AL213" s="206"/>
      <c r="AM213" s="205">
        <f>AM208+AM211</f>
        <v>3165658.805944536</v>
      </c>
      <c r="AN213" s="206"/>
      <c r="AO213" s="205">
        <f>AO208+AO211</f>
        <v>3017917.956940407</v>
      </c>
      <c r="AP213" s="206"/>
      <c r="AQ213" s="205">
        <f>AQ208+AQ211</f>
        <v>0</v>
      </c>
      <c r="AS213" s="159"/>
    </row>
    <row r="214" spans="4:27" ht="13.5" thickTop="1">
      <c r="D214" s="138"/>
      <c r="E214" s="138"/>
      <c r="F214" s="150"/>
      <c r="G214" s="139"/>
      <c r="H214" s="206"/>
      <c r="I214" s="206"/>
      <c r="J214" s="206"/>
      <c r="K214" s="206"/>
      <c r="L214" s="206"/>
      <c r="M214" s="206"/>
      <c r="N214" s="206"/>
      <c r="O214" s="206"/>
      <c r="P214" s="206"/>
      <c r="Q214" s="206"/>
      <c r="R214" s="206"/>
      <c r="S214" s="206"/>
      <c r="T214" s="206"/>
      <c r="V214" s="191"/>
      <c r="W214" s="144"/>
      <c r="X214" s="353"/>
      <c r="Y214" s="138"/>
      <c r="Z214" s="138"/>
      <c r="AA214" s="150"/>
    </row>
    <row r="215" spans="4:41" ht="12.75">
      <c r="D215" s="138"/>
      <c r="E215" s="138"/>
      <c r="F215" s="150"/>
      <c r="G215" s="139"/>
      <c r="H215" s="206"/>
      <c r="I215" s="206"/>
      <c r="J215" s="206"/>
      <c r="K215" s="206"/>
      <c r="L215" s="206"/>
      <c r="M215" s="206"/>
      <c r="N215" s="206"/>
      <c r="O215" s="206"/>
      <c r="P215" s="206"/>
      <c r="Q215" s="206"/>
      <c r="R215" s="206"/>
      <c r="S215" s="206"/>
      <c r="T215" s="280"/>
      <c r="V215" s="191"/>
      <c r="W215" s="144"/>
      <c r="X215" s="353"/>
      <c r="Y215" s="138"/>
      <c r="Z215" s="138"/>
      <c r="AA215" s="150"/>
      <c r="AE215" s="159"/>
      <c r="AK215" s="269"/>
      <c r="AM215" s="269"/>
      <c r="AO215" s="219"/>
    </row>
    <row r="216" spans="4:40" ht="12.75">
      <c r="D216" s="138"/>
      <c r="E216" s="138"/>
      <c r="F216" s="150"/>
      <c r="G216" s="139"/>
      <c r="H216" s="206"/>
      <c r="I216" s="206"/>
      <c r="J216" s="206"/>
      <c r="K216" s="206"/>
      <c r="L216" s="206"/>
      <c r="M216" s="206"/>
      <c r="N216" s="206"/>
      <c r="O216" s="206"/>
      <c r="P216" s="206"/>
      <c r="Q216" s="206"/>
      <c r="R216" s="206"/>
      <c r="S216" s="206"/>
      <c r="T216" s="279"/>
      <c r="V216" s="191"/>
      <c r="W216" s="144"/>
      <c r="X216" s="353"/>
      <c r="Y216" s="138"/>
      <c r="Z216" s="138"/>
      <c r="AA216" s="150"/>
      <c r="AE216" s="219">
        <f>+SUM('F 1-2'!G16:G20)*365</f>
        <v>10936130</v>
      </c>
      <c r="AK216" s="270"/>
      <c r="AL216" s="270"/>
      <c r="AM216" s="270"/>
      <c r="AN216" s="270"/>
    </row>
    <row r="217" spans="4:41" ht="12.75">
      <c r="D217" s="138" t="s">
        <v>325</v>
      </c>
      <c r="E217" s="138"/>
      <c r="F217" s="150"/>
      <c r="G217" s="139"/>
      <c r="H217" s="206"/>
      <c r="I217" s="206"/>
      <c r="J217" s="206"/>
      <c r="K217" s="206"/>
      <c r="L217" s="206"/>
      <c r="M217" s="206"/>
      <c r="N217" s="206"/>
      <c r="O217" s="206"/>
      <c r="P217" s="206"/>
      <c r="Q217" s="206"/>
      <c r="R217" s="206"/>
      <c r="S217" s="206"/>
      <c r="T217" s="206"/>
      <c r="V217" s="191"/>
      <c r="W217" s="144"/>
      <c r="X217" s="353"/>
      <c r="Y217" s="138"/>
      <c r="Z217" s="138"/>
      <c r="AA217" s="150"/>
      <c r="AE217" s="459">
        <f>+AE213/AE216</f>
        <v>1.961160430974555</v>
      </c>
      <c r="AK217" s="270"/>
      <c r="AM217" s="270"/>
      <c r="AO217" s="270"/>
    </row>
    <row r="218" spans="4:41" ht="12.75">
      <c r="D218" s="138"/>
      <c r="E218" s="138"/>
      <c r="F218" s="150"/>
      <c r="G218" s="139"/>
      <c r="H218" s="206"/>
      <c r="I218" s="206"/>
      <c r="J218" s="206"/>
      <c r="K218" s="206"/>
      <c r="L218" s="206"/>
      <c r="M218" s="206"/>
      <c r="N218" s="206"/>
      <c r="O218" s="206"/>
      <c r="P218" s="206"/>
      <c r="Q218" s="206"/>
      <c r="R218" s="206"/>
      <c r="S218" s="206"/>
      <c r="T218" s="206"/>
      <c r="V218" s="191"/>
      <c r="W218" s="144"/>
      <c r="X218" s="353"/>
      <c r="Y218" s="138"/>
      <c r="Z218" s="138"/>
      <c r="AA218" s="150"/>
      <c r="AO218" s="271"/>
    </row>
    <row r="219" spans="4:41" ht="12.75">
      <c r="D219" s="138"/>
      <c r="E219" s="138"/>
      <c r="F219" s="150"/>
      <c r="G219" s="139"/>
      <c r="H219" s="206"/>
      <c r="I219" s="206"/>
      <c r="J219" s="206"/>
      <c r="K219" s="206"/>
      <c r="L219" s="206"/>
      <c r="M219" s="206"/>
      <c r="N219" s="206"/>
      <c r="O219" s="206"/>
      <c r="P219" s="206"/>
      <c r="Q219" s="206"/>
      <c r="R219" s="206"/>
      <c r="S219" s="206"/>
      <c r="T219" s="206"/>
      <c r="V219" s="191"/>
      <c r="W219" s="144"/>
      <c r="X219" s="353"/>
      <c r="Y219" s="138"/>
      <c r="Z219" s="138"/>
      <c r="AA219" s="150"/>
      <c r="AO219" s="271"/>
    </row>
    <row r="220" spans="4:41" ht="12.75">
      <c r="D220" s="138"/>
      <c r="E220" s="138"/>
      <c r="F220" s="150"/>
      <c r="G220" s="139"/>
      <c r="H220" s="206"/>
      <c r="I220" s="206"/>
      <c r="J220" s="206"/>
      <c r="K220" s="206"/>
      <c r="L220" s="206"/>
      <c r="M220" s="206"/>
      <c r="N220" s="206"/>
      <c r="O220" s="206"/>
      <c r="P220" s="206"/>
      <c r="Q220" s="206"/>
      <c r="R220" s="206"/>
      <c r="S220" s="206"/>
      <c r="T220" s="206"/>
      <c r="V220" s="191"/>
      <c r="W220" s="144"/>
      <c r="X220" s="353"/>
      <c r="Y220" s="138"/>
      <c r="Z220" s="138"/>
      <c r="AA220" s="150"/>
      <c r="AO220" s="271"/>
    </row>
    <row r="221" spans="4:41" ht="12.75">
      <c r="D221" s="138"/>
      <c r="E221" s="138"/>
      <c r="F221" s="150"/>
      <c r="G221" s="139"/>
      <c r="H221" s="206"/>
      <c r="I221" s="206"/>
      <c r="J221" s="206"/>
      <c r="K221" s="206"/>
      <c r="L221" s="206"/>
      <c r="M221" s="206"/>
      <c r="N221" s="206"/>
      <c r="O221" s="206"/>
      <c r="P221" s="206"/>
      <c r="Q221" s="206"/>
      <c r="R221" s="206"/>
      <c r="S221" s="206"/>
      <c r="T221" s="206"/>
      <c r="V221" s="191"/>
      <c r="W221" s="144"/>
      <c r="X221" s="353"/>
      <c r="Y221" s="138"/>
      <c r="Z221" s="138"/>
      <c r="AA221" s="150"/>
      <c r="AO221" s="271"/>
    </row>
    <row r="222" spans="4:27" ht="12.75">
      <c r="D222" s="248" t="s">
        <v>452</v>
      </c>
      <c r="V222" s="191"/>
      <c r="W222" s="144"/>
      <c r="X222" s="353"/>
      <c r="Y222" s="248" t="s">
        <v>452</v>
      </c>
      <c r="Z222" s="140"/>
      <c r="AA222" s="151"/>
    </row>
    <row r="223" spans="1:45" ht="12.75">
      <c r="A223" s="443"/>
      <c r="B223" s="460">
        <v>301</v>
      </c>
      <c r="D223" s="203" t="s">
        <v>22</v>
      </c>
      <c r="F223" s="151">
        <v>17</v>
      </c>
      <c r="H223" s="207">
        <v>3323.34</v>
      </c>
      <c r="I223" s="208"/>
      <c r="J223" s="207">
        <f aca="true" t="shared" si="109" ref="J223:J268">(VLOOKUP($F223,Factors,J$324))*$H223</f>
        <v>1720.8254520000003</v>
      </c>
      <c r="K223" s="208"/>
      <c r="L223" s="207">
        <f aca="true" t="shared" si="110" ref="L223:L268">(VLOOKUP($F223,Factors,L$324))*$H223</f>
        <v>697.9014</v>
      </c>
      <c r="M223" s="208"/>
      <c r="N223" s="207">
        <f aca="true" t="shared" si="111" ref="N223:N268">(VLOOKUP($F223,Factors,N$324))*$H223</f>
        <v>239.94514800000002</v>
      </c>
      <c r="O223" s="208"/>
      <c r="P223" s="207">
        <f aca="true" t="shared" si="112" ref="P223:P268">(VLOOKUP($F223,Factors,P$324))*$H223</f>
        <v>141.574284</v>
      </c>
      <c r="Q223" s="208"/>
      <c r="R223" s="207">
        <f aca="true" t="shared" si="113" ref="R223:R268">(VLOOKUP($F223,Factors,R$324))*$H223</f>
        <v>82.418832</v>
      </c>
      <c r="S223" s="208"/>
      <c r="T223" s="207">
        <f aca="true" t="shared" si="114" ref="T223:T268">(VLOOKUP($F223,Factors,T$324))*$H223</f>
        <v>440.674884</v>
      </c>
      <c r="V223" s="191"/>
      <c r="X223" s="353"/>
      <c r="Y223" s="203" t="s">
        <v>22</v>
      </c>
      <c r="Z223" s="140"/>
      <c r="AA223" s="151">
        <f>+F223</f>
        <v>17</v>
      </c>
      <c r="AB223" s="140"/>
      <c r="AC223" s="404">
        <f>+H223</f>
        <v>3323.34</v>
      </c>
      <c r="AE223" s="146">
        <f aca="true" t="shared" si="115" ref="AE223:AE268">(VLOOKUP($AA223,func,AE$324))*$AC223</f>
        <v>1423.386522</v>
      </c>
      <c r="AF223" s="146"/>
      <c r="AG223" s="146">
        <f aca="true" t="shared" si="116" ref="AG223:AG268">(VLOOKUP($AA223,func,AG$324))*$AC223</f>
        <v>650.377638</v>
      </c>
      <c r="AH223" s="146"/>
      <c r="AI223" s="146">
        <f aca="true" t="shared" si="117" ref="AI223:AI268">(VLOOKUP($AA223,func,AI$324))*$AC223</f>
        <v>487.20164400000004</v>
      </c>
      <c r="AJ223" s="146"/>
      <c r="AK223" s="146">
        <f aca="true" t="shared" si="118" ref="AK223:AK268">(VLOOKUP($AA223,func,AK$324))*$AC223</f>
        <v>92.721186</v>
      </c>
      <c r="AL223" s="146"/>
      <c r="AM223" s="146">
        <f aca="true" t="shared" si="119" ref="AM223:AM268">(VLOOKUP($AA223,func,AM$324))*$AC223</f>
        <v>223.99311600000001</v>
      </c>
      <c r="AN223" s="146"/>
      <c r="AO223" s="146">
        <f aca="true" t="shared" si="120" ref="AO223:AO268">(VLOOKUP($AA223,func,AO$324))*$AC223</f>
        <v>4.98501</v>
      </c>
      <c r="AP223" s="146"/>
      <c r="AQ223" s="146">
        <f aca="true" t="shared" si="121" ref="AQ223:AQ268">(VLOOKUP($AA223,func,AQ$324))*$AC223</f>
        <v>440.674884</v>
      </c>
      <c r="AS223" s="159"/>
    </row>
    <row r="224" spans="1:45" ht="12.75">
      <c r="A224" s="443"/>
      <c r="B224" s="460">
        <v>303.1</v>
      </c>
      <c r="D224" s="395" t="s">
        <v>401</v>
      </c>
      <c r="F224" s="151">
        <v>2</v>
      </c>
      <c r="H224" s="146">
        <v>29200</v>
      </c>
      <c r="J224" s="146">
        <f t="shared" si="109"/>
        <v>15954.88</v>
      </c>
      <c r="L224" s="146">
        <f t="shared" si="110"/>
        <v>7355.4800000000005</v>
      </c>
      <c r="N224" s="146">
        <f t="shared" si="111"/>
        <v>2829.48</v>
      </c>
      <c r="P224" s="146">
        <f t="shared" si="112"/>
        <v>1603.08</v>
      </c>
      <c r="R224" s="146">
        <f t="shared" si="113"/>
        <v>1346.1200000000001</v>
      </c>
      <c r="T224" s="146">
        <f t="shared" si="114"/>
        <v>110.96</v>
      </c>
      <c r="V224" s="191"/>
      <c r="X224" s="353"/>
      <c r="Y224" s="395" t="s">
        <v>401</v>
      </c>
      <c r="Z224" s="140"/>
      <c r="AA224" s="151">
        <f aca="true" t="shared" si="122" ref="AA224:AA268">+F224</f>
        <v>2</v>
      </c>
      <c r="AB224" s="140"/>
      <c r="AC224" s="404">
        <f aca="true" t="shared" si="123" ref="AC224:AC268">+H224</f>
        <v>29200</v>
      </c>
      <c r="AE224" s="146">
        <f t="shared" si="115"/>
        <v>18139.04</v>
      </c>
      <c r="AF224" s="146"/>
      <c r="AG224" s="146">
        <f t="shared" si="116"/>
        <v>10950</v>
      </c>
      <c r="AH224" s="146"/>
      <c r="AI224" s="146">
        <f t="shared" si="117"/>
        <v>0</v>
      </c>
      <c r="AJ224" s="146"/>
      <c r="AK224" s="146">
        <f t="shared" si="118"/>
        <v>0</v>
      </c>
      <c r="AL224" s="146"/>
      <c r="AM224" s="146">
        <f t="shared" si="119"/>
        <v>0</v>
      </c>
      <c r="AN224" s="146"/>
      <c r="AO224" s="146">
        <f t="shared" si="120"/>
        <v>0</v>
      </c>
      <c r="AP224" s="146"/>
      <c r="AQ224" s="146">
        <f t="shared" si="121"/>
        <v>110.96</v>
      </c>
      <c r="AS224" s="159"/>
    </row>
    <row r="225" spans="1:45" ht="12.75">
      <c r="A225" s="443"/>
      <c r="B225" s="460">
        <v>303.2</v>
      </c>
      <c r="D225" s="395" t="s">
        <v>402</v>
      </c>
      <c r="F225" s="151">
        <v>2</v>
      </c>
      <c r="H225" s="146">
        <v>365165.51</v>
      </c>
      <c r="J225" s="146">
        <f t="shared" si="109"/>
        <v>199526.434664</v>
      </c>
      <c r="L225" s="146">
        <f t="shared" si="110"/>
        <v>91985.191969</v>
      </c>
      <c r="N225" s="146">
        <f t="shared" si="111"/>
        <v>35384.537919</v>
      </c>
      <c r="P225" s="146">
        <f t="shared" si="112"/>
        <v>20047.586499</v>
      </c>
      <c r="R225" s="146">
        <f t="shared" si="113"/>
        <v>16834.130011</v>
      </c>
      <c r="T225" s="146">
        <f t="shared" si="114"/>
        <v>1387.628938</v>
      </c>
      <c r="V225" s="191"/>
      <c r="X225" s="353"/>
      <c r="Y225" s="395" t="s">
        <v>402</v>
      </c>
      <c r="Z225" s="140"/>
      <c r="AA225" s="151">
        <f t="shared" si="122"/>
        <v>2</v>
      </c>
      <c r="AB225" s="140"/>
      <c r="AC225" s="404">
        <f t="shared" si="123"/>
        <v>365165.51</v>
      </c>
      <c r="AE225" s="146">
        <f t="shared" si="115"/>
        <v>226840.814812</v>
      </c>
      <c r="AF225" s="146"/>
      <c r="AG225" s="146">
        <f t="shared" si="116"/>
        <v>136937.06625</v>
      </c>
      <c r="AH225" s="146"/>
      <c r="AI225" s="146">
        <f t="shared" si="117"/>
        <v>0</v>
      </c>
      <c r="AJ225" s="146"/>
      <c r="AK225" s="146">
        <f t="shared" si="118"/>
        <v>0</v>
      </c>
      <c r="AL225" s="146"/>
      <c r="AM225" s="146">
        <f t="shared" si="119"/>
        <v>0</v>
      </c>
      <c r="AN225" s="146"/>
      <c r="AO225" s="146">
        <f t="shared" si="120"/>
        <v>0</v>
      </c>
      <c r="AP225" s="146"/>
      <c r="AQ225" s="146">
        <f t="shared" si="121"/>
        <v>1387.628938</v>
      </c>
      <c r="AS225" s="159"/>
    </row>
    <row r="226" spans="1:45" ht="12.75">
      <c r="A226" s="443"/>
      <c r="B226" s="460">
        <v>303.3</v>
      </c>
      <c r="D226" s="395" t="s">
        <v>403</v>
      </c>
      <c r="F226" s="151">
        <v>3</v>
      </c>
      <c r="H226" s="146">
        <v>190530.49</v>
      </c>
      <c r="J226" s="146">
        <f t="shared" si="109"/>
        <v>89339.746761</v>
      </c>
      <c r="L226" s="146">
        <f t="shared" si="110"/>
        <v>41173.638889</v>
      </c>
      <c r="N226" s="146">
        <f t="shared" si="111"/>
        <v>15852.136767999998</v>
      </c>
      <c r="P226" s="146">
        <f t="shared" si="112"/>
        <v>8973.986079</v>
      </c>
      <c r="R226" s="146">
        <f t="shared" si="113"/>
        <v>7545.007403999999</v>
      </c>
      <c r="T226" s="146">
        <f t="shared" si="114"/>
        <v>27645.974099</v>
      </c>
      <c r="V226" s="191"/>
      <c r="X226" s="353"/>
      <c r="Y226" s="395" t="s">
        <v>403</v>
      </c>
      <c r="Z226" s="140"/>
      <c r="AA226" s="151">
        <f t="shared" si="122"/>
        <v>3</v>
      </c>
      <c r="AB226" s="140"/>
      <c r="AC226" s="404">
        <f t="shared" si="123"/>
        <v>190530.49</v>
      </c>
      <c r="AE226" s="146">
        <f t="shared" si="115"/>
        <v>101590.85726799999</v>
      </c>
      <c r="AF226" s="146"/>
      <c r="AG226" s="146">
        <f t="shared" si="116"/>
        <v>61293.65863299999</v>
      </c>
      <c r="AH226" s="146"/>
      <c r="AI226" s="146">
        <f t="shared" si="117"/>
        <v>0</v>
      </c>
      <c r="AJ226" s="146"/>
      <c r="AK226" s="146">
        <f t="shared" si="118"/>
        <v>0</v>
      </c>
      <c r="AL226" s="146"/>
      <c r="AM226" s="146">
        <f t="shared" si="119"/>
        <v>0</v>
      </c>
      <c r="AN226" s="146"/>
      <c r="AO226" s="146">
        <f t="shared" si="120"/>
        <v>0</v>
      </c>
      <c r="AP226" s="146"/>
      <c r="AQ226" s="146">
        <f t="shared" si="121"/>
        <v>27645.974099</v>
      </c>
      <c r="AS226" s="159"/>
    </row>
    <row r="227" spans="1:45" ht="12.75">
      <c r="A227" s="443"/>
      <c r="B227" s="460">
        <v>303.4</v>
      </c>
      <c r="D227" s="395" t="s">
        <v>404</v>
      </c>
      <c r="F227" s="151">
        <v>2</v>
      </c>
      <c r="H227" s="146">
        <v>2596224.91</v>
      </c>
      <c r="J227" s="146">
        <f t="shared" si="109"/>
        <v>1418577.290824</v>
      </c>
      <c r="L227" s="146">
        <f t="shared" si="110"/>
        <v>653989.054829</v>
      </c>
      <c r="N227" s="146">
        <f t="shared" si="111"/>
        <v>251574.19377900002</v>
      </c>
      <c r="P227" s="146">
        <f t="shared" si="112"/>
        <v>142532.747559</v>
      </c>
      <c r="R227" s="146">
        <f t="shared" si="113"/>
        <v>119685.96835100002</v>
      </c>
      <c r="T227" s="146">
        <f t="shared" si="114"/>
        <v>9865.654658000001</v>
      </c>
      <c r="V227" s="191"/>
      <c r="X227" s="353"/>
      <c r="Y227" s="395" t="s">
        <v>404</v>
      </c>
      <c r="Z227" s="140"/>
      <c r="AA227" s="151">
        <f t="shared" si="122"/>
        <v>2</v>
      </c>
      <c r="AB227" s="140"/>
      <c r="AC227" s="404">
        <f t="shared" si="123"/>
        <v>2596224.91</v>
      </c>
      <c r="AE227" s="146">
        <f t="shared" si="115"/>
        <v>1612774.914092</v>
      </c>
      <c r="AF227" s="146"/>
      <c r="AG227" s="146">
        <f t="shared" si="116"/>
        <v>973584.34125</v>
      </c>
      <c r="AH227" s="146"/>
      <c r="AI227" s="146">
        <f t="shared" si="117"/>
        <v>0</v>
      </c>
      <c r="AJ227" s="146"/>
      <c r="AK227" s="146">
        <f t="shared" si="118"/>
        <v>0</v>
      </c>
      <c r="AL227" s="146"/>
      <c r="AM227" s="146">
        <f t="shared" si="119"/>
        <v>0</v>
      </c>
      <c r="AN227" s="146"/>
      <c r="AO227" s="146">
        <f t="shared" si="120"/>
        <v>0</v>
      </c>
      <c r="AP227" s="146"/>
      <c r="AQ227" s="146">
        <f t="shared" si="121"/>
        <v>9865.654658000001</v>
      </c>
      <c r="AS227" s="159"/>
    </row>
    <row r="228" spans="1:45" ht="12.75">
      <c r="A228" s="443"/>
      <c r="B228" s="460">
        <v>304.1</v>
      </c>
      <c r="D228" s="395" t="s">
        <v>379</v>
      </c>
      <c r="F228" s="151">
        <v>2</v>
      </c>
      <c r="H228" s="146">
        <v>12353320.84</v>
      </c>
      <c r="J228" s="146">
        <f t="shared" si="109"/>
        <v>6749854.506976</v>
      </c>
      <c r="L228" s="146">
        <f t="shared" si="110"/>
        <v>3111801.519596</v>
      </c>
      <c r="N228" s="146">
        <f t="shared" si="111"/>
        <v>1197036.789396</v>
      </c>
      <c r="P228" s="146">
        <f t="shared" si="112"/>
        <v>678197.314116</v>
      </c>
      <c r="R228" s="146">
        <f t="shared" si="113"/>
        <v>569488.090724</v>
      </c>
      <c r="T228" s="146">
        <f t="shared" si="114"/>
        <v>46942.619192</v>
      </c>
      <c r="V228" s="191"/>
      <c r="X228" s="353"/>
      <c r="Y228" s="395" t="s">
        <v>379</v>
      </c>
      <c r="Z228" s="140"/>
      <c r="AA228" s="151">
        <f t="shared" si="122"/>
        <v>2</v>
      </c>
      <c r="AB228" s="140"/>
      <c r="AC228" s="404">
        <f t="shared" si="123"/>
        <v>12353320.84</v>
      </c>
      <c r="AE228" s="146">
        <f t="shared" si="115"/>
        <v>7673882.905808</v>
      </c>
      <c r="AF228" s="146"/>
      <c r="AG228" s="146">
        <f t="shared" si="116"/>
        <v>4632495.3149999995</v>
      </c>
      <c r="AH228" s="146"/>
      <c r="AI228" s="146">
        <f t="shared" si="117"/>
        <v>0</v>
      </c>
      <c r="AJ228" s="146"/>
      <c r="AK228" s="146">
        <f t="shared" si="118"/>
        <v>0</v>
      </c>
      <c r="AL228" s="146"/>
      <c r="AM228" s="146">
        <f t="shared" si="119"/>
        <v>0</v>
      </c>
      <c r="AN228" s="146"/>
      <c r="AO228" s="146">
        <f t="shared" si="120"/>
        <v>0</v>
      </c>
      <c r="AP228" s="146"/>
      <c r="AQ228" s="146">
        <f t="shared" si="121"/>
        <v>46942.619192</v>
      </c>
      <c r="AS228" s="159"/>
    </row>
    <row r="229" spans="1:45" ht="12.75">
      <c r="A229" s="443"/>
      <c r="B229" s="460">
        <v>304.2</v>
      </c>
      <c r="D229" s="395" t="s">
        <v>380</v>
      </c>
      <c r="F229" s="151">
        <v>2</v>
      </c>
      <c r="H229" s="146">
        <v>31255873.77</v>
      </c>
      <c r="J229" s="146">
        <f t="shared" si="109"/>
        <v>17078209.427928</v>
      </c>
      <c r="L229" s="146">
        <f t="shared" si="110"/>
        <v>7873354.602663</v>
      </c>
      <c r="N229" s="146">
        <f t="shared" si="111"/>
        <v>3028694.168313</v>
      </c>
      <c r="P229" s="146">
        <f t="shared" si="112"/>
        <v>1715947.469973</v>
      </c>
      <c r="R229" s="146">
        <f t="shared" si="113"/>
        <v>1440895.780797</v>
      </c>
      <c r="T229" s="146">
        <f t="shared" si="114"/>
        <v>118772.320326</v>
      </c>
      <c r="V229" s="191"/>
      <c r="X229" s="353"/>
      <c r="Y229" s="395" t="s">
        <v>380</v>
      </c>
      <c r="Z229" s="140"/>
      <c r="AA229" s="151">
        <f t="shared" si="122"/>
        <v>2</v>
      </c>
      <c r="AB229" s="140"/>
      <c r="AC229" s="404">
        <f t="shared" si="123"/>
        <v>31255873.77</v>
      </c>
      <c r="AE229" s="146">
        <f t="shared" si="115"/>
        <v>19416148.785924</v>
      </c>
      <c r="AF229" s="146"/>
      <c r="AG229" s="146">
        <f t="shared" si="116"/>
        <v>11720952.66375</v>
      </c>
      <c r="AH229" s="146"/>
      <c r="AI229" s="146">
        <f t="shared" si="117"/>
        <v>0</v>
      </c>
      <c r="AJ229" s="146"/>
      <c r="AK229" s="146">
        <f t="shared" si="118"/>
        <v>0</v>
      </c>
      <c r="AL229" s="146"/>
      <c r="AM229" s="146">
        <f t="shared" si="119"/>
        <v>0</v>
      </c>
      <c r="AN229" s="146"/>
      <c r="AO229" s="146">
        <f t="shared" si="120"/>
        <v>0</v>
      </c>
      <c r="AP229" s="146"/>
      <c r="AQ229" s="146">
        <f t="shared" si="121"/>
        <v>118772.320326</v>
      </c>
      <c r="AS229" s="159"/>
    </row>
    <row r="230" spans="1:45" ht="12.75">
      <c r="A230" s="443"/>
      <c r="B230" s="460">
        <v>304.3</v>
      </c>
      <c r="D230" s="395" t="s">
        <v>381</v>
      </c>
      <c r="F230" s="151">
        <v>3</v>
      </c>
      <c r="H230" s="146">
        <v>5017888.23</v>
      </c>
      <c r="J230" s="146">
        <f t="shared" si="109"/>
        <v>2352887.7910470003</v>
      </c>
      <c r="L230" s="146">
        <f t="shared" si="110"/>
        <v>1084365.646503</v>
      </c>
      <c r="N230" s="146">
        <f t="shared" si="111"/>
        <v>417488.300736</v>
      </c>
      <c r="P230" s="146">
        <f t="shared" si="112"/>
        <v>236342.53563300005</v>
      </c>
      <c r="R230" s="146">
        <f t="shared" si="113"/>
        <v>198708.373908</v>
      </c>
      <c r="T230" s="146">
        <f t="shared" si="114"/>
        <v>728095.5821730001</v>
      </c>
      <c r="V230" s="191"/>
      <c r="X230" s="353"/>
      <c r="Y230" s="395" t="s">
        <v>381</v>
      </c>
      <c r="Z230" s="140"/>
      <c r="AA230" s="151">
        <f t="shared" si="122"/>
        <v>3</v>
      </c>
      <c r="AB230" s="140"/>
      <c r="AC230" s="404">
        <f t="shared" si="123"/>
        <v>5017888.23</v>
      </c>
      <c r="AE230" s="146">
        <f t="shared" si="115"/>
        <v>2675538.004236</v>
      </c>
      <c r="AF230" s="146"/>
      <c r="AG230" s="146">
        <f t="shared" si="116"/>
        <v>1614254.643591</v>
      </c>
      <c r="AH230" s="146"/>
      <c r="AI230" s="146">
        <f t="shared" si="117"/>
        <v>0</v>
      </c>
      <c r="AJ230" s="146"/>
      <c r="AK230" s="146">
        <f t="shared" si="118"/>
        <v>0</v>
      </c>
      <c r="AL230" s="146"/>
      <c r="AM230" s="146">
        <f t="shared" si="119"/>
        <v>0</v>
      </c>
      <c r="AN230" s="146"/>
      <c r="AO230" s="146">
        <f t="shared" si="120"/>
        <v>0</v>
      </c>
      <c r="AP230" s="146"/>
      <c r="AQ230" s="146">
        <f t="shared" si="121"/>
        <v>728095.5821730001</v>
      </c>
      <c r="AS230" s="159"/>
    </row>
    <row r="231" spans="1:45" ht="12.75">
      <c r="A231" s="443"/>
      <c r="B231" s="460">
        <v>304.4</v>
      </c>
      <c r="D231" s="395" t="s">
        <v>382</v>
      </c>
      <c r="F231" s="151">
        <v>2</v>
      </c>
      <c r="H231" s="146">
        <v>8688923.37</v>
      </c>
      <c r="J231" s="146">
        <f t="shared" si="109"/>
        <v>4747627.729367999</v>
      </c>
      <c r="L231" s="146">
        <f t="shared" si="110"/>
        <v>2188739.7969029997</v>
      </c>
      <c r="N231" s="146">
        <f t="shared" si="111"/>
        <v>841956.6745529999</v>
      </c>
      <c r="P231" s="146">
        <f t="shared" si="112"/>
        <v>477021.8930129999</v>
      </c>
      <c r="R231" s="146">
        <f t="shared" si="113"/>
        <v>400559.36735699995</v>
      </c>
      <c r="T231" s="146">
        <f t="shared" si="114"/>
        <v>33017.908806</v>
      </c>
      <c r="V231" s="191"/>
      <c r="X231" s="353"/>
      <c r="Y231" s="395" t="s">
        <v>382</v>
      </c>
      <c r="Z231" s="140"/>
      <c r="AA231" s="151">
        <f t="shared" si="122"/>
        <v>2</v>
      </c>
      <c r="AB231" s="140"/>
      <c r="AC231" s="404">
        <f t="shared" si="123"/>
        <v>8688923.37</v>
      </c>
      <c r="AE231" s="146">
        <f t="shared" si="115"/>
        <v>5397559.197443999</v>
      </c>
      <c r="AF231" s="146"/>
      <c r="AG231" s="146">
        <f t="shared" si="116"/>
        <v>3258346.26375</v>
      </c>
      <c r="AH231" s="146"/>
      <c r="AI231" s="146">
        <f t="shared" si="117"/>
        <v>0</v>
      </c>
      <c r="AJ231" s="146"/>
      <c r="AK231" s="146">
        <f t="shared" si="118"/>
        <v>0</v>
      </c>
      <c r="AL231" s="146"/>
      <c r="AM231" s="146">
        <f t="shared" si="119"/>
        <v>0</v>
      </c>
      <c r="AN231" s="146"/>
      <c r="AO231" s="146">
        <f t="shared" si="120"/>
        <v>0</v>
      </c>
      <c r="AP231" s="146"/>
      <c r="AQ231" s="146">
        <f t="shared" si="121"/>
        <v>33017.908806</v>
      </c>
      <c r="AS231" s="159"/>
    </row>
    <row r="232" spans="1:45" ht="12.75">
      <c r="A232" s="443"/>
      <c r="B232" s="460">
        <v>304.5</v>
      </c>
      <c r="D232" s="395" t="s">
        <v>383</v>
      </c>
      <c r="F232" s="151">
        <v>6</v>
      </c>
      <c r="H232" s="146">
        <v>25913.82</v>
      </c>
      <c r="J232" s="146">
        <f t="shared" si="109"/>
        <v>12428.268071999999</v>
      </c>
      <c r="L232" s="146">
        <f t="shared" si="110"/>
        <v>5346.021065999999</v>
      </c>
      <c r="N232" s="146">
        <f t="shared" si="111"/>
        <v>1808.784636</v>
      </c>
      <c r="P232" s="146">
        <f t="shared" si="112"/>
        <v>1023.59589</v>
      </c>
      <c r="R232" s="146">
        <f t="shared" si="113"/>
        <v>251.364054</v>
      </c>
      <c r="T232" s="146">
        <f t="shared" si="114"/>
        <v>5055.786282</v>
      </c>
      <c r="V232" s="191"/>
      <c r="X232" s="353"/>
      <c r="Y232" s="395" t="s">
        <v>383</v>
      </c>
      <c r="Z232" s="140"/>
      <c r="AA232" s="151">
        <f t="shared" si="122"/>
        <v>6</v>
      </c>
      <c r="AB232" s="140"/>
      <c r="AC232" s="404">
        <f t="shared" si="123"/>
        <v>25913.82</v>
      </c>
      <c r="AE232" s="146">
        <f t="shared" si="115"/>
        <v>9792.832578</v>
      </c>
      <c r="AF232" s="146"/>
      <c r="AG232" s="146">
        <f t="shared" si="116"/>
        <v>2042.0090159999997</v>
      </c>
      <c r="AH232" s="146"/>
      <c r="AI232" s="146">
        <f t="shared" si="117"/>
        <v>9023.192124</v>
      </c>
      <c r="AJ232" s="146"/>
      <c r="AK232" s="146">
        <f t="shared" si="118"/>
        <v>0</v>
      </c>
      <c r="AL232" s="146"/>
      <c r="AM232" s="146">
        <f t="shared" si="119"/>
        <v>0</v>
      </c>
      <c r="AN232" s="146"/>
      <c r="AO232" s="146">
        <f t="shared" si="120"/>
        <v>0</v>
      </c>
      <c r="AP232" s="146"/>
      <c r="AQ232" s="146">
        <f t="shared" si="121"/>
        <v>5055.786282</v>
      </c>
      <c r="AS232" s="159"/>
    </row>
    <row r="233" spans="1:45" ht="12.75">
      <c r="A233" s="443"/>
      <c r="B233" s="460">
        <v>304.6</v>
      </c>
      <c r="D233" s="395" t="s">
        <v>384</v>
      </c>
      <c r="F233" s="151">
        <v>6</v>
      </c>
      <c r="H233" s="146">
        <v>4081594.07</v>
      </c>
      <c r="J233" s="146">
        <f t="shared" si="109"/>
        <v>1957532.5159719998</v>
      </c>
      <c r="L233" s="146">
        <f t="shared" si="110"/>
        <v>842032.8566409999</v>
      </c>
      <c r="N233" s="146">
        <f t="shared" si="111"/>
        <v>284895.266086</v>
      </c>
      <c r="P233" s="146">
        <f t="shared" si="112"/>
        <v>161222.965765</v>
      </c>
      <c r="R233" s="146">
        <f t="shared" si="113"/>
        <v>39591.462479</v>
      </c>
      <c r="T233" s="146">
        <f t="shared" si="114"/>
        <v>796319.003057</v>
      </c>
      <c r="V233" s="191"/>
      <c r="X233" s="353"/>
      <c r="Y233" s="395" t="s">
        <v>384</v>
      </c>
      <c r="Z233" s="140"/>
      <c r="AA233" s="151">
        <f t="shared" si="122"/>
        <v>6</v>
      </c>
      <c r="AB233" s="140"/>
      <c r="AC233" s="404">
        <f t="shared" si="123"/>
        <v>4081594.07</v>
      </c>
      <c r="AE233" s="146">
        <f t="shared" si="115"/>
        <v>1542434.399053</v>
      </c>
      <c r="AF233" s="146"/>
      <c r="AG233" s="146">
        <f t="shared" si="116"/>
        <v>321629.61271599995</v>
      </c>
      <c r="AH233" s="146"/>
      <c r="AI233" s="146">
        <f t="shared" si="117"/>
        <v>1421211.055174</v>
      </c>
      <c r="AJ233" s="146"/>
      <c r="AK233" s="146">
        <f t="shared" si="118"/>
        <v>0</v>
      </c>
      <c r="AL233" s="146"/>
      <c r="AM233" s="146">
        <f t="shared" si="119"/>
        <v>0</v>
      </c>
      <c r="AN233" s="146"/>
      <c r="AO233" s="146">
        <f t="shared" si="120"/>
        <v>0</v>
      </c>
      <c r="AP233" s="146"/>
      <c r="AQ233" s="146">
        <f t="shared" si="121"/>
        <v>796319.003057</v>
      </c>
      <c r="AS233" s="159"/>
    </row>
    <row r="234" spans="1:45" ht="12.75">
      <c r="A234" s="443"/>
      <c r="B234" s="460">
        <v>306</v>
      </c>
      <c r="D234" s="395" t="s">
        <v>385</v>
      </c>
      <c r="F234" s="151">
        <v>2</v>
      </c>
      <c r="H234" s="146">
        <v>594024.99</v>
      </c>
      <c r="J234" s="146">
        <f t="shared" si="109"/>
        <v>324575.25453599996</v>
      </c>
      <c r="L234" s="146">
        <f t="shared" si="110"/>
        <v>149634.89498100002</v>
      </c>
      <c r="N234" s="146">
        <f t="shared" si="111"/>
        <v>57561.021531</v>
      </c>
      <c r="P234" s="146">
        <f t="shared" si="112"/>
        <v>32611.971951</v>
      </c>
      <c r="R234" s="146">
        <f t="shared" si="113"/>
        <v>27384.552039000002</v>
      </c>
      <c r="T234" s="146">
        <f t="shared" si="114"/>
        <v>2257.294962</v>
      </c>
      <c r="V234" s="191"/>
      <c r="X234" s="353"/>
      <c r="Y234" s="395" t="s">
        <v>385</v>
      </c>
      <c r="Z234" s="140"/>
      <c r="AA234" s="151">
        <f t="shared" si="122"/>
        <v>2</v>
      </c>
      <c r="AB234" s="140"/>
      <c r="AC234" s="404">
        <f t="shared" si="123"/>
        <v>594024.99</v>
      </c>
      <c r="AE234" s="146">
        <f t="shared" si="115"/>
        <v>369008.323788</v>
      </c>
      <c r="AF234" s="146"/>
      <c r="AG234" s="146">
        <f t="shared" si="116"/>
        <v>222759.37125</v>
      </c>
      <c r="AH234" s="146"/>
      <c r="AI234" s="146">
        <f t="shared" si="117"/>
        <v>0</v>
      </c>
      <c r="AJ234" s="146"/>
      <c r="AK234" s="146">
        <f t="shared" si="118"/>
        <v>0</v>
      </c>
      <c r="AL234" s="146"/>
      <c r="AM234" s="146">
        <f t="shared" si="119"/>
        <v>0</v>
      </c>
      <c r="AN234" s="146"/>
      <c r="AO234" s="146">
        <f t="shared" si="120"/>
        <v>0</v>
      </c>
      <c r="AP234" s="146"/>
      <c r="AQ234" s="146">
        <f t="shared" si="121"/>
        <v>2257.294962</v>
      </c>
      <c r="AS234" s="159"/>
    </row>
    <row r="235" spans="1:45" ht="12.75">
      <c r="A235" s="443"/>
      <c r="B235" s="460">
        <v>309</v>
      </c>
      <c r="D235" s="395" t="s">
        <v>23</v>
      </c>
      <c r="F235" s="151">
        <v>2</v>
      </c>
      <c r="H235" s="146">
        <v>2335615.61</v>
      </c>
      <c r="J235" s="146">
        <f t="shared" si="109"/>
        <v>1276180.369304</v>
      </c>
      <c r="L235" s="146">
        <f t="shared" si="110"/>
        <v>588341.572159</v>
      </c>
      <c r="N235" s="146">
        <f t="shared" si="111"/>
        <v>226321.15260899998</v>
      </c>
      <c r="P235" s="146">
        <f t="shared" si="112"/>
        <v>128225.29698899998</v>
      </c>
      <c r="R235" s="146">
        <f t="shared" si="113"/>
        <v>107671.879621</v>
      </c>
      <c r="T235" s="146">
        <f t="shared" si="114"/>
        <v>8875.339318</v>
      </c>
      <c r="V235" s="191"/>
      <c r="X235" s="353"/>
      <c r="Y235" s="395" t="s">
        <v>23</v>
      </c>
      <c r="Z235" s="140"/>
      <c r="AA235" s="151">
        <f t="shared" si="122"/>
        <v>2</v>
      </c>
      <c r="AB235" s="140"/>
      <c r="AC235" s="404">
        <f t="shared" si="123"/>
        <v>2335615.61</v>
      </c>
      <c r="AE235" s="146">
        <f t="shared" si="115"/>
        <v>1450884.4169319998</v>
      </c>
      <c r="AF235" s="146"/>
      <c r="AG235" s="146">
        <f t="shared" si="116"/>
        <v>875855.85375</v>
      </c>
      <c r="AH235" s="146"/>
      <c r="AI235" s="146">
        <f t="shared" si="117"/>
        <v>0</v>
      </c>
      <c r="AJ235" s="146"/>
      <c r="AK235" s="146">
        <f t="shared" si="118"/>
        <v>0</v>
      </c>
      <c r="AL235" s="146"/>
      <c r="AM235" s="146">
        <f t="shared" si="119"/>
        <v>0</v>
      </c>
      <c r="AN235" s="146"/>
      <c r="AO235" s="146">
        <f t="shared" si="120"/>
        <v>0</v>
      </c>
      <c r="AP235" s="146"/>
      <c r="AQ235" s="146">
        <f t="shared" si="121"/>
        <v>8875.339318</v>
      </c>
      <c r="AS235" s="159"/>
    </row>
    <row r="236" spans="1:45" ht="12.75">
      <c r="A236" s="443"/>
      <c r="B236" s="460">
        <v>310.3</v>
      </c>
      <c r="D236" s="395" t="s">
        <v>386</v>
      </c>
      <c r="F236" s="151">
        <v>3</v>
      </c>
      <c r="H236" s="146">
        <v>1387331.43</v>
      </c>
      <c r="J236" s="146">
        <f t="shared" si="109"/>
        <v>650519.707527</v>
      </c>
      <c r="L236" s="146">
        <f t="shared" si="110"/>
        <v>299802.322023</v>
      </c>
      <c r="N236" s="146">
        <f t="shared" si="111"/>
        <v>115425.97497599998</v>
      </c>
      <c r="P236" s="146">
        <f t="shared" si="112"/>
        <v>65343.310353</v>
      </c>
      <c r="R236" s="146">
        <f t="shared" si="113"/>
        <v>54938.324627999995</v>
      </c>
      <c r="T236" s="146">
        <f t="shared" si="114"/>
        <v>201301.790493</v>
      </c>
      <c r="V236" s="191"/>
      <c r="X236" s="353"/>
      <c r="Y236" s="395" t="s">
        <v>386</v>
      </c>
      <c r="Z236" s="140"/>
      <c r="AA236" s="151">
        <f t="shared" si="122"/>
        <v>3</v>
      </c>
      <c r="AB236" s="140"/>
      <c r="AC236" s="404">
        <f t="shared" si="123"/>
        <v>1387331.43</v>
      </c>
      <c r="AE236" s="146">
        <f t="shared" si="115"/>
        <v>739725.118476</v>
      </c>
      <c r="AF236" s="146"/>
      <c r="AG236" s="146">
        <f t="shared" si="116"/>
        <v>446304.52103099995</v>
      </c>
      <c r="AH236" s="146"/>
      <c r="AI236" s="146">
        <f t="shared" si="117"/>
        <v>0</v>
      </c>
      <c r="AJ236" s="146"/>
      <c r="AK236" s="146">
        <f t="shared" si="118"/>
        <v>0</v>
      </c>
      <c r="AL236" s="146"/>
      <c r="AM236" s="146">
        <f t="shared" si="119"/>
        <v>0</v>
      </c>
      <c r="AN236" s="146"/>
      <c r="AO236" s="146">
        <f t="shared" si="120"/>
        <v>0</v>
      </c>
      <c r="AP236" s="146"/>
      <c r="AQ236" s="146">
        <f t="shared" si="121"/>
        <v>201301.790493</v>
      </c>
      <c r="AS236" s="159"/>
    </row>
    <row r="237" spans="1:45" ht="12.75">
      <c r="A237" s="443"/>
      <c r="B237" s="460">
        <v>311.1</v>
      </c>
      <c r="D237" s="395" t="s">
        <v>387</v>
      </c>
      <c r="F237" s="151">
        <v>3</v>
      </c>
      <c r="H237" s="146">
        <v>2518915.31</v>
      </c>
      <c r="J237" s="146">
        <f t="shared" si="109"/>
        <v>1181119.388859</v>
      </c>
      <c r="L237" s="146">
        <f t="shared" si="110"/>
        <v>544337.598491</v>
      </c>
      <c r="N237" s="146">
        <f t="shared" si="111"/>
        <v>209573.753792</v>
      </c>
      <c r="P237" s="146">
        <f t="shared" si="112"/>
        <v>118640.911101</v>
      </c>
      <c r="R237" s="146">
        <f t="shared" si="113"/>
        <v>99749.046276</v>
      </c>
      <c r="T237" s="146">
        <f t="shared" si="114"/>
        <v>365494.611481</v>
      </c>
      <c r="V237" s="191"/>
      <c r="X237" s="353"/>
      <c r="Y237" s="395" t="s">
        <v>387</v>
      </c>
      <c r="Z237" s="140"/>
      <c r="AA237" s="151">
        <f t="shared" si="122"/>
        <v>3</v>
      </c>
      <c r="AB237" s="140"/>
      <c r="AC237" s="404">
        <f t="shared" si="123"/>
        <v>2518915.31</v>
      </c>
      <c r="AE237" s="146">
        <f t="shared" si="115"/>
        <v>1343085.643292</v>
      </c>
      <c r="AF237" s="146"/>
      <c r="AG237" s="146">
        <f t="shared" si="116"/>
        <v>810335.055227</v>
      </c>
      <c r="AH237" s="146"/>
      <c r="AI237" s="146">
        <f t="shared" si="117"/>
        <v>0</v>
      </c>
      <c r="AJ237" s="146"/>
      <c r="AK237" s="146">
        <f t="shared" si="118"/>
        <v>0</v>
      </c>
      <c r="AL237" s="146"/>
      <c r="AM237" s="146">
        <f t="shared" si="119"/>
        <v>0</v>
      </c>
      <c r="AN237" s="146"/>
      <c r="AO237" s="146">
        <f t="shared" si="120"/>
        <v>0</v>
      </c>
      <c r="AP237" s="146"/>
      <c r="AQ237" s="146">
        <f t="shared" si="121"/>
        <v>365494.611481</v>
      </c>
      <c r="AS237" s="159"/>
    </row>
    <row r="238" spans="1:45" ht="12.75">
      <c r="A238" s="443"/>
      <c r="B238" s="460">
        <v>311.2</v>
      </c>
      <c r="D238" s="395" t="s">
        <v>387</v>
      </c>
      <c r="F238" s="151">
        <v>3</v>
      </c>
      <c r="H238" s="146">
        <v>307663.12</v>
      </c>
      <c r="J238" s="146">
        <f t="shared" si="109"/>
        <v>144263.236968</v>
      </c>
      <c r="L238" s="146">
        <f t="shared" si="110"/>
        <v>66486.000232</v>
      </c>
      <c r="N238" s="146">
        <f t="shared" si="111"/>
        <v>25597.571583999998</v>
      </c>
      <c r="P238" s="146">
        <f t="shared" si="112"/>
        <v>14490.932952000001</v>
      </c>
      <c r="R238" s="146">
        <f t="shared" si="113"/>
        <v>12183.459551999998</v>
      </c>
      <c r="T238" s="146">
        <f t="shared" si="114"/>
        <v>44641.918712</v>
      </c>
      <c r="V238" s="191"/>
      <c r="X238" s="353"/>
      <c r="Y238" s="395" t="s">
        <v>387</v>
      </c>
      <c r="Z238" s="140"/>
      <c r="AA238" s="151">
        <f t="shared" si="122"/>
        <v>3</v>
      </c>
      <c r="AB238" s="140"/>
      <c r="AC238" s="404">
        <f t="shared" si="123"/>
        <v>307663.12</v>
      </c>
      <c r="AE238" s="146">
        <f t="shared" si="115"/>
        <v>164045.975584</v>
      </c>
      <c r="AF238" s="146"/>
      <c r="AG238" s="146">
        <f t="shared" si="116"/>
        <v>98975.225704</v>
      </c>
      <c r="AH238" s="146"/>
      <c r="AI238" s="146">
        <f t="shared" si="117"/>
        <v>0</v>
      </c>
      <c r="AJ238" s="146"/>
      <c r="AK238" s="146">
        <f t="shared" si="118"/>
        <v>0</v>
      </c>
      <c r="AL238" s="146"/>
      <c r="AM238" s="146">
        <f t="shared" si="119"/>
        <v>0</v>
      </c>
      <c r="AN238" s="146"/>
      <c r="AO238" s="146">
        <f t="shared" si="120"/>
        <v>0</v>
      </c>
      <c r="AP238" s="146"/>
      <c r="AQ238" s="146">
        <f t="shared" si="121"/>
        <v>44641.918712</v>
      </c>
      <c r="AS238" s="159"/>
    </row>
    <row r="239" spans="1:45" ht="12.75">
      <c r="A239" s="443"/>
      <c r="B239" s="460">
        <v>311.3</v>
      </c>
      <c r="D239" s="395" t="s">
        <v>387</v>
      </c>
      <c r="F239" s="151">
        <v>3</v>
      </c>
      <c r="H239" s="146">
        <v>2356264.4</v>
      </c>
      <c r="J239" s="146">
        <f t="shared" si="109"/>
        <v>1104852.3771600001</v>
      </c>
      <c r="L239" s="146">
        <f t="shared" si="110"/>
        <v>509188.73684</v>
      </c>
      <c r="N239" s="146">
        <f t="shared" si="111"/>
        <v>196041.19807999997</v>
      </c>
      <c r="P239" s="146">
        <f t="shared" si="112"/>
        <v>110980.05324000001</v>
      </c>
      <c r="R239" s="146">
        <f t="shared" si="113"/>
        <v>93308.07023999999</v>
      </c>
      <c r="T239" s="146">
        <f t="shared" si="114"/>
        <v>341893.96444</v>
      </c>
      <c r="V239" s="191"/>
      <c r="X239" s="353"/>
      <c r="Y239" s="395" t="s">
        <v>387</v>
      </c>
      <c r="Z239" s="140"/>
      <c r="AA239" s="151">
        <f t="shared" si="122"/>
        <v>3</v>
      </c>
      <c r="AB239" s="140"/>
      <c r="AC239" s="404">
        <f t="shared" si="123"/>
        <v>2356264.4</v>
      </c>
      <c r="AE239" s="146">
        <f t="shared" si="115"/>
        <v>1256360.17808</v>
      </c>
      <c r="AF239" s="146"/>
      <c r="AG239" s="146">
        <f t="shared" si="116"/>
        <v>758010.2574799999</v>
      </c>
      <c r="AH239" s="146"/>
      <c r="AI239" s="146">
        <f t="shared" si="117"/>
        <v>0</v>
      </c>
      <c r="AJ239" s="146"/>
      <c r="AK239" s="146">
        <f t="shared" si="118"/>
        <v>0</v>
      </c>
      <c r="AL239" s="146"/>
      <c r="AM239" s="146">
        <f t="shared" si="119"/>
        <v>0</v>
      </c>
      <c r="AN239" s="146"/>
      <c r="AO239" s="146">
        <f t="shared" si="120"/>
        <v>0</v>
      </c>
      <c r="AP239" s="146"/>
      <c r="AQ239" s="146">
        <f t="shared" si="121"/>
        <v>341893.96444</v>
      </c>
      <c r="AS239" s="159"/>
    </row>
    <row r="240" spans="1:45" ht="12.75">
      <c r="A240" s="443"/>
      <c r="B240" s="460">
        <v>320.1</v>
      </c>
      <c r="D240" s="395" t="s">
        <v>388</v>
      </c>
      <c r="F240" s="151">
        <v>2</v>
      </c>
      <c r="H240" s="146">
        <v>7362919.859999999</v>
      </c>
      <c r="J240" s="146">
        <f t="shared" si="109"/>
        <v>4023099.4115039995</v>
      </c>
      <c r="L240" s="146">
        <f t="shared" si="110"/>
        <v>1854719.5127339999</v>
      </c>
      <c r="N240" s="146">
        <f t="shared" si="111"/>
        <v>713466.9344339999</v>
      </c>
      <c r="P240" s="146">
        <f t="shared" si="112"/>
        <v>404224.30031399993</v>
      </c>
      <c r="R240" s="146">
        <f t="shared" si="113"/>
        <v>339430.605546</v>
      </c>
      <c r="T240" s="146">
        <f t="shared" si="114"/>
        <v>27979.095467999996</v>
      </c>
      <c r="V240" s="191"/>
      <c r="X240" s="353"/>
      <c r="Y240" s="395" t="s">
        <v>388</v>
      </c>
      <c r="Z240" s="140"/>
      <c r="AA240" s="151">
        <f t="shared" si="122"/>
        <v>2</v>
      </c>
      <c r="AB240" s="140"/>
      <c r="AC240" s="404">
        <f t="shared" si="123"/>
        <v>7362919.859999999</v>
      </c>
      <c r="AE240" s="146">
        <f t="shared" si="115"/>
        <v>4573845.817031999</v>
      </c>
      <c r="AF240" s="146"/>
      <c r="AG240" s="146">
        <f t="shared" si="116"/>
        <v>2761094.9475</v>
      </c>
      <c r="AH240" s="146"/>
      <c r="AI240" s="146">
        <f t="shared" si="117"/>
        <v>0</v>
      </c>
      <c r="AJ240" s="146"/>
      <c r="AK240" s="146">
        <f t="shared" si="118"/>
        <v>0</v>
      </c>
      <c r="AL240" s="146"/>
      <c r="AM240" s="146">
        <f t="shared" si="119"/>
        <v>0</v>
      </c>
      <c r="AN240" s="146"/>
      <c r="AO240" s="146">
        <f t="shared" si="120"/>
        <v>0</v>
      </c>
      <c r="AP240" s="146"/>
      <c r="AQ240" s="146">
        <f t="shared" si="121"/>
        <v>27979.095467999996</v>
      </c>
      <c r="AS240" s="159"/>
    </row>
    <row r="241" spans="1:45" ht="12.75">
      <c r="A241" s="443"/>
      <c r="B241" s="460">
        <v>320.2</v>
      </c>
      <c r="D241" s="395" t="s">
        <v>389</v>
      </c>
      <c r="F241" s="151">
        <v>2</v>
      </c>
      <c r="H241" s="146">
        <v>37073.48</v>
      </c>
      <c r="J241" s="146">
        <f t="shared" si="109"/>
        <v>20256.949472</v>
      </c>
      <c r="L241" s="146">
        <f t="shared" si="110"/>
        <v>9338.809612000001</v>
      </c>
      <c r="N241" s="146">
        <f t="shared" si="111"/>
        <v>3592.4202120000004</v>
      </c>
      <c r="P241" s="146">
        <f t="shared" si="112"/>
        <v>2035.3340520000002</v>
      </c>
      <c r="R241" s="146">
        <f t="shared" si="113"/>
        <v>1709.0874280000003</v>
      </c>
      <c r="T241" s="146">
        <f t="shared" si="114"/>
        <v>140.87922400000002</v>
      </c>
      <c r="V241" s="191"/>
      <c r="X241" s="353"/>
      <c r="Y241" s="395" t="s">
        <v>389</v>
      </c>
      <c r="Z241" s="140"/>
      <c r="AA241" s="151">
        <f t="shared" si="122"/>
        <v>2</v>
      </c>
      <c r="AB241" s="140"/>
      <c r="AC241" s="404">
        <f t="shared" si="123"/>
        <v>37073.48</v>
      </c>
      <c r="AE241" s="146">
        <f t="shared" si="115"/>
        <v>23030.045776000003</v>
      </c>
      <c r="AF241" s="146"/>
      <c r="AG241" s="146">
        <f t="shared" si="116"/>
        <v>13902.555</v>
      </c>
      <c r="AH241" s="146"/>
      <c r="AI241" s="146">
        <f t="shared" si="117"/>
        <v>0</v>
      </c>
      <c r="AJ241" s="146"/>
      <c r="AK241" s="146">
        <f t="shared" si="118"/>
        <v>0</v>
      </c>
      <c r="AL241" s="146"/>
      <c r="AM241" s="146">
        <f t="shared" si="119"/>
        <v>0</v>
      </c>
      <c r="AN241" s="146"/>
      <c r="AO241" s="146">
        <f t="shared" si="120"/>
        <v>0</v>
      </c>
      <c r="AP241" s="146"/>
      <c r="AQ241" s="146">
        <f t="shared" si="121"/>
        <v>140.87922400000002</v>
      </c>
      <c r="AS241" s="159"/>
    </row>
    <row r="242" spans="1:45" ht="12.75">
      <c r="A242" s="443"/>
      <c r="B242" s="460">
        <v>330.1</v>
      </c>
      <c r="D242" s="395" t="s">
        <v>390</v>
      </c>
      <c r="F242" s="151">
        <v>5</v>
      </c>
      <c r="H242" s="146">
        <v>6060940.38</v>
      </c>
      <c r="J242" s="146">
        <f t="shared" si="109"/>
        <v>2580142.319766</v>
      </c>
      <c r="L242" s="146">
        <f t="shared" si="110"/>
        <v>1083696.1399440002</v>
      </c>
      <c r="N242" s="146">
        <f t="shared" si="111"/>
        <v>348504.07184999995</v>
      </c>
      <c r="P242" s="146">
        <f t="shared" si="112"/>
        <v>197586.65638800003</v>
      </c>
      <c r="R242" s="146">
        <f t="shared" si="113"/>
        <v>165463.67237400002</v>
      </c>
      <c r="T242" s="146">
        <f t="shared" si="114"/>
        <v>1685547.5196780001</v>
      </c>
      <c r="V242" s="191"/>
      <c r="X242" s="353"/>
      <c r="Y242" s="395" t="s">
        <v>390</v>
      </c>
      <c r="Z242" s="140"/>
      <c r="AA242" s="151">
        <f t="shared" si="122"/>
        <v>5</v>
      </c>
      <c r="AB242" s="140"/>
      <c r="AC242" s="404">
        <f t="shared" si="123"/>
        <v>6060940.38</v>
      </c>
      <c r="AE242" s="146">
        <f t="shared" si="115"/>
        <v>1816463.8318859998</v>
      </c>
      <c r="AF242" s="146"/>
      <c r="AG242" s="146">
        <f t="shared" si="116"/>
        <v>0</v>
      </c>
      <c r="AH242" s="146"/>
      <c r="AI242" s="146">
        <f t="shared" si="117"/>
        <v>2558929.028436</v>
      </c>
      <c r="AJ242" s="146"/>
      <c r="AK242" s="146">
        <f t="shared" si="118"/>
        <v>0</v>
      </c>
      <c r="AL242" s="146"/>
      <c r="AM242" s="146">
        <f t="shared" si="119"/>
        <v>0</v>
      </c>
      <c r="AN242" s="146"/>
      <c r="AO242" s="146">
        <f t="shared" si="120"/>
        <v>0</v>
      </c>
      <c r="AP242" s="146"/>
      <c r="AQ242" s="146">
        <f t="shared" si="121"/>
        <v>1685547.5196780001</v>
      </c>
      <c r="AS242" s="159"/>
    </row>
    <row r="243" spans="1:45" ht="12.75">
      <c r="A243" s="443"/>
      <c r="B243" s="460">
        <v>330.3</v>
      </c>
      <c r="D243" s="395" t="s">
        <v>391</v>
      </c>
      <c r="F243" s="151">
        <v>5</v>
      </c>
      <c r="H243" s="146">
        <v>52112.06</v>
      </c>
      <c r="J243" s="146">
        <f t="shared" si="109"/>
        <v>22184.103941999998</v>
      </c>
      <c r="L243" s="146">
        <f t="shared" si="110"/>
        <v>9317.636328</v>
      </c>
      <c r="N243" s="146">
        <f t="shared" si="111"/>
        <v>2996.4434499999998</v>
      </c>
      <c r="P243" s="146">
        <f t="shared" si="112"/>
        <v>1698.8531560000001</v>
      </c>
      <c r="R243" s="146">
        <f t="shared" si="113"/>
        <v>1422.659238</v>
      </c>
      <c r="T243" s="146">
        <f t="shared" si="114"/>
        <v>14492.363886</v>
      </c>
      <c r="V243" s="191"/>
      <c r="X243" s="353"/>
      <c r="Y243" s="395" t="s">
        <v>391</v>
      </c>
      <c r="Z243" s="140"/>
      <c r="AA243" s="151">
        <f t="shared" si="122"/>
        <v>5</v>
      </c>
      <c r="AB243" s="140"/>
      <c r="AC243" s="404">
        <f t="shared" si="123"/>
        <v>52112.06</v>
      </c>
      <c r="AE243" s="146">
        <f t="shared" si="115"/>
        <v>15617.984381999997</v>
      </c>
      <c r="AF243" s="146"/>
      <c r="AG243" s="146">
        <f t="shared" si="116"/>
        <v>0</v>
      </c>
      <c r="AH243" s="146"/>
      <c r="AI243" s="146">
        <f t="shared" si="117"/>
        <v>22001.711732</v>
      </c>
      <c r="AJ243" s="146"/>
      <c r="AK243" s="146">
        <f t="shared" si="118"/>
        <v>0</v>
      </c>
      <c r="AL243" s="146"/>
      <c r="AM243" s="146">
        <f t="shared" si="119"/>
        <v>0</v>
      </c>
      <c r="AN243" s="146"/>
      <c r="AO243" s="146">
        <f t="shared" si="120"/>
        <v>0</v>
      </c>
      <c r="AP243" s="146"/>
      <c r="AQ243" s="146">
        <f t="shared" si="121"/>
        <v>14492.363886</v>
      </c>
      <c r="AS243" s="159"/>
    </row>
    <row r="244" spans="1:45" s="135" customFormat="1" ht="12.75">
      <c r="A244" s="441"/>
      <c r="B244" s="460">
        <v>331.1</v>
      </c>
      <c r="C244" s="353"/>
      <c r="D244" s="395" t="s">
        <v>38</v>
      </c>
      <c r="E244" s="140"/>
      <c r="F244" s="151">
        <v>3</v>
      </c>
      <c r="H244" s="146">
        <v>48581514.630148</v>
      </c>
      <c r="J244" s="146">
        <f t="shared" si="109"/>
        <v>22779872.2100764</v>
      </c>
      <c r="K244" s="154"/>
      <c r="L244" s="146">
        <f t="shared" si="110"/>
        <v>10498465.311574984</v>
      </c>
      <c r="M244" s="154"/>
      <c r="N244" s="146">
        <f t="shared" si="111"/>
        <v>4041982.0172283137</v>
      </c>
      <c r="O244" s="154"/>
      <c r="P244" s="146">
        <f t="shared" si="112"/>
        <v>2288189.339079971</v>
      </c>
      <c r="Q244" s="154"/>
      <c r="R244" s="146">
        <f t="shared" si="113"/>
        <v>1923827.9793538607</v>
      </c>
      <c r="S244" s="154"/>
      <c r="T244" s="146">
        <f t="shared" si="114"/>
        <v>7049177.772834475</v>
      </c>
      <c r="V244" s="296"/>
      <c r="X244" s="353"/>
      <c r="Y244" s="395" t="s">
        <v>201</v>
      </c>
      <c r="Z244" s="140"/>
      <c r="AA244" s="151">
        <f t="shared" si="122"/>
        <v>3</v>
      </c>
      <c r="AB244" s="140"/>
      <c r="AC244" s="404">
        <f t="shared" si="123"/>
        <v>48581514.630148</v>
      </c>
      <c r="AE244" s="146">
        <f t="shared" si="115"/>
        <v>25903663.600794915</v>
      </c>
      <c r="AF244" s="146"/>
      <c r="AG244" s="146">
        <f t="shared" si="116"/>
        <v>15628673.256518612</v>
      </c>
      <c r="AH244" s="146"/>
      <c r="AI244" s="146">
        <f t="shared" si="117"/>
        <v>0</v>
      </c>
      <c r="AJ244" s="146"/>
      <c r="AK244" s="146">
        <f t="shared" si="118"/>
        <v>0</v>
      </c>
      <c r="AL244" s="146"/>
      <c r="AM244" s="146">
        <f t="shared" si="119"/>
        <v>0</v>
      </c>
      <c r="AN244" s="146"/>
      <c r="AO244" s="146">
        <f t="shared" si="120"/>
        <v>0</v>
      </c>
      <c r="AP244" s="146"/>
      <c r="AQ244" s="146">
        <f t="shared" si="121"/>
        <v>7049177.772834475</v>
      </c>
      <c r="AS244" s="154"/>
    </row>
    <row r="245" spans="1:45" s="135" customFormat="1" ht="12.75">
      <c r="A245" s="441"/>
      <c r="B245" s="460">
        <v>331.1</v>
      </c>
      <c r="C245" s="353"/>
      <c r="D245" s="395" t="s">
        <v>39</v>
      </c>
      <c r="E245" s="140"/>
      <c r="F245" s="151">
        <v>4</v>
      </c>
      <c r="H245" s="146">
        <v>60565900.849851996</v>
      </c>
      <c r="J245" s="146">
        <f t="shared" si="109"/>
        <v>29253330.110478513</v>
      </c>
      <c r="K245" s="154"/>
      <c r="L245" s="146">
        <f t="shared" si="110"/>
        <v>12300934.46260494</v>
      </c>
      <c r="M245" s="154"/>
      <c r="N245" s="146">
        <f t="shared" si="111"/>
        <v>3967066.505665306</v>
      </c>
      <c r="O245" s="154"/>
      <c r="P245" s="146">
        <f t="shared" si="112"/>
        <v>2246994.9215295087</v>
      </c>
      <c r="Q245" s="154"/>
      <c r="R245" s="146">
        <f t="shared" si="113"/>
        <v>0</v>
      </c>
      <c r="S245" s="154"/>
      <c r="T245" s="146">
        <f t="shared" si="114"/>
        <v>12797574.849573726</v>
      </c>
      <c r="V245" s="296"/>
      <c r="X245" s="353"/>
      <c r="Y245" s="395" t="s">
        <v>202</v>
      </c>
      <c r="Z245" s="140"/>
      <c r="AA245" s="151">
        <f t="shared" si="122"/>
        <v>4</v>
      </c>
      <c r="AB245" s="140"/>
      <c r="AC245" s="404">
        <f aca="true" t="shared" si="124" ref="AC245:AC250">+H245</f>
        <v>60565900.849851996</v>
      </c>
      <c r="AE245" s="146">
        <f t="shared" si="115"/>
        <v>19829275.938241545</v>
      </c>
      <c r="AF245" s="146"/>
      <c r="AG245" s="146">
        <f t="shared" si="116"/>
        <v>0</v>
      </c>
      <c r="AH245" s="146"/>
      <c r="AI245" s="146">
        <f t="shared" si="117"/>
        <v>27939050.062036727</v>
      </c>
      <c r="AJ245" s="146"/>
      <c r="AK245" s="146">
        <f t="shared" si="118"/>
        <v>0</v>
      </c>
      <c r="AL245" s="146"/>
      <c r="AM245" s="146">
        <f t="shared" si="119"/>
        <v>0</v>
      </c>
      <c r="AN245" s="146"/>
      <c r="AO245" s="146">
        <f t="shared" si="120"/>
        <v>0</v>
      </c>
      <c r="AP245" s="146"/>
      <c r="AQ245" s="146">
        <f t="shared" si="121"/>
        <v>12797574.849573726</v>
      </c>
      <c r="AS245" s="154"/>
    </row>
    <row r="246" spans="1:45" s="135" customFormat="1" ht="12.75">
      <c r="A246" s="441"/>
      <c r="B246" s="460">
        <v>331.2</v>
      </c>
      <c r="C246" s="353"/>
      <c r="D246" s="395" t="s">
        <v>38</v>
      </c>
      <c r="E246" s="140"/>
      <c r="F246" s="151">
        <v>3</v>
      </c>
      <c r="H246" s="146">
        <v>2484295.111689</v>
      </c>
      <c r="J246" s="146">
        <f t="shared" si="109"/>
        <v>1164885.9778709721</v>
      </c>
      <c r="K246" s="154"/>
      <c r="L246" s="146">
        <f t="shared" si="110"/>
        <v>536856.1736359929</v>
      </c>
      <c r="M246" s="154"/>
      <c r="N246" s="146">
        <f t="shared" si="111"/>
        <v>206693.3532925248</v>
      </c>
      <c r="O246" s="154"/>
      <c r="P246" s="146">
        <f t="shared" si="112"/>
        <v>117010.2997605519</v>
      </c>
      <c r="Q246" s="154"/>
      <c r="R246" s="146">
        <f t="shared" si="113"/>
        <v>98378.08642288439</v>
      </c>
      <c r="S246" s="154"/>
      <c r="T246" s="146">
        <f t="shared" si="114"/>
        <v>360471.2207060739</v>
      </c>
      <c r="V246" s="296"/>
      <c r="X246" s="353"/>
      <c r="Y246" s="395" t="s">
        <v>201</v>
      </c>
      <c r="Z246" s="140"/>
      <c r="AA246" s="151">
        <f t="shared" si="122"/>
        <v>3</v>
      </c>
      <c r="AB246" s="140"/>
      <c r="AC246" s="404">
        <f t="shared" si="124"/>
        <v>2484295.111689</v>
      </c>
      <c r="AE246" s="146">
        <f t="shared" si="115"/>
        <v>1324626.1535525748</v>
      </c>
      <c r="AF246" s="146"/>
      <c r="AG246" s="146">
        <f t="shared" si="116"/>
        <v>799197.7374303512</v>
      </c>
      <c r="AH246" s="146"/>
      <c r="AI246" s="146">
        <f t="shared" si="117"/>
        <v>0</v>
      </c>
      <c r="AJ246" s="146"/>
      <c r="AK246" s="146">
        <f t="shared" si="118"/>
        <v>0</v>
      </c>
      <c r="AL246" s="146"/>
      <c r="AM246" s="146">
        <f t="shared" si="119"/>
        <v>0</v>
      </c>
      <c r="AN246" s="146"/>
      <c r="AO246" s="146">
        <f t="shared" si="120"/>
        <v>0</v>
      </c>
      <c r="AP246" s="146"/>
      <c r="AQ246" s="146">
        <f t="shared" si="121"/>
        <v>360471.2207060739</v>
      </c>
      <c r="AS246" s="154"/>
    </row>
    <row r="247" spans="1:45" s="135" customFormat="1" ht="12.75">
      <c r="A247" s="441"/>
      <c r="B247" s="460">
        <v>331.2</v>
      </c>
      <c r="C247" s="353"/>
      <c r="D247" s="395" t="s">
        <v>39</v>
      </c>
      <c r="E247" s="140"/>
      <c r="F247" s="151">
        <v>4</v>
      </c>
      <c r="H247" s="146">
        <v>3097136.2783109997</v>
      </c>
      <c r="J247" s="146">
        <f t="shared" si="109"/>
        <v>1495916.822424213</v>
      </c>
      <c r="K247" s="154"/>
      <c r="L247" s="146">
        <f t="shared" si="110"/>
        <v>629028.3781249641</v>
      </c>
      <c r="M247" s="154"/>
      <c r="N247" s="146">
        <f t="shared" si="111"/>
        <v>202862.4262293705</v>
      </c>
      <c r="O247" s="154"/>
      <c r="P247" s="146">
        <f t="shared" si="112"/>
        <v>114903.75592533808</v>
      </c>
      <c r="Q247" s="154"/>
      <c r="R247" s="146">
        <f t="shared" si="113"/>
        <v>0</v>
      </c>
      <c r="S247" s="154"/>
      <c r="T247" s="146">
        <f t="shared" si="114"/>
        <v>654424.8956071142</v>
      </c>
      <c r="V247" s="296"/>
      <c r="X247" s="353"/>
      <c r="Y247" s="395" t="s">
        <v>202</v>
      </c>
      <c r="Z247" s="140"/>
      <c r="AA247" s="151">
        <f t="shared" si="122"/>
        <v>4</v>
      </c>
      <c r="AB247" s="140"/>
      <c r="AC247" s="404">
        <f t="shared" si="124"/>
        <v>3097136.2783109997</v>
      </c>
      <c r="AE247" s="146">
        <f t="shared" si="115"/>
        <v>1014002.4175190214</v>
      </c>
      <c r="AF247" s="146"/>
      <c r="AG247" s="146">
        <f t="shared" si="116"/>
        <v>0</v>
      </c>
      <c r="AH247" s="146"/>
      <c r="AI247" s="146">
        <f t="shared" si="117"/>
        <v>1428708.9651848641</v>
      </c>
      <c r="AJ247" s="146"/>
      <c r="AK247" s="146">
        <f t="shared" si="118"/>
        <v>0</v>
      </c>
      <c r="AL247" s="146"/>
      <c r="AM247" s="146">
        <f t="shared" si="119"/>
        <v>0</v>
      </c>
      <c r="AN247" s="146"/>
      <c r="AO247" s="146">
        <f t="shared" si="120"/>
        <v>0</v>
      </c>
      <c r="AP247" s="146"/>
      <c r="AQ247" s="146">
        <f t="shared" si="121"/>
        <v>654424.8956071142</v>
      </c>
      <c r="AS247" s="154"/>
    </row>
    <row r="248" spans="1:45" s="135" customFormat="1" ht="12.75">
      <c r="A248" s="441"/>
      <c r="B248" s="460">
        <v>331.3</v>
      </c>
      <c r="C248" s="353"/>
      <c r="D248" s="395" t="s">
        <v>38</v>
      </c>
      <c r="E248" s="140"/>
      <c r="F248" s="151">
        <v>3</v>
      </c>
      <c r="H248" s="146">
        <v>972831.386229</v>
      </c>
      <c r="J248" s="146">
        <f t="shared" si="109"/>
        <v>456160.6370027782</v>
      </c>
      <c r="K248" s="154"/>
      <c r="L248" s="146">
        <f t="shared" si="110"/>
        <v>210228.8625640869</v>
      </c>
      <c r="M248" s="154"/>
      <c r="N248" s="146">
        <f t="shared" si="111"/>
        <v>80939.5713342528</v>
      </c>
      <c r="O248" s="154"/>
      <c r="P248" s="146">
        <f t="shared" si="112"/>
        <v>45820.358291385906</v>
      </c>
      <c r="Q248" s="154"/>
      <c r="R248" s="146">
        <f t="shared" si="113"/>
        <v>38524.1228946684</v>
      </c>
      <c r="S248" s="154"/>
      <c r="T248" s="146">
        <f t="shared" si="114"/>
        <v>141157.83414182792</v>
      </c>
      <c r="V248" s="296"/>
      <c r="X248" s="353"/>
      <c r="Y248" s="395" t="s">
        <v>203</v>
      </c>
      <c r="Z248" s="140"/>
      <c r="AA248" s="151">
        <f t="shared" si="122"/>
        <v>3</v>
      </c>
      <c r="AB248" s="140"/>
      <c r="AC248" s="404">
        <f t="shared" si="124"/>
        <v>972831.386229</v>
      </c>
      <c r="AE248" s="146">
        <f t="shared" si="115"/>
        <v>518713.69513730286</v>
      </c>
      <c r="AF248" s="146"/>
      <c r="AG248" s="146">
        <f t="shared" si="116"/>
        <v>312959.8569498693</v>
      </c>
      <c r="AH248" s="146"/>
      <c r="AI248" s="146">
        <f t="shared" si="117"/>
        <v>0</v>
      </c>
      <c r="AJ248" s="146"/>
      <c r="AK248" s="146">
        <f t="shared" si="118"/>
        <v>0</v>
      </c>
      <c r="AL248" s="146"/>
      <c r="AM248" s="146">
        <f t="shared" si="119"/>
        <v>0</v>
      </c>
      <c r="AN248" s="146"/>
      <c r="AO248" s="146">
        <f t="shared" si="120"/>
        <v>0</v>
      </c>
      <c r="AP248" s="146"/>
      <c r="AQ248" s="146">
        <f t="shared" si="121"/>
        <v>141157.83414182792</v>
      </c>
      <c r="AS248" s="154"/>
    </row>
    <row r="249" spans="1:45" s="135" customFormat="1" ht="12.75">
      <c r="A249" s="441"/>
      <c r="B249" s="460">
        <v>331.3</v>
      </c>
      <c r="C249" s="353"/>
      <c r="D249" s="395" t="s">
        <v>39</v>
      </c>
      <c r="E249" s="140"/>
      <c r="F249" s="151">
        <v>4</v>
      </c>
      <c r="H249" s="146">
        <v>1212815.403771</v>
      </c>
      <c r="J249" s="146">
        <f t="shared" si="109"/>
        <v>585789.840021393</v>
      </c>
      <c r="K249" s="154"/>
      <c r="L249" s="146">
        <f t="shared" si="110"/>
        <v>246322.8085058901</v>
      </c>
      <c r="M249" s="154"/>
      <c r="N249" s="146">
        <f t="shared" si="111"/>
        <v>79439.4089470005</v>
      </c>
      <c r="O249" s="154"/>
      <c r="P249" s="146">
        <f t="shared" si="112"/>
        <v>44995.45147990409</v>
      </c>
      <c r="Q249" s="154"/>
      <c r="R249" s="146">
        <f t="shared" si="113"/>
        <v>0</v>
      </c>
      <c r="S249" s="154"/>
      <c r="T249" s="146">
        <f t="shared" si="114"/>
        <v>256267.89481681227</v>
      </c>
      <c r="V249" s="296"/>
      <c r="X249" s="353"/>
      <c r="Y249" s="395" t="s">
        <v>204</v>
      </c>
      <c r="Z249" s="140"/>
      <c r="AA249" s="151">
        <f t="shared" si="122"/>
        <v>4</v>
      </c>
      <c r="AB249" s="140"/>
      <c r="AC249" s="404">
        <f t="shared" si="124"/>
        <v>1212815.403771</v>
      </c>
      <c r="AE249" s="146">
        <f t="shared" si="115"/>
        <v>397075.76319462544</v>
      </c>
      <c r="AF249" s="146"/>
      <c r="AG249" s="146">
        <f t="shared" si="116"/>
        <v>0</v>
      </c>
      <c r="AH249" s="146"/>
      <c r="AI249" s="146">
        <f t="shared" si="117"/>
        <v>559471.7457595622</v>
      </c>
      <c r="AJ249" s="146"/>
      <c r="AK249" s="146">
        <f t="shared" si="118"/>
        <v>0</v>
      </c>
      <c r="AL249" s="146"/>
      <c r="AM249" s="146">
        <f t="shared" si="119"/>
        <v>0</v>
      </c>
      <c r="AN249" s="146"/>
      <c r="AO249" s="146">
        <f t="shared" si="120"/>
        <v>0</v>
      </c>
      <c r="AP249" s="146"/>
      <c r="AQ249" s="146">
        <f t="shared" si="121"/>
        <v>256267.89481681227</v>
      </c>
      <c r="AS249" s="154"/>
    </row>
    <row r="250" spans="1:46" ht="12.75">
      <c r="A250" s="443"/>
      <c r="B250" s="460">
        <v>333.1</v>
      </c>
      <c r="D250" s="395" t="s">
        <v>189</v>
      </c>
      <c r="F250" s="151">
        <v>9</v>
      </c>
      <c r="H250" s="146">
        <v>15233886.86</v>
      </c>
      <c r="J250" s="146">
        <f t="shared" si="109"/>
        <v>12770567.354738</v>
      </c>
      <c r="L250" s="146">
        <f t="shared" si="110"/>
        <v>2061144.892158</v>
      </c>
      <c r="N250" s="146">
        <f t="shared" si="111"/>
        <v>102067.041962</v>
      </c>
      <c r="P250" s="146">
        <f t="shared" si="112"/>
        <v>295537.40508399997</v>
      </c>
      <c r="R250" s="146">
        <f t="shared" si="113"/>
        <v>4570.166058</v>
      </c>
      <c r="T250" s="146">
        <f t="shared" si="114"/>
        <v>0</v>
      </c>
      <c r="V250" s="191"/>
      <c r="X250" s="353"/>
      <c r="Y250" s="395" t="s">
        <v>189</v>
      </c>
      <c r="Z250" s="140"/>
      <c r="AA250" s="151">
        <f t="shared" si="122"/>
        <v>9</v>
      </c>
      <c r="AB250" s="140"/>
      <c r="AC250" s="404">
        <f t="shared" si="124"/>
        <v>15233886.86</v>
      </c>
      <c r="AD250" s="135"/>
      <c r="AE250" s="146">
        <f t="shared" si="115"/>
        <v>0</v>
      </c>
      <c r="AF250" s="146"/>
      <c r="AG250" s="146">
        <f t="shared" si="116"/>
        <v>0</v>
      </c>
      <c r="AH250" s="146"/>
      <c r="AI250" s="146">
        <f t="shared" si="117"/>
        <v>0</v>
      </c>
      <c r="AJ250" s="146"/>
      <c r="AK250" s="146">
        <f t="shared" si="118"/>
        <v>0</v>
      </c>
      <c r="AL250" s="146"/>
      <c r="AM250" s="146">
        <f t="shared" si="119"/>
        <v>15233886.86</v>
      </c>
      <c r="AN250" s="146"/>
      <c r="AO250" s="146">
        <f t="shared" si="120"/>
        <v>0</v>
      </c>
      <c r="AP250" s="146"/>
      <c r="AQ250" s="146">
        <f t="shared" si="121"/>
        <v>0</v>
      </c>
      <c r="AR250" s="135"/>
      <c r="AS250" s="154"/>
      <c r="AT250" s="135"/>
    </row>
    <row r="251" spans="1:45" ht="12.75">
      <c r="A251" s="443"/>
      <c r="B251" s="460">
        <v>333.2</v>
      </c>
      <c r="D251" s="395" t="s">
        <v>392</v>
      </c>
      <c r="F251" s="151">
        <v>9</v>
      </c>
      <c r="H251" s="146">
        <v>333937.5</v>
      </c>
      <c r="J251" s="146">
        <f t="shared" si="109"/>
        <v>279939.80625</v>
      </c>
      <c r="L251" s="146">
        <f t="shared" si="110"/>
        <v>45181.74375</v>
      </c>
      <c r="N251" s="146">
        <f t="shared" si="111"/>
        <v>2237.38125</v>
      </c>
      <c r="P251" s="146">
        <f t="shared" si="112"/>
        <v>6478.3875</v>
      </c>
      <c r="R251" s="146">
        <f t="shared" si="113"/>
        <v>100.18124999999999</v>
      </c>
      <c r="T251" s="146">
        <f t="shared" si="114"/>
        <v>0</v>
      </c>
      <c r="V251" s="191"/>
      <c r="X251" s="353"/>
      <c r="Y251" s="395" t="s">
        <v>392</v>
      </c>
      <c r="Z251" s="140"/>
      <c r="AA251" s="151">
        <f t="shared" si="122"/>
        <v>9</v>
      </c>
      <c r="AB251" s="140"/>
      <c r="AC251" s="404">
        <f t="shared" si="123"/>
        <v>333937.5</v>
      </c>
      <c r="AE251" s="146">
        <f t="shared" si="115"/>
        <v>0</v>
      </c>
      <c r="AF251" s="146"/>
      <c r="AG251" s="146">
        <f t="shared" si="116"/>
        <v>0</v>
      </c>
      <c r="AH251" s="146"/>
      <c r="AI251" s="146">
        <f t="shared" si="117"/>
        <v>0</v>
      </c>
      <c r="AJ251" s="146"/>
      <c r="AK251" s="146">
        <f t="shared" si="118"/>
        <v>0</v>
      </c>
      <c r="AL251" s="146"/>
      <c r="AM251" s="146">
        <f t="shared" si="119"/>
        <v>333937.5</v>
      </c>
      <c r="AN251" s="146"/>
      <c r="AO251" s="146">
        <f t="shared" si="120"/>
        <v>0</v>
      </c>
      <c r="AP251" s="146"/>
      <c r="AQ251" s="146">
        <f t="shared" si="121"/>
        <v>0</v>
      </c>
      <c r="AS251" s="159"/>
    </row>
    <row r="252" spans="1:45" ht="12.75">
      <c r="A252" s="443"/>
      <c r="B252" s="460">
        <v>334.1</v>
      </c>
      <c r="D252" s="395" t="s">
        <v>260</v>
      </c>
      <c r="F252" s="151">
        <v>8</v>
      </c>
      <c r="H252" s="146">
        <v>6311871.550000001</v>
      </c>
      <c r="J252" s="146">
        <f t="shared" si="109"/>
        <v>4903061.820040001</v>
      </c>
      <c r="L252" s="146">
        <f t="shared" si="110"/>
        <v>1127300.2588300002</v>
      </c>
      <c r="N252" s="146">
        <f t="shared" si="111"/>
        <v>87103.82739</v>
      </c>
      <c r="P252" s="146">
        <f t="shared" si="112"/>
        <v>189356.1465</v>
      </c>
      <c r="R252" s="146">
        <f t="shared" si="113"/>
        <v>5049.497240000001</v>
      </c>
      <c r="T252" s="146">
        <f t="shared" si="114"/>
        <v>0</v>
      </c>
      <c r="V252" s="191"/>
      <c r="X252" s="353"/>
      <c r="Y252" s="395" t="s">
        <v>260</v>
      </c>
      <c r="Z252" s="140"/>
      <c r="AA252" s="151">
        <f t="shared" si="122"/>
        <v>8</v>
      </c>
      <c r="AB252" s="140"/>
      <c r="AC252" s="404">
        <f t="shared" si="123"/>
        <v>6311871.550000001</v>
      </c>
      <c r="AE252" s="146">
        <f t="shared" si="115"/>
        <v>0</v>
      </c>
      <c r="AF252" s="146"/>
      <c r="AG252" s="146">
        <f t="shared" si="116"/>
        <v>0</v>
      </c>
      <c r="AH252" s="146"/>
      <c r="AI252" s="146">
        <f t="shared" si="117"/>
        <v>0</v>
      </c>
      <c r="AJ252" s="146"/>
      <c r="AK252" s="146">
        <f t="shared" si="118"/>
        <v>6311871.550000001</v>
      </c>
      <c r="AL252" s="146"/>
      <c r="AM252" s="146">
        <f t="shared" si="119"/>
        <v>0</v>
      </c>
      <c r="AN252" s="146"/>
      <c r="AO252" s="146">
        <f t="shared" si="120"/>
        <v>0</v>
      </c>
      <c r="AP252" s="146"/>
      <c r="AQ252" s="146">
        <f t="shared" si="121"/>
        <v>0</v>
      </c>
      <c r="AS252" s="159"/>
    </row>
    <row r="253" spans="1:45" ht="12.75">
      <c r="A253" s="443"/>
      <c r="B253" s="460">
        <v>334.2</v>
      </c>
      <c r="D253" s="395" t="s">
        <v>260</v>
      </c>
      <c r="F253" s="151">
        <v>8</v>
      </c>
      <c r="H253" s="146">
        <v>2379.2</v>
      </c>
      <c r="J253" s="146">
        <f t="shared" si="109"/>
        <v>1848.16256</v>
      </c>
      <c r="L253" s="146">
        <f t="shared" si="110"/>
        <v>424.92512</v>
      </c>
      <c r="N253" s="146">
        <f t="shared" si="111"/>
        <v>32.83296</v>
      </c>
      <c r="P253" s="146">
        <f t="shared" si="112"/>
        <v>71.37599999999999</v>
      </c>
      <c r="R253" s="146">
        <f t="shared" si="113"/>
        <v>1.90336</v>
      </c>
      <c r="T253" s="146">
        <f t="shared" si="114"/>
        <v>0</v>
      </c>
      <c r="V253" s="191"/>
      <c r="X253" s="353"/>
      <c r="Y253" s="395" t="s">
        <v>260</v>
      </c>
      <c r="Z253" s="140"/>
      <c r="AA253" s="151">
        <f t="shared" si="122"/>
        <v>8</v>
      </c>
      <c r="AB253" s="140"/>
      <c r="AC253" s="404">
        <f t="shared" si="123"/>
        <v>2379.2</v>
      </c>
      <c r="AE253" s="146">
        <f t="shared" si="115"/>
        <v>0</v>
      </c>
      <c r="AF253" s="146"/>
      <c r="AG253" s="146">
        <f t="shared" si="116"/>
        <v>0</v>
      </c>
      <c r="AH253" s="146"/>
      <c r="AI253" s="146">
        <f t="shared" si="117"/>
        <v>0</v>
      </c>
      <c r="AJ253" s="146"/>
      <c r="AK253" s="146">
        <f t="shared" si="118"/>
        <v>2379.2</v>
      </c>
      <c r="AL253" s="146"/>
      <c r="AM253" s="146">
        <f t="shared" si="119"/>
        <v>0</v>
      </c>
      <c r="AN253" s="146"/>
      <c r="AO253" s="146">
        <f t="shared" si="120"/>
        <v>0</v>
      </c>
      <c r="AP253" s="146"/>
      <c r="AQ253" s="146">
        <f t="shared" si="121"/>
        <v>0</v>
      </c>
      <c r="AS253" s="159"/>
    </row>
    <row r="254" spans="1:45" ht="12.75">
      <c r="A254" s="443"/>
      <c r="B254" s="460">
        <v>335.1</v>
      </c>
      <c r="D254" s="395" t="s">
        <v>393</v>
      </c>
      <c r="F254" s="151">
        <v>7</v>
      </c>
      <c r="H254" s="146">
        <v>4929344.2</v>
      </c>
      <c r="J254" s="146">
        <f t="shared" si="109"/>
        <v>0</v>
      </c>
      <c r="L254" s="146">
        <f t="shared" si="110"/>
        <v>0</v>
      </c>
      <c r="N254" s="146">
        <f t="shared" si="111"/>
        <v>0</v>
      </c>
      <c r="P254" s="146">
        <f t="shared" si="112"/>
        <v>0</v>
      </c>
      <c r="R254" s="146">
        <f t="shared" si="113"/>
        <v>0</v>
      </c>
      <c r="T254" s="146">
        <f t="shared" si="114"/>
        <v>4929344.2</v>
      </c>
      <c r="V254" s="191"/>
      <c r="X254" s="353"/>
      <c r="Y254" s="395" t="s">
        <v>393</v>
      </c>
      <c r="Z254" s="140"/>
      <c r="AA254" s="151">
        <f t="shared" si="122"/>
        <v>7</v>
      </c>
      <c r="AB254" s="140"/>
      <c r="AC254" s="404">
        <f t="shared" si="123"/>
        <v>4929344.2</v>
      </c>
      <c r="AE254" s="146">
        <f t="shared" si="115"/>
        <v>0</v>
      </c>
      <c r="AF254" s="146"/>
      <c r="AG254" s="146">
        <f t="shared" si="116"/>
        <v>0</v>
      </c>
      <c r="AH254" s="146"/>
      <c r="AI254" s="146">
        <f t="shared" si="117"/>
        <v>0</v>
      </c>
      <c r="AJ254" s="146"/>
      <c r="AK254" s="146">
        <f t="shared" si="118"/>
        <v>0</v>
      </c>
      <c r="AL254" s="146"/>
      <c r="AM254" s="146">
        <f t="shared" si="119"/>
        <v>0</v>
      </c>
      <c r="AN254" s="146"/>
      <c r="AO254" s="146">
        <f t="shared" si="120"/>
        <v>0</v>
      </c>
      <c r="AP254" s="146"/>
      <c r="AQ254" s="146">
        <f t="shared" si="121"/>
        <v>4929344.2</v>
      </c>
      <c r="AS254" s="159"/>
    </row>
    <row r="255" spans="1:45" ht="12.75">
      <c r="A255" s="443"/>
      <c r="B255" s="460">
        <v>335.3</v>
      </c>
      <c r="D255" s="395" t="s">
        <v>394</v>
      </c>
      <c r="F255" s="151">
        <v>7</v>
      </c>
      <c r="H255" s="146">
        <v>130416.66</v>
      </c>
      <c r="J255" s="146">
        <f t="shared" si="109"/>
        <v>0</v>
      </c>
      <c r="L255" s="146">
        <f t="shared" si="110"/>
        <v>0</v>
      </c>
      <c r="N255" s="146">
        <f t="shared" si="111"/>
        <v>0</v>
      </c>
      <c r="P255" s="146">
        <f t="shared" si="112"/>
        <v>0</v>
      </c>
      <c r="R255" s="146">
        <f t="shared" si="113"/>
        <v>0</v>
      </c>
      <c r="T255" s="146">
        <f t="shared" si="114"/>
        <v>130416.66</v>
      </c>
      <c r="V255" s="191"/>
      <c r="X255" s="353"/>
      <c r="Y255" s="395" t="s">
        <v>394</v>
      </c>
      <c r="Z255" s="140"/>
      <c r="AA255" s="151">
        <f t="shared" si="122"/>
        <v>7</v>
      </c>
      <c r="AB255" s="140"/>
      <c r="AC255" s="404">
        <f t="shared" si="123"/>
        <v>130416.66</v>
      </c>
      <c r="AE255" s="146">
        <f t="shared" si="115"/>
        <v>0</v>
      </c>
      <c r="AF255" s="146"/>
      <c r="AG255" s="146">
        <f t="shared" si="116"/>
        <v>0</v>
      </c>
      <c r="AH255" s="146"/>
      <c r="AI255" s="146">
        <f t="shared" si="117"/>
        <v>0</v>
      </c>
      <c r="AJ255" s="146"/>
      <c r="AK255" s="146">
        <f t="shared" si="118"/>
        <v>0</v>
      </c>
      <c r="AL255" s="146"/>
      <c r="AM255" s="146">
        <f t="shared" si="119"/>
        <v>0</v>
      </c>
      <c r="AN255" s="146"/>
      <c r="AO255" s="146">
        <f t="shared" si="120"/>
        <v>0</v>
      </c>
      <c r="AP255" s="146"/>
      <c r="AQ255" s="146">
        <f t="shared" si="121"/>
        <v>130416.66</v>
      </c>
      <c r="AS255" s="159"/>
    </row>
    <row r="256" spans="1:45" ht="12.75">
      <c r="A256" s="443"/>
      <c r="B256" s="460">
        <v>339.1</v>
      </c>
      <c r="D256" s="395" t="s">
        <v>395</v>
      </c>
      <c r="F256" s="151">
        <v>14</v>
      </c>
      <c r="H256" s="146">
        <v>760860.23</v>
      </c>
      <c r="J256" s="146">
        <f t="shared" si="109"/>
        <v>450124.912068</v>
      </c>
      <c r="L256" s="146">
        <f t="shared" si="110"/>
        <v>145324.30393</v>
      </c>
      <c r="N256" s="146">
        <f t="shared" si="111"/>
        <v>44510.323455</v>
      </c>
      <c r="P256" s="146">
        <f t="shared" si="112"/>
        <v>27923.570441000003</v>
      </c>
      <c r="R256" s="146">
        <f t="shared" si="113"/>
        <v>14152.000277999998</v>
      </c>
      <c r="T256" s="146">
        <f t="shared" si="114"/>
        <v>78825.119828</v>
      </c>
      <c r="V256" s="191"/>
      <c r="X256" s="353"/>
      <c r="Y256" s="395" t="s">
        <v>395</v>
      </c>
      <c r="Z256" s="140"/>
      <c r="AA256" s="151">
        <f t="shared" si="122"/>
        <v>14</v>
      </c>
      <c r="AB256" s="140"/>
      <c r="AC256" s="404">
        <f t="shared" si="123"/>
        <v>760860.23</v>
      </c>
      <c r="AE256" s="146">
        <f t="shared" si="115"/>
        <v>255572.95125699998</v>
      </c>
      <c r="AF256" s="146"/>
      <c r="AG256" s="146">
        <f t="shared" si="116"/>
        <v>106748.690269</v>
      </c>
      <c r="AH256" s="146"/>
      <c r="AI256" s="146">
        <f t="shared" si="117"/>
        <v>110781.249488</v>
      </c>
      <c r="AJ256" s="146"/>
      <c r="AK256" s="146">
        <f t="shared" si="118"/>
        <v>56379.743042999995</v>
      </c>
      <c r="AL256" s="146"/>
      <c r="AM256" s="146">
        <f t="shared" si="119"/>
        <v>59118.839871000004</v>
      </c>
      <c r="AN256" s="146"/>
      <c r="AO256" s="146">
        <f t="shared" si="120"/>
        <v>93433.63624400001</v>
      </c>
      <c r="AP256" s="146"/>
      <c r="AQ256" s="146">
        <f t="shared" si="121"/>
        <v>78825.119828</v>
      </c>
      <c r="AS256" s="159"/>
    </row>
    <row r="257" spans="1:45" ht="12.75">
      <c r="A257" s="443"/>
      <c r="B257" s="460">
        <v>339.2</v>
      </c>
      <c r="D257" s="395" t="s">
        <v>395</v>
      </c>
      <c r="F257" s="151">
        <v>14</v>
      </c>
      <c r="H257" s="146">
        <v>1285.38</v>
      </c>
      <c r="J257" s="146">
        <f t="shared" si="109"/>
        <v>760.4308080000001</v>
      </c>
      <c r="L257" s="146">
        <f t="shared" si="110"/>
        <v>245.50758000000002</v>
      </c>
      <c r="N257" s="146">
        <f t="shared" si="111"/>
        <v>75.19473</v>
      </c>
      <c r="P257" s="146">
        <f t="shared" si="112"/>
        <v>47.173446000000006</v>
      </c>
      <c r="R257" s="146">
        <f t="shared" si="113"/>
        <v>23.908068</v>
      </c>
      <c r="T257" s="146">
        <f t="shared" si="114"/>
        <v>133.165368</v>
      </c>
      <c r="V257" s="191"/>
      <c r="X257" s="353"/>
      <c r="Y257" s="395" t="s">
        <v>395</v>
      </c>
      <c r="Z257" s="140"/>
      <c r="AA257" s="151">
        <f t="shared" si="122"/>
        <v>14</v>
      </c>
      <c r="AB257" s="140"/>
      <c r="AC257" s="404">
        <f t="shared" si="123"/>
        <v>1285.38</v>
      </c>
      <c r="AE257" s="146">
        <f t="shared" si="115"/>
        <v>431.759142</v>
      </c>
      <c r="AF257" s="146"/>
      <c r="AG257" s="146">
        <f t="shared" si="116"/>
        <v>180.338814</v>
      </c>
      <c r="AH257" s="146"/>
      <c r="AI257" s="146">
        <f t="shared" si="117"/>
        <v>187.15132800000003</v>
      </c>
      <c r="AJ257" s="146"/>
      <c r="AK257" s="146">
        <f t="shared" si="118"/>
        <v>95.24665800000001</v>
      </c>
      <c r="AL257" s="146"/>
      <c r="AM257" s="146">
        <f t="shared" si="119"/>
        <v>99.87402600000001</v>
      </c>
      <c r="AN257" s="146"/>
      <c r="AO257" s="146">
        <f t="shared" si="120"/>
        <v>157.84466400000002</v>
      </c>
      <c r="AP257" s="146"/>
      <c r="AQ257" s="146">
        <f t="shared" si="121"/>
        <v>133.165368</v>
      </c>
      <c r="AS257" s="159"/>
    </row>
    <row r="258" spans="1:45" ht="12.75">
      <c r="A258" s="443"/>
      <c r="B258" s="460">
        <v>340.1</v>
      </c>
      <c r="D258" s="395" t="s">
        <v>396</v>
      </c>
      <c r="F258" s="151">
        <v>14</v>
      </c>
      <c r="H258" s="146">
        <v>1239688.6</v>
      </c>
      <c r="J258" s="146">
        <f t="shared" si="109"/>
        <v>733399.7757600001</v>
      </c>
      <c r="L258" s="146">
        <f t="shared" si="110"/>
        <v>236780.52260000003</v>
      </c>
      <c r="N258" s="146">
        <f t="shared" si="111"/>
        <v>72521.78310000002</v>
      </c>
      <c r="P258" s="146">
        <f t="shared" si="112"/>
        <v>45496.57162000001</v>
      </c>
      <c r="R258" s="146">
        <f t="shared" si="113"/>
        <v>23058.20796</v>
      </c>
      <c r="T258" s="146">
        <f t="shared" si="114"/>
        <v>128431.73896</v>
      </c>
      <c r="V258" s="191"/>
      <c r="X258" s="353"/>
      <c r="Y258" s="395" t="s">
        <v>396</v>
      </c>
      <c r="Z258" s="140"/>
      <c r="AA258" s="151">
        <f t="shared" si="122"/>
        <v>14</v>
      </c>
      <c r="AB258" s="140"/>
      <c r="AC258" s="404">
        <f t="shared" si="123"/>
        <v>1239688.6</v>
      </c>
      <c r="AE258" s="146">
        <f t="shared" si="115"/>
        <v>416411.40074</v>
      </c>
      <c r="AF258" s="146"/>
      <c r="AG258" s="146">
        <f t="shared" si="116"/>
        <v>173928.31058000002</v>
      </c>
      <c r="AH258" s="146"/>
      <c r="AI258" s="146">
        <f t="shared" si="117"/>
        <v>180498.66016000003</v>
      </c>
      <c r="AJ258" s="146"/>
      <c r="AK258" s="146">
        <f t="shared" si="118"/>
        <v>91860.92526</v>
      </c>
      <c r="AL258" s="146"/>
      <c r="AM258" s="146">
        <f t="shared" si="119"/>
        <v>96323.80422000002</v>
      </c>
      <c r="AN258" s="146"/>
      <c r="AO258" s="146">
        <f t="shared" si="120"/>
        <v>152233.76008</v>
      </c>
      <c r="AP258" s="146"/>
      <c r="AQ258" s="146">
        <f t="shared" si="121"/>
        <v>128431.73896</v>
      </c>
      <c r="AS258" s="159"/>
    </row>
    <row r="259" spans="1:45" ht="12.75">
      <c r="A259" s="443"/>
      <c r="B259" s="460">
        <v>340.2</v>
      </c>
      <c r="D259" s="395" t="s">
        <v>396</v>
      </c>
      <c r="F259" s="151">
        <v>14</v>
      </c>
      <c r="H259" s="146">
        <v>9262.97</v>
      </c>
      <c r="J259" s="146">
        <f t="shared" si="109"/>
        <v>5479.973051999999</v>
      </c>
      <c r="L259" s="146">
        <f t="shared" si="110"/>
        <v>1769.2272699999999</v>
      </c>
      <c r="N259" s="146">
        <f t="shared" si="111"/>
        <v>541.883745</v>
      </c>
      <c r="P259" s="146">
        <f t="shared" si="112"/>
        <v>339.950999</v>
      </c>
      <c r="R259" s="146">
        <f t="shared" si="113"/>
        <v>172.29124199999998</v>
      </c>
      <c r="T259" s="146">
        <f t="shared" si="114"/>
        <v>959.6436919999999</v>
      </c>
      <c r="V259" s="191"/>
      <c r="X259" s="353"/>
      <c r="Y259" s="395" t="s">
        <v>396</v>
      </c>
      <c r="Z259" s="140"/>
      <c r="AA259" s="151">
        <f t="shared" si="122"/>
        <v>14</v>
      </c>
      <c r="AB259" s="140"/>
      <c r="AC259" s="404">
        <f t="shared" si="123"/>
        <v>9262.97</v>
      </c>
      <c r="AE259" s="146">
        <f t="shared" si="115"/>
        <v>3111.4316229999995</v>
      </c>
      <c r="AF259" s="146"/>
      <c r="AG259" s="146">
        <f t="shared" si="116"/>
        <v>1299.594691</v>
      </c>
      <c r="AH259" s="146"/>
      <c r="AI259" s="146">
        <f t="shared" si="117"/>
        <v>1348.688432</v>
      </c>
      <c r="AJ259" s="146"/>
      <c r="AK259" s="146">
        <f t="shared" si="118"/>
        <v>686.386077</v>
      </c>
      <c r="AL259" s="146"/>
      <c r="AM259" s="146">
        <f t="shared" si="119"/>
        <v>719.732769</v>
      </c>
      <c r="AN259" s="146"/>
      <c r="AO259" s="146">
        <f t="shared" si="120"/>
        <v>1137.492716</v>
      </c>
      <c r="AP259" s="146"/>
      <c r="AQ259" s="146">
        <f t="shared" si="121"/>
        <v>959.6436919999999</v>
      </c>
      <c r="AS259" s="159"/>
    </row>
    <row r="260" spans="1:45" ht="12.75">
      <c r="A260" s="443"/>
      <c r="B260" s="460">
        <v>341.1</v>
      </c>
      <c r="D260" s="395" t="s">
        <v>397</v>
      </c>
      <c r="F260" s="151">
        <v>14</v>
      </c>
      <c r="H260" s="146">
        <v>529746.14</v>
      </c>
      <c r="J260" s="146">
        <f t="shared" si="109"/>
        <v>313397.816424</v>
      </c>
      <c r="L260" s="146">
        <f t="shared" si="110"/>
        <v>101181.51274</v>
      </c>
      <c r="N260" s="146">
        <f t="shared" si="111"/>
        <v>30990.149190000004</v>
      </c>
      <c r="P260" s="146">
        <f t="shared" si="112"/>
        <v>19441.683338000003</v>
      </c>
      <c r="R260" s="146">
        <f t="shared" si="113"/>
        <v>9853.278204</v>
      </c>
      <c r="T260" s="146">
        <f t="shared" si="114"/>
        <v>54881.700104</v>
      </c>
      <c r="V260" s="191"/>
      <c r="X260" s="353"/>
      <c r="Y260" s="395" t="s">
        <v>397</v>
      </c>
      <c r="Z260" s="140"/>
      <c r="AA260" s="151">
        <f t="shared" si="122"/>
        <v>14</v>
      </c>
      <c r="AB260" s="140"/>
      <c r="AC260" s="404">
        <f t="shared" si="123"/>
        <v>529746.14</v>
      </c>
      <c r="AE260" s="146">
        <f t="shared" si="115"/>
        <v>177941.728426</v>
      </c>
      <c r="AF260" s="146"/>
      <c r="AG260" s="146">
        <f t="shared" si="116"/>
        <v>74323.383442</v>
      </c>
      <c r="AH260" s="146"/>
      <c r="AI260" s="146">
        <f t="shared" si="117"/>
        <v>77131.03798400001</v>
      </c>
      <c r="AJ260" s="146"/>
      <c r="AK260" s="146">
        <f t="shared" si="118"/>
        <v>39254.188974000004</v>
      </c>
      <c r="AL260" s="146"/>
      <c r="AM260" s="146">
        <f t="shared" si="119"/>
        <v>41161.275078000006</v>
      </c>
      <c r="AN260" s="146"/>
      <c r="AO260" s="146">
        <f t="shared" si="120"/>
        <v>65052.825992000005</v>
      </c>
      <c r="AP260" s="146"/>
      <c r="AQ260" s="146">
        <f t="shared" si="121"/>
        <v>54881.700104</v>
      </c>
      <c r="AS260" s="159"/>
    </row>
    <row r="261" spans="1:45" ht="12.75">
      <c r="A261" s="443"/>
      <c r="B261" s="460">
        <v>341.2</v>
      </c>
      <c r="D261" s="395" t="s">
        <v>397</v>
      </c>
      <c r="F261" s="151">
        <v>14</v>
      </c>
      <c r="H261" s="146">
        <v>0</v>
      </c>
      <c r="J261" s="146">
        <f t="shared" si="109"/>
        <v>0</v>
      </c>
      <c r="L261" s="146">
        <f t="shared" si="110"/>
        <v>0</v>
      </c>
      <c r="N261" s="146">
        <f t="shared" si="111"/>
        <v>0</v>
      </c>
      <c r="P261" s="146">
        <f t="shared" si="112"/>
        <v>0</v>
      </c>
      <c r="R261" s="146">
        <f t="shared" si="113"/>
        <v>0</v>
      </c>
      <c r="T261" s="146">
        <f t="shared" si="114"/>
        <v>0</v>
      </c>
      <c r="V261" s="191"/>
      <c r="X261" s="353"/>
      <c r="Y261" s="395" t="s">
        <v>397</v>
      </c>
      <c r="Z261" s="140"/>
      <c r="AA261" s="151">
        <f t="shared" si="122"/>
        <v>14</v>
      </c>
      <c r="AB261" s="140"/>
      <c r="AC261" s="404">
        <f t="shared" si="123"/>
        <v>0</v>
      </c>
      <c r="AE261" s="146">
        <f t="shared" si="115"/>
        <v>0</v>
      </c>
      <c r="AF261" s="146"/>
      <c r="AG261" s="146">
        <f t="shared" si="116"/>
        <v>0</v>
      </c>
      <c r="AH261" s="146"/>
      <c r="AI261" s="146">
        <f t="shared" si="117"/>
        <v>0</v>
      </c>
      <c r="AJ261" s="146"/>
      <c r="AK261" s="146">
        <f t="shared" si="118"/>
        <v>0</v>
      </c>
      <c r="AL261" s="146"/>
      <c r="AM261" s="146">
        <f t="shared" si="119"/>
        <v>0</v>
      </c>
      <c r="AN261" s="146"/>
      <c r="AO261" s="146">
        <f t="shared" si="120"/>
        <v>0</v>
      </c>
      <c r="AP261" s="146"/>
      <c r="AQ261" s="146">
        <f t="shared" si="121"/>
        <v>0</v>
      </c>
      <c r="AS261" s="159"/>
    </row>
    <row r="262" spans="1:45" ht="15" customHeight="1">
      <c r="A262" s="443"/>
      <c r="B262" s="460">
        <v>342.1</v>
      </c>
      <c r="D262" s="395" t="s">
        <v>24</v>
      </c>
      <c r="F262" s="151">
        <v>14</v>
      </c>
      <c r="H262" s="146">
        <v>444.4799999999814</v>
      </c>
      <c r="J262" s="146">
        <f t="shared" si="109"/>
        <v>262.95436799998896</v>
      </c>
      <c r="L262" s="146">
        <f t="shared" si="110"/>
        <v>84.89567999999645</v>
      </c>
      <c r="N262" s="146">
        <f t="shared" si="111"/>
        <v>26.002079999998912</v>
      </c>
      <c r="P262" s="146">
        <f t="shared" si="112"/>
        <v>16.312415999999317</v>
      </c>
      <c r="R262" s="146">
        <f t="shared" si="113"/>
        <v>8.267327999999653</v>
      </c>
      <c r="T262" s="146">
        <f t="shared" si="114"/>
        <v>46.048127999998066</v>
      </c>
      <c r="V262" s="191"/>
      <c r="X262" s="353"/>
      <c r="Y262" s="395" t="s">
        <v>24</v>
      </c>
      <c r="Z262" s="140"/>
      <c r="AA262" s="151">
        <f t="shared" si="122"/>
        <v>14</v>
      </c>
      <c r="AB262" s="140"/>
      <c r="AC262" s="404">
        <f t="shared" si="123"/>
        <v>444.4799999999814</v>
      </c>
      <c r="AE262" s="146">
        <f t="shared" si="115"/>
        <v>149.30083199999373</v>
      </c>
      <c r="AF262" s="146"/>
      <c r="AG262" s="146">
        <f t="shared" si="116"/>
        <v>62.36054399999739</v>
      </c>
      <c r="AH262" s="146"/>
      <c r="AI262" s="146">
        <f t="shared" si="117"/>
        <v>64.71628799999729</v>
      </c>
      <c r="AJ262" s="146"/>
      <c r="AK262" s="146">
        <f t="shared" si="118"/>
        <v>32.93596799999862</v>
      </c>
      <c r="AL262" s="146"/>
      <c r="AM262" s="146">
        <f t="shared" si="119"/>
        <v>34.53609599999856</v>
      </c>
      <c r="AN262" s="146"/>
      <c r="AO262" s="146">
        <f t="shared" si="120"/>
        <v>54.58214399999772</v>
      </c>
      <c r="AP262" s="146"/>
      <c r="AQ262" s="146">
        <f t="shared" si="121"/>
        <v>46.048127999998066</v>
      </c>
      <c r="AS262" s="159"/>
    </row>
    <row r="263" spans="1:45" ht="12.75">
      <c r="A263" s="443"/>
      <c r="B263" s="460">
        <v>343.1</v>
      </c>
      <c r="D263" s="395" t="s">
        <v>398</v>
      </c>
      <c r="F263" s="151">
        <v>14</v>
      </c>
      <c r="H263" s="146">
        <v>117250.05</v>
      </c>
      <c r="J263" s="146">
        <f t="shared" si="109"/>
        <v>69365.12958000001</v>
      </c>
      <c r="L263" s="146">
        <f t="shared" si="110"/>
        <v>22394.759550000002</v>
      </c>
      <c r="N263" s="146">
        <f t="shared" si="111"/>
        <v>6859.127925000001</v>
      </c>
      <c r="P263" s="146">
        <f t="shared" si="112"/>
        <v>4303.076835000001</v>
      </c>
      <c r="R263" s="146">
        <f t="shared" si="113"/>
        <v>2180.85093</v>
      </c>
      <c r="T263" s="146">
        <f t="shared" si="114"/>
        <v>12147.10518</v>
      </c>
      <c r="V263" s="191"/>
      <c r="X263" s="353"/>
      <c r="Y263" s="395" t="s">
        <v>398</v>
      </c>
      <c r="Z263" s="140"/>
      <c r="AA263" s="151">
        <f t="shared" si="122"/>
        <v>14</v>
      </c>
      <c r="AB263" s="140"/>
      <c r="AC263" s="404">
        <f t="shared" si="123"/>
        <v>117250.05</v>
      </c>
      <c r="AE263" s="146">
        <f t="shared" si="115"/>
        <v>39384.291795</v>
      </c>
      <c r="AF263" s="146"/>
      <c r="AG263" s="146">
        <f t="shared" si="116"/>
        <v>16450.182015000002</v>
      </c>
      <c r="AH263" s="146"/>
      <c r="AI263" s="146">
        <f t="shared" si="117"/>
        <v>17071.60728</v>
      </c>
      <c r="AJ263" s="146"/>
      <c r="AK263" s="146">
        <f t="shared" si="118"/>
        <v>8688.228705</v>
      </c>
      <c r="AL263" s="146"/>
      <c r="AM263" s="146">
        <f t="shared" si="119"/>
        <v>9110.328885</v>
      </c>
      <c r="AN263" s="146"/>
      <c r="AO263" s="146">
        <f t="shared" si="120"/>
        <v>14398.30614</v>
      </c>
      <c r="AP263" s="146"/>
      <c r="AQ263" s="146">
        <f t="shared" si="121"/>
        <v>12147.10518</v>
      </c>
      <c r="AS263" s="159"/>
    </row>
    <row r="264" spans="1:45" ht="12.75">
      <c r="A264" s="443"/>
      <c r="B264" s="460">
        <v>344.1</v>
      </c>
      <c r="D264" s="395" t="s">
        <v>25</v>
      </c>
      <c r="F264" s="151">
        <v>2</v>
      </c>
      <c r="H264" s="146">
        <v>42514.13</v>
      </c>
      <c r="J264" s="146">
        <f t="shared" si="109"/>
        <v>23229.720631999997</v>
      </c>
      <c r="L264" s="146">
        <f t="shared" si="110"/>
        <v>10709.309347</v>
      </c>
      <c r="N264" s="146">
        <f t="shared" si="111"/>
        <v>4119.619197</v>
      </c>
      <c r="P264" s="146">
        <f t="shared" si="112"/>
        <v>2334.025737</v>
      </c>
      <c r="R264" s="146">
        <f t="shared" si="113"/>
        <v>1959.9013929999999</v>
      </c>
      <c r="T264" s="146">
        <f t="shared" si="114"/>
        <v>161.55369399999998</v>
      </c>
      <c r="V264" s="191"/>
      <c r="X264" s="353"/>
      <c r="Y264" s="395" t="s">
        <v>25</v>
      </c>
      <c r="Z264" s="140"/>
      <c r="AA264" s="151">
        <f t="shared" si="122"/>
        <v>2</v>
      </c>
      <c r="AB264" s="140"/>
      <c r="AC264" s="404">
        <f t="shared" si="123"/>
        <v>42514.13</v>
      </c>
      <c r="AE264" s="146">
        <f t="shared" si="115"/>
        <v>26409.777555999997</v>
      </c>
      <c r="AF264" s="146"/>
      <c r="AG264" s="146">
        <f t="shared" si="116"/>
        <v>15942.798749999998</v>
      </c>
      <c r="AH264" s="146"/>
      <c r="AI264" s="146">
        <f t="shared" si="117"/>
        <v>0</v>
      </c>
      <c r="AJ264" s="146"/>
      <c r="AK264" s="146">
        <f t="shared" si="118"/>
        <v>0</v>
      </c>
      <c r="AL264" s="146"/>
      <c r="AM264" s="146">
        <f t="shared" si="119"/>
        <v>0</v>
      </c>
      <c r="AN264" s="146"/>
      <c r="AO264" s="146">
        <f t="shared" si="120"/>
        <v>0</v>
      </c>
      <c r="AP264" s="146"/>
      <c r="AQ264" s="146">
        <f t="shared" si="121"/>
        <v>161.55369399999998</v>
      </c>
      <c r="AS264" s="159"/>
    </row>
    <row r="265" spans="1:45" ht="12.75">
      <c r="A265" s="443"/>
      <c r="B265" s="460">
        <v>345.1</v>
      </c>
      <c r="D265" s="395" t="s">
        <v>26</v>
      </c>
      <c r="F265" s="151">
        <v>14</v>
      </c>
      <c r="H265" s="146">
        <v>204360.31</v>
      </c>
      <c r="J265" s="146">
        <f t="shared" si="109"/>
        <v>120899.559396</v>
      </c>
      <c r="L265" s="146">
        <f t="shared" si="110"/>
        <v>39032.81921</v>
      </c>
      <c r="N265" s="146">
        <f t="shared" si="111"/>
        <v>11955.078135</v>
      </c>
      <c r="P265" s="146">
        <f t="shared" si="112"/>
        <v>7500.023377</v>
      </c>
      <c r="R265" s="146">
        <f t="shared" si="113"/>
        <v>3801.1017659999998</v>
      </c>
      <c r="T265" s="146">
        <f t="shared" si="114"/>
        <v>21171.728116</v>
      </c>
      <c r="V265" s="191"/>
      <c r="X265" s="353"/>
      <c r="Y265" s="395" t="s">
        <v>26</v>
      </c>
      <c r="Z265" s="140"/>
      <c r="AA265" s="151">
        <f t="shared" si="122"/>
        <v>14</v>
      </c>
      <c r="AB265" s="140"/>
      <c r="AC265" s="404">
        <f t="shared" si="123"/>
        <v>204360.31</v>
      </c>
      <c r="AE265" s="146">
        <f t="shared" si="115"/>
        <v>68644.62812899999</v>
      </c>
      <c r="AF265" s="146"/>
      <c r="AG265" s="146">
        <f t="shared" si="116"/>
        <v>28671.751493</v>
      </c>
      <c r="AH265" s="146"/>
      <c r="AI265" s="146">
        <f t="shared" si="117"/>
        <v>29754.861136</v>
      </c>
      <c r="AJ265" s="146"/>
      <c r="AK265" s="146">
        <f t="shared" si="118"/>
        <v>15143.098971</v>
      </c>
      <c r="AL265" s="146"/>
      <c r="AM265" s="146">
        <f t="shared" si="119"/>
        <v>15878.796087</v>
      </c>
      <c r="AN265" s="146"/>
      <c r="AO265" s="146">
        <f t="shared" si="120"/>
        <v>25095.446068</v>
      </c>
      <c r="AP265" s="146"/>
      <c r="AQ265" s="146">
        <f t="shared" si="121"/>
        <v>21171.728116</v>
      </c>
      <c r="AS265" s="159"/>
    </row>
    <row r="266" spans="1:45" ht="12.75">
      <c r="A266" s="443"/>
      <c r="B266" s="460">
        <v>346.1</v>
      </c>
      <c r="D266" s="395" t="s">
        <v>399</v>
      </c>
      <c r="F266" s="151">
        <v>14</v>
      </c>
      <c r="H266" s="146">
        <v>66883.52</v>
      </c>
      <c r="J266" s="146">
        <f t="shared" si="109"/>
        <v>39568.290432</v>
      </c>
      <c r="L266" s="146">
        <f t="shared" si="110"/>
        <v>12774.752320000001</v>
      </c>
      <c r="N266" s="146">
        <f t="shared" si="111"/>
        <v>3912.6859200000004</v>
      </c>
      <c r="P266" s="146">
        <f t="shared" si="112"/>
        <v>2454.6251840000004</v>
      </c>
      <c r="R266" s="146">
        <f t="shared" si="113"/>
        <v>1244.033472</v>
      </c>
      <c r="T266" s="146">
        <f t="shared" si="114"/>
        <v>6929.132672000001</v>
      </c>
      <c r="V266" s="191"/>
      <c r="X266" s="353"/>
      <c r="Y266" s="395" t="s">
        <v>399</v>
      </c>
      <c r="Z266" s="140"/>
      <c r="AA266" s="151">
        <f t="shared" si="122"/>
        <v>14</v>
      </c>
      <c r="AB266" s="140"/>
      <c r="AC266" s="404">
        <f t="shared" si="123"/>
        <v>66883.52</v>
      </c>
      <c r="AE266" s="146">
        <f t="shared" si="115"/>
        <v>22466.174368</v>
      </c>
      <c r="AF266" s="146"/>
      <c r="AG266" s="146">
        <f t="shared" si="116"/>
        <v>9383.757856000002</v>
      </c>
      <c r="AH266" s="146"/>
      <c r="AI266" s="146">
        <f t="shared" si="117"/>
        <v>9738.240512</v>
      </c>
      <c r="AJ266" s="146"/>
      <c r="AK266" s="146">
        <f t="shared" si="118"/>
        <v>4956.068832</v>
      </c>
      <c r="AL266" s="146"/>
      <c r="AM266" s="146">
        <f t="shared" si="119"/>
        <v>5196.849504000001</v>
      </c>
      <c r="AN266" s="146"/>
      <c r="AO266" s="146">
        <f t="shared" si="120"/>
        <v>8213.296256000001</v>
      </c>
      <c r="AP266" s="146"/>
      <c r="AQ266" s="146">
        <f t="shared" si="121"/>
        <v>6929.132672000001</v>
      </c>
      <c r="AS266" s="159"/>
    </row>
    <row r="267" spans="1:45" ht="12.75">
      <c r="A267" s="443"/>
      <c r="B267" s="460">
        <v>346.2</v>
      </c>
      <c r="D267" s="395" t="s">
        <v>399</v>
      </c>
      <c r="F267" s="151">
        <v>14</v>
      </c>
      <c r="H267" s="146">
        <v>0</v>
      </c>
      <c r="J267" s="146">
        <f t="shared" si="109"/>
        <v>0</v>
      </c>
      <c r="L267" s="146">
        <f t="shared" si="110"/>
        <v>0</v>
      </c>
      <c r="N267" s="146">
        <f t="shared" si="111"/>
        <v>0</v>
      </c>
      <c r="P267" s="146">
        <f t="shared" si="112"/>
        <v>0</v>
      </c>
      <c r="R267" s="146">
        <f t="shared" si="113"/>
        <v>0</v>
      </c>
      <c r="T267" s="146">
        <f t="shared" si="114"/>
        <v>0</v>
      </c>
      <c r="V267" s="191"/>
      <c r="X267" s="353"/>
      <c r="Y267" s="395" t="s">
        <v>399</v>
      </c>
      <c r="Z267" s="140"/>
      <c r="AA267" s="151">
        <f t="shared" si="122"/>
        <v>14</v>
      </c>
      <c r="AB267" s="140"/>
      <c r="AC267" s="404">
        <f t="shared" si="123"/>
        <v>0</v>
      </c>
      <c r="AE267" s="146">
        <f t="shared" si="115"/>
        <v>0</v>
      </c>
      <c r="AF267" s="146"/>
      <c r="AG267" s="146">
        <f t="shared" si="116"/>
        <v>0</v>
      </c>
      <c r="AH267" s="146"/>
      <c r="AI267" s="146">
        <f t="shared" si="117"/>
        <v>0</v>
      </c>
      <c r="AJ267" s="146"/>
      <c r="AK267" s="146">
        <f t="shared" si="118"/>
        <v>0</v>
      </c>
      <c r="AL267" s="146"/>
      <c r="AM267" s="146">
        <f t="shared" si="119"/>
        <v>0</v>
      </c>
      <c r="AN267" s="146"/>
      <c r="AO267" s="146">
        <f t="shared" si="120"/>
        <v>0</v>
      </c>
      <c r="AP267" s="146"/>
      <c r="AQ267" s="146">
        <f t="shared" si="121"/>
        <v>0</v>
      </c>
      <c r="AS267" s="159"/>
    </row>
    <row r="268" spans="1:45" ht="12.75">
      <c r="A268" s="443"/>
      <c r="B268" s="460">
        <v>347.1</v>
      </c>
      <c r="D268" s="395" t="s">
        <v>400</v>
      </c>
      <c r="F268" s="151">
        <v>14</v>
      </c>
      <c r="H268" s="147">
        <v>4455</v>
      </c>
      <c r="J268" s="147">
        <f t="shared" si="109"/>
        <v>2635.578</v>
      </c>
      <c r="L268" s="147">
        <f t="shared" si="110"/>
        <v>850.905</v>
      </c>
      <c r="N268" s="147">
        <f t="shared" si="111"/>
        <v>260.6175</v>
      </c>
      <c r="P268" s="147">
        <f t="shared" si="112"/>
        <v>163.4985</v>
      </c>
      <c r="R268" s="147">
        <f t="shared" si="113"/>
        <v>82.863</v>
      </c>
      <c r="T268" s="147">
        <f t="shared" si="114"/>
        <v>461.538</v>
      </c>
      <c r="V268" s="191"/>
      <c r="X268" s="353"/>
      <c r="Y268" s="395" t="s">
        <v>400</v>
      </c>
      <c r="Z268" s="140"/>
      <c r="AA268" s="151">
        <f t="shared" si="122"/>
        <v>14</v>
      </c>
      <c r="AB268" s="140"/>
      <c r="AC268" s="404">
        <f t="shared" si="123"/>
        <v>4455</v>
      </c>
      <c r="AE268" s="146">
        <f t="shared" si="115"/>
        <v>1496.4344999999998</v>
      </c>
      <c r="AF268" s="146"/>
      <c r="AG268" s="146">
        <f t="shared" si="116"/>
        <v>625.0365</v>
      </c>
      <c r="AH268" s="146"/>
      <c r="AI268" s="146">
        <f t="shared" si="117"/>
        <v>648.648</v>
      </c>
      <c r="AJ268" s="146"/>
      <c r="AK268" s="146">
        <f t="shared" si="118"/>
        <v>330.1155</v>
      </c>
      <c r="AL268" s="146"/>
      <c r="AM268" s="146">
        <f t="shared" si="119"/>
        <v>346.1535</v>
      </c>
      <c r="AN268" s="146"/>
      <c r="AO268" s="146">
        <f t="shared" si="120"/>
        <v>547.0740000000001</v>
      </c>
      <c r="AP268" s="146"/>
      <c r="AQ268" s="146">
        <f t="shared" si="121"/>
        <v>461.538</v>
      </c>
      <c r="AS268" s="159"/>
    </row>
    <row r="269" spans="1:45" ht="16.5" customHeight="1">
      <c r="A269" s="443"/>
      <c r="H269" s="146"/>
      <c r="J269" s="138"/>
      <c r="K269" s="138"/>
      <c r="L269" s="150"/>
      <c r="V269" s="191"/>
      <c r="W269" s="144"/>
      <c r="X269" s="353"/>
      <c r="Y269" s="140"/>
      <c r="Z269" s="140"/>
      <c r="AA269" s="151"/>
      <c r="AS269" s="159"/>
    </row>
    <row r="270" spans="1:47" ht="12.75">
      <c r="A270" s="443">
        <f>SUM(A223:A269)</f>
        <v>0</v>
      </c>
      <c r="D270" s="226" t="s">
        <v>27</v>
      </c>
      <c r="H270" s="147">
        <f>SUM(H223:H269)</f>
        <v>234453899.43</v>
      </c>
      <c r="I270" s="139"/>
      <c r="J270" s="147">
        <f>SUM(J223:J269)</f>
        <v>121401349.41808425</v>
      </c>
      <c r="L270" s="147">
        <f>SUM(L223:L269)</f>
        <v>49242741.26589887</v>
      </c>
      <c r="N270" s="147">
        <f>SUM(N223:N269)</f>
        <v>16923037.65108777</v>
      </c>
      <c r="P270" s="147">
        <f>SUM(P223:P269)</f>
        <v>9978270.322350662</v>
      </c>
      <c r="R270" s="147">
        <f>SUM(R223:R269)</f>
        <v>5825238.081079412</v>
      </c>
      <c r="T270" s="147">
        <f>SUM(T223:T269)</f>
        <v>31083262.691499025</v>
      </c>
      <c r="V270" s="191"/>
      <c r="W270" s="144"/>
      <c r="X270" s="353"/>
      <c r="Y270" s="226" t="s">
        <v>27</v>
      </c>
      <c r="Z270" s="140"/>
      <c r="AA270" s="151"/>
      <c r="AC270" s="147">
        <f>SUM(AC223:AC269)</f>
        <v>234453899.43</v>
      </c>
      <c r="AE270" s="147">
        <f>SUM(AE223:AE269)</f>
        <v>100427569.91977298</v>
      </c>
      <c r="AF270" s="139"/>
      <c r="AG270" s="147">
        <f>SUM(AG223:AG269)</f>
        <v>45888820.79438882</v>
      </c>
      <c r="AH270" s="154"/>
      <c r="AI270" s="147">
        <f>SUM(AI223:AI269)</f>
        <v>34366107.82269915</v>
      </c>
      <c r="AJ270" s="154"/>
      <c r="AK270" s="147">
        <f>SUM(AK223:AK269)</f>
        <v>6531770.409174001</v>
      </c>
      <c r="AL270" s="154"/>
      <c r="AM270" s="147">
        <f>SUM(AM223:AM269)</f>
        <v>15796038.543152</v>
      </c>
      <c r="AN270" s="154"/>
      <c r="AO270" s="147">
        <f>SUM(AO223:AO269)</f>
        <v>360329.249314</v>
      </c>
      <c r="AP270" s="154"/>
      <c r="AQ270" s="147">
        <f>SUM(AQ223:AQ269)</f>
        <v>31083262.691499025</v>
      </c>
      <c r="AR270" s="154"/>
      <c r="AS270" s="159"/>
      <c r="AU270" s="191"/>
    </row>
    <row r="271" spans="10:45" ht="15" customHeight="1">
      <c r="J271" s="138"/>
      <c r="K271" s="138"/>
      <c r="L271" s="150"/>
      <c r="V271" s="191"/>
      <c r="W271" s="144"/>
      <c r="X271" s="353"/>
      <c r="Y271" s="140"/>
      <c r="Z271" s="140"/>
      <c r="AA271" s="151"/>
      <c r="AS271" s="159"/>
    </row>
    <row r="272" spans="1:45" s="135" customFormat="1" ht="15" customHeight="1">
      <c r="A272" s="352"/>
      <c r="B272" s="441"/>
      <c r="C272" s="353"/>
      <c r="D272" s="140" t="s">
        <v>200</v>
      </c>
      <c r="E272" s="140"/>
      <c r="F272" s="151"/>
      <c r="H272" s="154"/>
      <c r="J272" s="146"/>
      <c r="K272" s="154"/>
      <c r="L272" s="146"/>
      <c r="M272" s="154"/>
      <c r="N272" s="146"/>
      <c r="O272" s="154"/>
      <c r="P272" s="146"/>
      <c r="Q272" s="154"/>
      <c r="R272" s="146"/>
      <c r="S272" s="154"/>
      <c r="T272" s="146"/>
      <c r="V272" s="296"/>
      <c r="W272" s="137"/>
      <c r="X272" s="353"/>
      <c r="Y272" s="140" t="s">
        <v>200</v>
      </c>
      <c r="Z272" s="140"/>
      <c r="AA272" s="151"/>
      <c r="AB272" s="140"/>
      <c r="AC272" s="404"/>
      <c r="AE272" s="146"/>
      <c r="AF272" s="146"/>
      <c r="AG272" s="146"/>
      <c r="AH272" s="146"/>
      <c r="AI272" s="146"/>
      <c r="AJ272" s="146"/>
      <c r="AK272" s="146"/>
      <c r="AL272" s="146"/>
      <c r="AM272" s="146"/>
      <c r="AN272" s="146"/>
      <c r="AO272" s="146"/>
      <c r="AP272" s="146"/>
      <c r="AQ272" s="146"/>
      <c r="AS272" s="154"/>
    </row>
    <row r="273" spans="1:45" s="135" customFormat="1" ht="15" customHeight="1">
      <c r="A273" s="352"/>
      <c r="B273" s="441"/>
      <c r="C273" s="353"/>
      <c r="D273" s="395" t="s">
        <v>149</v>
      </c>
      <c r="E273" s="140"/>
      <c r="F273" s="151">
        <v>3</v>
      </c>
      <c r="H273" s="154">
        <v>6754778.225000001</v>
      </c>
      <c r="J273" s="146">
        <f aca="true" t="shared" si="125" ref="J273:J279">(VLOOKUP($F273,Factors,J$324))*$H273</f>
        <v>3167315.5097025004</v>
      </c>
      <c r="K273" s="154"/>
      <c r="L273" s="146">
        <f aca="true" t="shared" si="126" ref="L273:L279">(VLOOKUP($F273,Factors,L$324))*$H273</f>
        <v>1459707.5744225003</v>
      </c>
      <c r="M273" s="154"/>
      <c r="N273" s="146">
        <f aca="true" t="shared" si="127" ref="N273:N279">(VLOOKUP($F273,Factors,N$324))*$H273</f>
        <v>561997.5483200001</v>
      </c>
      <c r="O273" s="154"/>
      <c r="P273" s="146">
        <f aca="true" t="shared" si="128" ref="P273:P279">(VLOOKUP($F273,Factors,P$324))*$H273</f>
        <v>318150.05439750006</v>
      </c>
      <c r="Q273" s="154"/>
      <c r="R273" s="146">
        <f aca="true" t="shared" si="129" ref="R273:R279">(VLOOKUP($F273,Factors,R$324))*$H273</f>
        <v>267489.21771</v>
      </c>
      <c r="S273" s="154"/>
      <c r="T273" s="146">
        <f aca="true" t="shared" si="130" ref="T273:T279">(VLOOKUP($F273,Factors,T$324))*$H273</f>
        <v>980118.3204475001</v>
      </c>
      <c r="U273"/>
      <c r="V273" s="191"/>
      <c r="W273" s="137"/>
      <c r="X273" s="353"/>
      <c r="Y273" s="395" t="s">
        <v>149</v>
      </c>
      <c r="Z273" s="140"/>
      <c r="AA273" s="151">
        <f aca="true" t="shared" si="131" ref="AA273:AA279">+F273</f>
        <v>3</v>
      </c>
      <c r="AB273" s="140"/>
      <c r="AC273" s="404">
        <f aca="true" t="shared" si="132" ref="AC273:AC279">+H273</f>
        <v>6754778.225000001</v>
      </c>
      <c r="AE273" s="146">
        <f aca="true" t="shared" si="133" ref="AE273:AE279">(VLOOKUP($AA273,func,AE$324))*$AC273</f>
        <v>3601647.7495700005</v>
      </c>
      <c r="AF273" s="146"/>
      <c r="AG273" s="146">
        <f aca="true" t="shared" si="134" ref="AG273:AG279">(VLOOKUP($AA273,func,AG$324))*$AC273</f>
        <v>2173012.1549825002</v>
      </c>
      <c r="AH273" s="146"/>
      <c r="AI273" s="146">
        <f aca="true" t="shared" si="135" ref="AI273:AI279">(VLOOKUP($AA273,func,AI$324))*$AC273</f>
        <v>0</v>
      </c>
      <c r="AJ273" s="146"/>
      <c r="AK273" s="146">
        <f aca="true" t="shared" si="136" ref="AK273:AK279">(VLOOKUP($AA273,func,AK$324))*$AC273</f>
        <v>0</v>
      </c>
      <c r="AL273" s="146"/>
      <c r="AM273" s="146">
        <f aca="true" t="shared" si="137" ref="AM273:AM279">(VLOOKUP($AA273,func,AM$324))*$AC273</f>
        <v>0</v>
      </c>
      <c r="AN273" s="146"/>
      <c r="AO273" s="146">
        <f aca="true" t="shared" si="138" ref="AO273:AO279">(VLOOKUP($AA273,func,AO$324))*$AC273</f>
        <v>0</v>
      </c>
      <c r="AP273" s="146"/>
      <c r="AQ273" s="146">
        <f aca="true" t="shared" si="139" ref="AQ273:AQ279">(VLOOKUP($AA273,func,AQ$324))*$AC273</f>
        <v>980118.3204475001</v>
      </c>
      <c r="AR273"/>
      <c r="AS273" s="159"/>
    </row>
    <row r="274" spans="1:45" s="135" customFormat="1" ht="15" customHeight="1">
      <c r="A274" s="352"/>
      <c r="B274" s="441"/>
      <c r="C274" s="353"/>
      <c r="D274" s="395" t="s">
        <v>150</v>
      </c>
      <c r="E274" s="140"/>
      <c r="F274" s="151">
        <v>4</v>
      </c>
      <c r="H274" s="154">
        <v>8242334.445</v>
      </c>
      <c r="J274" s="146">
        <f t="shared" si="125"/>
        <v>3981047.536935</v>
      </c>
      <c r="K274" s="154"/>
      <c r="L274" s="146">
        <f t="shared" si="126"/>
        <v>1674018.1257795</v>
      </c>
      <c r="M274" s="154"/>
      <c r="N274" s="146">
        <f t="shared" si="127"/>
        <v>539872.9061475</v>
      </c>
      <c r="O274" s="154"/>
      <c r="P274" s="146">
        <f t="shared" si="128"/>
        <v>305790.60790949996</v>
      </c>
      <c r="Q274" s="154"/>
      <c r="R274" s="146">
        <f t="shared" si="129"/>
        <v>0</v>
      </c>
      <c r="S274" s="154"/>
      <c r="T274" s="146">
        <f t="shared" si="130"/>
        <v>1741605.2682285</v>
      </c>
      <c r="U274"/>
      <c r="V274" s="191"/>
      <c r="W274" s="137"/>
      <c r="X274" s="353"/>
      <c r="Y274" s="395" t="s">
        <v>150</v>
      </c>
      <c r="Z274" s="140"/>
      <c r="AA274" s="151">
        <f t="shared" si="131"/>
        <v>4</v>
      </c>
      <c r="AB274" s="140"/>
      <c r="AC274" s="404">
        <f t="shared" si="132"/>
        <v>8242334.445</v>
      </c>
      <c r="AE274" s="146">
        <f t="shared" si="133"/>
        <v>2698540.2972930004</v>
      </c>
      <c r="AF274" s="146"/>
      <c r="AG274" s="146">
        <f t="shared" si="134"/>
        <v>0</v>
      </c>
      <c r="AH274" s="146"/>
      <c r="AI274" s="146">
        <f t="shared" si="135"/>
        <v>3802188.8794785</v>
      </c>
      <c r="AJ274" s="146"/>
      <c r="AK274" s="146">
        <f t="shared" si="136"/>
        <v>0</v>
      </c>
      <c r="AL274" s="146"/>
      <c r="AM274" s="146">
        <f t="shared" si="137"/>
        <v>0</v>
      </c>
      <c r="AN274" s="146"/>
      <c r="AO274" s="146">
        <f t="shared" si="138"/>
        <v>0</v>
      </c>
      <c r="AP274" s="146"/>
      <c r="AQ274" s="146">
        <f t="shared" si="139"/>
        <v>1741605.2682285</v>
      </c>
      <c r="AR274"/>
      <c r="AS274" s="159"/>
    </row>
    <row r="275" spans="1:45" s="135" customFormat="1" ht="15" customHeight="1">
      <c r="A275" s="352"/>
      <c r="B275" s="441"/>
      <c r="C275" s="353"/>
      <c r="D275" s="395" t="s">
        <v>162</v>
      </c>
      <c r="E275" s="140"/>
      <c r="F275" s="151">
        <v>3</v>
      </c>
      <c r="H275" s="154">
        <v>2307422.72</v>
      </c>
      <c r="J275" s="146">
        <f t="shared" si="125"/>
        <v>1081950.513408</v>
      </c>
      <c r="K275" s="154"/>
      <c r="L275" s="146">
        <f t="shared" si="126"/>
        <v>498634.0497920001</v>
      </c>
      <c r="M275" s="154"/>
      <c r="N275" s="146">
        <f t="shared" si="127"/>
        <v>191977.57030400002</v>
      </c>
      <c r="O275" s="154"/>
      <c r="P275" s="146">
        <f t="shared" si="128"/>
        <v>108679.61011200001</v>
      </c>
      <c r="Q275" s="154"/>
      <c r="R275" s="146">
        <f t="shared" si="129"/>
        <v>91373.939712</v>
      </c>
      <c r="S275" s="154"/>
      <c r="T275" s="146">
        <f t="shared" si="130"/>
        <v>334807.036672</v>
      </c>
      <c r="U275"/>
      <c r="V275" s="191"/>
      <c r="W275" s="137"/>
      <c r="X275" s="353"/>
      <c r="Y275" s="140" t="s">
        <v>151</v>
      </c>
      <c r="Z275" s="140"/>
      <c r="AA275" s="151">
        <f t="shared" si="131"/>
        <v>3</v>
      </c>
      <c r="AB275" s="140"/>
      <c r="AC275" s="404">
        <f t="shared" si="132"/>
        <v>2307422.72</v>
      </c>
      <c r="AE275" s="146">
        <f t="shared" si="133"/>
        <v>1230317.7943040002</v>
      </c>
      <c r="AF275" s="146"/>
      <c r="AG275" s="146">
        <f t="shared" si="134"/>
        <v>742297.889024</v>
      </c>
      <c r="AH275" s="146"/>
      <c r="AI275" s="146">
        <f t="shared" si="135"/>
        <v>0</v>
      </c>
      <c r="AJ275" s="146"/>
      <c r="AK275" s="146">
        <f t="shared" si="136"/>
        <v>0</v>
      </c>
      <c r="AL275" s="146"/>
      <c r="AM275" s="146">
        <f t="shared" si="137"/>
        <v>0</v>
      </c>
      <c r="AN275" s="146"/>
      <c r="AO275" s="146">
        <f t="shared" si="138"/>
        <v>0</v>
      </c>
      <c r="AP275" s="146"/>
      <c r="AQ275" s="146">
        <f t="shared" si="139"/>
        <v>334807.036672</v>
      </c>
      <c r="AR275"/>
      <c r="AS275" s="159"/>
    </row>
    <row r="276" spans="1:45" s="135" customFormat="1" ht="15" customHeight="1">
      <c r="A276" s="352"/>
      <c r="B276" s="441"/>
      <c r="C276" s="353"/>
      <c r="D276" s="395" t="s">
        <v>161</v>
      </c>
      <c r="E276" s="140"/>
      <c r="F276" s="151">
        <v>2</v>
      </c>
      <c r="H276" s="154">
        <v>13240809.290000001</v>
      </c>
      <c r="J276" s="146">
        <f t="shared" si="125"/>
        <v>7234778.196056001</v>
      </c>
      <c r="K276" s="154"/>
      <c r="L276" s="146">
        <f t="shared" si="126"/>
        <v>3335359.8601510003</v>
      </c>
      <c r="M276" s="154"/>
      <c r="N276" s="146">
        <f t="shared" si="127"/>
        <v>1283034.420201</v>
      </c>
      <c r="O276" s="154"/>
      <c r="P276" s="146">
        <f t="shared" si="128"/>
        <v>726920.430021</v>
      </c>
      <c r="Q276" s="154"/>
      <c r="R276" s="146">
        <f t="shared" si="129"/>
        <v>610401.308269</v>
      </c>
      <c r="S276" s="154"/>
      <c r="T276" s="146">
        <f t="shared" si="130"/>
        <v>50315.075302000005</v>
      </c>
      <c r="U276"/>
      <c r="V276" s="191"/>
      <c r="W276" s="137"/>
      <c r="X276" s="353"/>
      <c r="Y276" s="140" t="s">
        <v>152</v>
      </c>
      <c r="Z276" s="140"/>
      <c r="AA276" s="151">
        <f t="shared" si="131"/>
        <v>2</v>
      </c>
      <c r="AB276" s="140"/>
      <c r="AC276" s="404">
        <f t="shared" si="132"/>
        <v>13240809.290000001</v>
      </c>
      <c r="AE276" s="146">
        <f t="shared" si="133"/>
        <v>8225190.730948</v>
      </c>
      <c r="AF276" s="146"/>
      <c r="AG276" s="146">
        <f t="shared" si="134"/>
        <v>4965303.483750001</v>
      </c>
      <c r="AH276" s="146"/>
      <c r="AI276" s="146">
        <f t="shared" si="135"/>
        <v>0</v>
      </c>
      <c r="AJ276" s="146"/>
      <c r="AK276" s="146">
        <f t="shared" si="136"/>
        <v>0</v>
      </c>
      <c r="AL276" s="146"/>
      <c r="AM276" s="146">
        <f t="shared" si="137"/>
        <v>0</v>
      </c>
      <c r="AN276" s="146"/>
      <c r="AO276" s="146">
        <f t="shared" si="138"/>
        <v>0</v>
      </c>
      <c r="AP276" s="146"/>
      <c r="AQ276" s="146">
        <f t="shared" si="139"/>
        <v>50315.075302000005</v>
      </c>
      <c r="AR276"/>
      <c r="AS276" s="159"/>
    </row>
    <row r="277" spans="1:45" s="135" customFormat="1" ht="15" customHeight="1">
      <c r="A277" s="352"/>
      <c r="B277" s="441"/>
      <c r="C277" s="353"/>
      <c r="D277" s="395" t="s">
        <v>160</v>
      </c>
      <c r="E277" s="140"/>
      <c r="F277" s="151">
        <v>5</v>
      </c>
      <c r="H277" s="154">
        <v>27319.000000000102</v>
      </c>
      <c r="J277" s="146">
        <f t="shared" si="125"/>
        <v>11629.698300000042</v>
      </c>
      <c r="K277" s="154"/>
      <c r="L277" s="146">
        <f t="shared" si="126"/>
        <v>4884.637200000018</v>
      </c>
      <c r="M277" s="154"/>
      <c r="N277" s="146">
        <f t="shared" si="127"/>
        <v>1570.8425000000057</v>
      </c>
      <c r="O277" s="154"/>
      <c r="P277" s="146">
        <f t="shared" si="128"/>
        <v>890.5994000000035</v>
      </c>
      <c r="Q277" s="154"/>
      <c r="R277" s="146">
        <f t="shared" si="129"/>
        <v>745.8087000000028</v>
      </c>
      <c r="S277" s="154"/>
      <c r="T277" s="146">
        <f t="shared" si="130"/>
        <v>7597.413900000029</v>
      </c>
      <c r="U277"/>
      <c r="V277" s="191"/>
      <c r="W277" s="137"/>
      <c r="X277" s="353"/>
      <c r="Y277" s="140" t="s">
        <v>153</v>
      </c>
      <c r="Z277" s="140"/>
      <c r="AA277" s="151">
        <f t="shared" si="131"/>
        <v>5</v>
      </c>
      <c r="AB277" s="140"/>
      <c r="AC277" s="404">
        <f t="shared" si="132"/>
        <v>27319.000000000102</v>
      </c>
      <c r="AE277" s="146">
        <f t="shared" si="133"/>
        <v>8187.50430000003</v>
      </c>
      <c r="AF277" s="146"/>
      <c r="AG277" s="146">
        <f t="shared" si="134"/>
        <v>0</v>
      </c>
      <c r="AH277" s="146"/>
      <c r="AI277" s="146">
        <f t="shared" si="135"/>
        <v>11534.081800000044</v>
      </c>
      <c r="AJ277" s="146"/>
      <c r="AK277" s="146">
        <f t="shared" si="136"/>
        <v>0</v>
      </c>
      <c r="AL277" s="146"/>
      <c r="AM277" s="146">
        <f t="shared" si="137"/>
        <v>0</v>
      </c>
      <c r="AN277" s="146"/>
      <c r="AO277" s="146">
        <f t="shared" si="138"/>
        <v>0</v>
      </c>
      <c r="AP277" s="146"/>
      <c r="AQ277" s="146">
        <f t="shared" si="139"/>
        <v>7597.413900000029</v>
      </c>
      <c r="AR277"/>
      <c r="AS277" s="159"/>
    </row>
    <row r="278" spans="1:45" s="135" customFormat="1" ht="15" customHeight="1">
      <c r="A278" s="352"/>
      <c r="B278" s="441"/>
      <c r="C278" s="353"/>
      <c r="D278" s="395" t="s">
        <v>158</v>
      </c>
      <c r="E278" s="140"/>
      <c r="F278" s="151">
        <v>8</v>
      </c>
      <c r="H278" s="154">
        <v>7695584.9399999995</v>
      </c>
      <c r="J278" s="146">
        <f t="shared" si="125"/>
        <v>5977930.381392</v>
      </c>
      <c r="K278" s="154"/>
      <c r="L278" s="146">
        <f t="shared" si="126"/>
        <v>1374431.470284</v>
      </c>
      <c r="M278" s="154"/>
      <c r="N278" s="146">
        <f t="shared" si="127"/>
        <v>106199.07217199999</v>
      </c>
      <c r="O278" s="154"/>
      <c r="P278" s="146">
        <f t="shared" si="128"/>
        <v>230867.5482</v>
      </c>
      <c r="Q278" s="154"/>
      <c r="R278" s="146">
        <f t="shared" si="129"/>
        <v>6156.467952</v>
      </c>
      <c r="S278" s="154"/>
      <c r="T278" s="146">
        <f t="shared" si="130"/>
        <v>0</v>
      </c>
      <c r="U278"/>
      <c r="V278" s="191"/>
      <c r="W278" s="137"/>
      <c r="X278" s="353"/>
      <c r="Y278" s="140" t="s">
        <v>154</v>
      </c>
      <c r="Z278" s="140"/>
      <c r="AA278" s="151">
        <f t="shared" si="131"/>
        <v>8</v>
      </c>
      <c r="AB278" s="140"/>
      <c r="AC278" s="404">
        <f t="shared" si="132"/>
        <v>7695584.9399999995</v>
      </c>
      <c r="AE278" s="146">
        <f t="shared" si="133"/>
        <v>0</v>
      </c>
      <c r="AF278" s="146"/>
      <c r="AG278" s="146">
        <f t="shared" si="134"/>
        <v>0</v>
      </c>
      <c r="AH278" s="146"/>
      <c r="AI278" s="146">
        <f t="shared" si="135"/>
        <v>0</v>
      </c>
      <c r="AJ278" s="146"/>
      <c r="AK278" s="146">
        <f t="shared" si="136"/>
        <v>7695584.9399999995</v>
      </c>
      <c r="AL278" s="146"/>
      <c r="AM278" s="146">
        <f t="shared" si="137"/>
        <v>0</v>
      </c>
      <c r="AN278" s="146"/>
      <c r="AO278" s="146">
        <f t="shared" si="138"/>
        <v>0</v>
      </c>
      <c r="AP278" s="146"/>
      <c r="AQ278" s="146">
        <f t="shared" si="139"/>
        <v>0</v>
      </c>
      <c r="AR278"/>
      <c r="AS278" s="159"/>
    </row>
    <row r="279" spans="1:45" s="135" customFormat="1" ht="15" customHeight="1">
      <c r="A279" s="352"/>
      <c r="B279" s="441"/>
      <c r="C279" s="353"/>
      <c r="D279" s="140" t="s">
        <v>157</v>
      </c>
      <c r="E279" s="140"/>
      <c r="F279" s="151">
        <v>14</v>
      </c>
      <c r="H279" s="215">
        <v>111525.1</v>
      </c>
      <c r="J279" s="147">
        <f t="shared" si="125"/>
        <v>65978.24916</v>
      </c>
      <c r="K279" s="154"/>
      <c r="L279" s="147">
        <f t="shared" si="126"/>
        <v>21301.294100000003</v>
      </c>
      <c r="M279" s="154"/>
      <c r="N279" s="147">
        <f t="shared" si="127"/>
        <v>6524.218350000001</v>
      </c>
      <c r="O279" s="154"/>
      <c r="P279" s="147">
        <f t="shared" si="128"/>
        <v>4092.9711700000007</v>
      </c>
      <c r="Q279" s="154"/>
      <c r="R279" s="147">
        <f t="shared" si="129"/>
        <v>2074.36686</v>
      </c>
      <c r="S279" s="154"/>
      <c r="T279" s="147">
        <f t="shared" si="130"/>
        <v>11554.00036</v>
      </c>
      <c r="U279"/>
      <c r="V279" s="191"/>
      <c r="W279" s="137"/>
      <c r="X279" s="353"/>
      <c r="Y279" s="140" t="s">
        <v>155</v>
      </c>
      <c r="Z279" s="140"/>
      <c r="AA279" s="151">
        <f t="shared" si="131"/>
        <v>14</v>
      </c>
      <c r="AB279" s="140"/>
      <c r="AC279" s="470">
        <f t="shared" si="132"/>
        <v>111525.1</v>
      </c>
      <c r="AE279" s="147">
        <f t="shared" si="133"/>
        <v>37461.28109</v>
      </c>
      <c r="AF279" s="146"/>
      <c r="AG279" s="147">
        <f t="shared" si="134"/>
        <v>15646.971530000003</v>
      </c>
      <c r="AH279" s="146"/>
      <c r="AI279" s="147">
        <f t="shared" si="135"/>
        <v>16238.054560000002</v>
      </c>
      <c r="AJ279" s="146"/>
      <c r="AK279" s="147">
        <f t="shared" si="136"/>
        <v>8264.00991</v>
      </c>
      <c r="AL279" s="146"/>
      <c r="AM279" s="147">
        <f t="shared" si="137"/>
        <v>8665.50027</v>
      </c>
      <c r="AN279" s="146"/>
      <c r="AO279" s="147">
        <f t="shared" si="138"/>
        <v>13695.282280000001</v>
      </c>
      <c r="AP279" s="146"/>
      <c r="AQ279" s="147">
        <f t="shared" si="139"/>
        <v>11554.00036</v>
      </c>
      <c r="AR279"/>
      <c r="AS279" s="159"/>
    </row>
    <row r="280" spans="1:45" s="135" customFormat="1" ht="15" customHeight="1">
      <c r="A280" s="352"/>
      <c r="B280" s="441"/>
      <c r="C280" s="353"/>
      <c r="D280" s="140"/>
      <c r="E280" s="140"/>
      <c r="F280" s="151"/>
      <c r="H280" s="154"/>
      <c r="J280" s="146"/>
      <c r="K280" s="154"/>
      <c r="L280" s="146"/>
      <c r="M280" s="154"/>
      <c r="N280" s="146"/>
      <c r="O280" s="154"/>
      <c r="P280" s="146"/>
      <c r="Q280" s="154"/>
      <c r="R280" s="146"/>
      <c r="S280" s="154"/>
      <c r="T280" s="146"/>
      <c r="V280" s="191"/>
      <c r="W280" s="137"/>
      <c r="X280" s="353"/>
      <c r="Y280" s="140"/>
      <c r="Z280" s="140"/>
      <c r="AA280" s="151"/>
      <c r="AB280" s="140"/>
      <c r="AC280" s="404"/>
      <c r="AE280" s="146"/>
      <c r="AF280" s="146"/>
      <c r="AG280" s="146"/>
      <c r="AH280" s="146"/>
      <c r="AI280" s="146"/>
      <c r="AJ280" s="146"/>
      <c r="AK280" s="146"/>
      <c r="AL280" s="146"/>
      <c r="AM280" s="146"/>
      <c r="AN280" s="146"/>
      <c r="AO280" s="146"/>
      <c r="AP280" s="146"/>
      <c r="AQ280" s="146"/>
      <c r="AS280" s="159"/>
    </row>
    <row r="281" spans="1:45" s="135" customFormat="1" ht="15" customHeight="1">
      <c r="A281" s="352"/>
      <c r="B281" s="441"/>
      <c r="C281" s="353"/>
      <c r="D281" s="140" t="s">
        <v>156</v>
      </c>
      <c r="E281" s="140"/>
      <c r="F281" s="151"/>
      <c r="H281" s="154">
        <f>SUM(H273:H280)</f>
        <v>38379773.72</v>
      </c>
      <c r="J281" s="154">
        <f>SUM(J273:J280)</f>
        <v>21520630.0849535</v>
      </c>
      <c r="L281" s="154">
        <f>SUM(L273:L280)</f>
        <v>8368337.011729</v>
      </c>
      <c r="N281" s="154">
        <f>SUM(N273:N280)</f>
        <v>2691176.5779945003</v>
      </c>
      <c r="P281" s="154">
        <f>SUM(P273:P280)</f>
        <v>1695391.8212100002</v>
      </c>
      <c r="R281" s="154">
        <f>SUM(R273:R280)</f>
        <v>978241.109203</v>
      </c>
      <c r="T281" s="154">
        <f>SUM(T273:T280)</f>
        <v>3125997.11491</v>
      </c>
      <c r="V281" s="191"/>
      <c r="W281" s="137"/>
      <c r="X281" s="353"/>
      <c r="Y281" s="140" t="s">
        <v>156</v>
      </c>
      <c r="Z281" s="140"/>
      <c r="AA281" s="151"/>
      <c r="AB281" s="140"/>
      <c r="AC281" s="404">
        <f>SUM(AC273:AC280)</f>
        <v>38379773.72</v>
      </c>
      <c r="AD281" s="140"/>
      <c r="AE281" s="404">
        <f>SUM(AE273:AE280)</f>
        <v>15801345.357505001</v>
      </c>
      <c r="AF281" s="140"/>
      <c r="AG281" s="404">
        <f>SUM(AG273:AG280)</f>
        <v>7896260.499286501</v>
      </c>
      <c r="AH281" s="140"/>
      <c r="AI281" s="404">
        <f>SUM(AI273:AI280)</f>
        <v>3829961.0158385</v>
      </c>
      <c r="AJ281" s="140"/>
      <c r="AK281" s="404">
        <f>SUM(AK273:AK280)</f>
        <v>7703848.949909999</v>
      </c>
      <c r="AL281" s="140"/>
      <c r="AM281" s="404">
        <f>SUM(AM273:AM280)</f>
        <v>8665.50027</v>
      </c>
      <c r="AN281" s="140"/>
      <c r="AO281" s="404">
        <f>SUM(AO273:AO280)</f>
        <v>13695.282280000001</v>
      </c>
      <c r="AP281" s="140"/>
      <c r="AQ281" s="404">
        <f>SUM(AQ273:AQ280)</f>
        <v>3125997.11491</v>
      </c>
      <c r="AS281" s="159"/>
    </row>
    <row r="282" spans="1:45" s="135" customFormat="1" ht="15" customHeight="1">
      <c r="A282" s="352"/>
      <c r="B282" s="441"/>
      <c r="C282" s="353"/>
      <c r="D282" s="140"/>
      <c r="E282" s="140"/>
      <c r="F282" s="151"/>
      <c r="H282" s="154"/>
      <c r="J282" s="146"/>
      <c r="K282" s="154"/>
      <c r="L282" s="146"/>
      <c r="M282" s="154"/>
      <c r="N282" s="146"/>
      <c r="O282" s="154"/>
      <c r="P282" s="146"/>
      <c r="Q282" s="154"/>
      <c r="R282" s="146"/>
      <c r="S282" s="154"/>
      <c r="T282" s="146"/>
      <c r="V282" s="191"/>
      <c r="W282" s="137"/>
      <c r="X282" s="353"/>
      <c r="Y282" s="140"/>
      <c r="Z282" s="140"/>
      <c r="AA282" s="151"/>
      <c r="AB282" s="140"/>
      <c r="AC282" s="404"/>
      <c r="AE282" s="146"/>
      <c r="AF282" s="146"/>
      <c r="AG282" s="146"/>
      <c r="AH282" s="146"/>
      <c r="AI282" s="146"/>
      <c r="AJ282" s="146"/>
      <c r="AK282" s="146"/>
      <c r="AL282" s="146"/>
      <c r="AM282" s="146"/>
      <c r="AN282" s="146"/>
      <c r="AO282" s="146"/>
      <c r="AP282" s="146"/>
      <c r="AQ282" s="146"/>
      <c r="AS282" s="159"/>
    </row>
    <row r="283" spans="1:45" s="135" customFormat="1" ht="15" customHeight="1">
      <c r="A283" s="352"/>
      <c r="B283" s="441"/>
      <c r="C283" s="353"/>
      <c r="D283" s="140" t="s">
        <v>327</v>
      </c>
      <c r="E283" s="140"/>
      <c r="F283" s="151">
        <v>4</v>
      </c>
      <c r="H283" s="154">
        <v>-33948960.62</v>
      </c>
      <c r="J283" s="146">
        <f>(VLOOKUP($F283,Factors,J$324))*$H283</f>
        <v>-16397347.979459997</v>
      </c>
      <c r="K283" s="154"/>
      <c r="L283" s="146">
        <f>(VLOOKUP($F283,Factors,L$324))*$H283</f>
        <v>-6895033.901922</v>
      </c>
      <c r="M283" s="154"/>
      <c r="N283" s="146">
        <f>(VLOOKUP($F283,Factors,N$324))*$H283</f>
        <v>-2223656.92061</v>
      </c>
      <c r="O283" s="154"/>
      <c r="P283" s="146">
        <f>(VLOOKUP($F283,Factors,P$324))*$H283</f>
        <v>-1259506.4390019998</v>
      </c>
      <c r="Q283" s="154"/>
      <c r="R283" s="146">
        <f>(VLOOKUP($F283,Factors,R$324))*$H283</f>
        <v>0</v>
      </c>
      <c r="S283" s="154"/>
      <c r="T283" s="146">
        <f>(VLOOKUP($F283,Factors,T$324))*$H283</f>
        <v>-7173415.379005999</v>
      </c>
      <c r="V283" s="191"/>
      <c r="W283" s="137"/>
      <c r="X283" s="353"/>
      <c r="Y283" s="140" t="s">
        <v>327</v>
      </c>
      <c r="Z283" s="140"/>
      <c r="AA283" s="151">
        <f>+F283</f>
        <v>4</v>
      </c>
      <c r="AB283" s="140"/>
      <c r="AC283" s="404">
        <f>+H283</f>
        <v>-33948960.62</v>
      </c>
      <c r="AE283" s="146">
        <f>(VLOOKUP($AA283,func,AE$324))*$AC283</f>
        <v>-11114889.706988</v>
      </c>
      <c r="AF283" s="146"/>
      <c r="AG283" s="146">
        <f>(VLOOKUP($AA283,func,AG$324))*$AC283</f>
        <v>0</v>
      </c>
      <c r="AH283" s="146"/>
      <c r="AI283" s="146">
        <f>(VLOOKUP($AA283,func,AI$324))*$AC283</f>
        <v>-15660655.534005998</v>
      </c>
      <c r="AJ283" s="146"/>
      <c r="AK283" s="146">
        <f>(VLOOKUP($AA283,func,AK$324))*$AC283</f>
        <v>0</v>
      </c>
      <c r="AL283" s="146"/>
      <c r="AM283" s="146">
        <f>(VLOOKUP($AA283,func,AM$324))*$AC283</f>
        <v>0</v>
      </c>
      <c r="AN283" s="146"/>
      <c r="AO283" s="146">
        <f>(VLOOKUP($AA283,func,AO$324))*$AC283</f>
        <v>0</v>
      </c>
      <c r="AP283" s="146"/>
      <c r="AQ283" s="146">
        <f>(VLOOKUP($AA283,func,AQ$324))*$AC283</f>
        <v>-7173415.379005999</v>
      </c>
      <c r="AS283" s="159"/>
    </row>
    <row r="284" spans="10:45" ht="15" customHeight="1">
      <c r="J284" s="138"/>
      <c r="K284" s="138"/>
      <c r="L284" s="150"/>
      <c r="V284" s="191"/>
      <c r="W284" s="144"/>
      <c r="X284" s="353"/>
      <c r="Y284" s="140"/>
      <c r="Z284" s="140"/>
      <c r="AA284" s="151"/>
      <c r="AS284" s="159"/>
    </row>
    <row r="285" spans="4:45" ht="12.75">
      <c r="D285" s="229" t="s">
        <v>34</v>
      </c>
      <c r="V285" s="191"/>
      <c r="W285" s="144"/>
      <c r="X285" s="353"/>
      <c r="Y285" s="229" t="s">
        <v>34</v>
      </c>
      <c r="Z285" s="140"/>
      <c r="AA285" s="151"/>
      <c r="AS285" s="159"/>
    </row>
    <row r="286" spans="4:45" ht="12.75">
      <c r="D286" s="160" t="s">
        <v>35</v>
      </c>
      <c r="H286" s="146"/>
      <c r="J286" s="146"/>
      <c r="L286" s="146"/>
      <c r="N286" s="146"/>
      <c r="P286" s="146"/>
      <c r="R286" s="146"/>
      <c r="T286" s="146"/>
      <c r="V286" s="191"/>
      <c r="W286" s="144"/>
      <c r="X286" s="353"/>
      <c r="Y286" s="160" t="s">
        <v>35</v>
      </c>
      <c r="Z286" s="140"/>
      <c r="AA286" s="151"/>
      <c r="AS286" s="159"/>
    </row>
    <row r="287" spans="1:45" ht="12.75">
      <c r="A287" s="443"/>
      <c r="D287" s="160" t="s">
        <v>409</v>
      </c>
      <c r="F287" s="151">
        <v>17</v>
      </c>
      <c r="H287" s="146">
        <v>3464111</v>
      </c>
      <c r="J287" s="146">
        <f aca="true" t="shared" si="140" ref="J287:J293">(VLOOKUP($F287,Factors,J$324))*$H287</f>
        <v>1793716.6758</v>
      </c>
      <c r="L287" s="146">
        <f aca="true" t="shared" si="141" ref="L287:L293">(VLOOKUP($F287,Factors,L$324))*$H287</f>
        <v>727463.3099999999</v>
      </c>
      <c r="N287" s="146">
        <f aca="true" t="shared" si="142" ref="N287:N293">(VLOOKUP($F287,Factors,N$324))*$H287</f>
        <v>250108.8142</v>
      </c>
      <c r="P287" s="146">
        <f aca="true" t="shared" si="143" ref="P287:P293">(VLOOKUP($F287,Factors,P$324))*$H287</f>
        <v>147571.1286</v>
      </c>
      <c r="R287" s="146">
        <f aca="true" t="shared" si="144" ref="R287:R293">(VLOOKUP($F287,Factors,R$324))*$H287</f>
        <v>85909.9528</v>
      </c>
      <c r="T287" s="146">
        <f aca="true" t="shared" si="145" ref="T287:T293">(VLOOKUP($F287,Factors,T$324))*$H287</f>
        <v>459341.1186</v>
      </c>
      <c r="V287" s="191"/>
      <c r="W287" s="144"/>
      <c r="X287" s="353"/>
      <c r="Y287" s="160" t="s">
        <v>21</v>
      </c>
      <c r="Z287" s="140"/>
      <c r="AA287" s="151">
        <f>+F287</f>
        <v>17</v>
      </c>
      <c r="AC287" s="159">
        <f aca="true" t="shared" si="146" ref="AC287:AC293">+H287</f>
        <v>3464111</v>
      </c>
      <c r="AE287" s="146">
        <f aca="true" t="shared" si="147" ref="AE287:AE293">(VLOOKUP($AA287,func,AE$324))*$AC287</f>
        <v>1483678.7413</v>
      </c>
      <c r="AF287" s="146"/>
      <c r="AG287" s="146">
        <f aca="true" t="shared" si="148" ref="AG287:AG293">(VLOOKUP($AA287,func,AG$324))*$AC287</f>
        <v>677926.5227000001</v>
      </c>
      <c r="AH287" s="146"/>
      <c r="AI287" s="146">
        <f aca="true" t="shared" si="149" ref="AI287:AI293">(VLOOKUP($AA287,func,AI$324))*$AC287</f>
        <v>507838.67260000005</v>
      </c>
      <c r="AJ287" s="146"/>
      <c r="AK287" s="146">
        <f aca="true" t="shared" si="150" ref="AK287:AK293">(VLOOKUP($AA287,func,AK$324))*$AC287</f>
        <v>96648.69690000001</v>
      </c>
      <c r="AL287" s="146"/>
      <c r="AM287" s="146">
        <f aca="true" t="shared" si="151" ref="AM287:AM293">(VLOOKUP($AA287,func,AM$324))*$AC287</f>
        <v>233481.0814</v>
      </c>
      <c r="AN287" s="146"/>
      <c r="AO287" s="146">
        <f aca="true" t="shared" si="152" ref="AO287:AO293">(VLOOKUP($AA287,func,AO$324))*$AC287</f>
        <v>5196.1665</v>
      </c>
      <c r="AP287" s="146"/>
      <c r="AQ287" s="146">
        <f aca="true" t="shared" si="153" ref="AQ287:AQ293">(VLOOKUP($AA287,func,AQ$324))*$AC287</f>
        <v>459341.1186</v>
      </c>
      <c r="AS287" s="159"/>
    </row>
    <row r="288" spans="1:45" ht="12.75">
      <c r="A288" s="443"/>
      <c r="D288" s="160" t="s">
        <v>40</v>
      </c>
      <c r="F288" s="151">
        <v>14</v>
      </c>
      <c r="H288" s="146">
        <v>1251888.55</v>
      </c>
      <c r="J288" s="146">
        <f t="shared" si="140"/>
        <v>740617.26618</v>
      </c>
      <c r="L288" s="146">
        <f t="shared" si="141"/>
        <v>239110.71305000002</v>
      </c>
      <c r="N288" s="146">
        <f t="shared" si="142"/>
        <v>73235.480175</v>
      </c>
      <c r="P288" s="146">
        <f t="shared" si="143"/>
        <v>45944.309785000005</v>
      </c>
      <c r="R288" s="146">
        <f t="shared" si="144"/>
        <v>23285.12703</v>
      </c>
      <c r="T288" s="146">
        <f t="shared" si="145"/>
        <v>129695.65378000001</v>
      </c>
      <c r="V288" s="191"/>
      <c r="W288" s="144"/>
      <c r="X288" s="353"/>
      <c r="Y288" s="160" t="s">
        <v>40</v>
      </c>
      <c r="Z288" s="140"/>
      <c r="AA288" s="151">
        <f aca="true" t="shared" si="154" ref="AA288:AA293">+F288</f>
        <v>14</v>
      </c>
      <c r="AC288" s="159">
        <f t="shared" si="146"/>
        <v>1251888.55</v>
      </c>
      <c r="AE288" s="146">
        <f t="shared" si="147"/>
        <v>420509.363945</v>
      </c>
      <c r="AF288" s="146"/>
      <c r="AG288" s="146">
        <f t="shared" si="148"/>
        <v>175639.963565</v>
      </c>
      <c r="AH288" s="146"/>
      <c r="AI288" s="146">
        <f t="shared" si="149"/>
        <v>182274.97288000002</v>
      </c>
      <c r="AJ288" s="146"/>
      <c r="AK288" s="146">
        <f t="shared" si="150"/>
        <v>92764.941555</v>
      </c>
      <c r="AL288" s="146"/>
      <c r="AM288" s="146">
        <f t="shared" si="151"/>
        <v>97271.74033500001</v>
      </c>
      <c r="AN288" s="146"/>
      <c r="AO288" s="146">
        <f t="shared" si="152"/>
        <v>153731.91394000003</v>
      </c>
      <c r="AP288" s="146"/>
      <c r="AQ288" s="146">
        <f t="shared" si="153"/>
        <v>129695.65378000001</v>
      </c>
      <c r="AS288" s="159"/>
    </row>
    <row r="289" spans="1:45" ht="12.75">
      <c r="A289" s="443"/>
      <c r="D289" s="160" t="s">
        <v>41</v>
      </c>
      <c r="F289" s="151">
        <v>14</v>
      </c>
      <c r="H289" s="146">
        <v>316138.03</v>
      </c>
      <c r="J289" s="146">
        <f t="shared" si="140"/>
        <v>187027.258548</v>
      </c>
      <c r="L289" s="146">
        <f t="shared" si="141"/>
        <v>60382.363730000005</v>
      </c>
      <c r="N289" s="146">
        <f t="shared" si="142"/>
        <v>18494.074755</v>
      </c>
      <c r="P289" s="146">
        <f t="shared" si="143"/>
        <v>11602.265701000002</v>
      </c>
      <c r="R289" s="146">
        <f t="shared" si="144"/>
        <v>5880.167358</v>
      </c>
      <c r="T289" s="146">
        <f t="shared" si="145"/>
        <v>32751.899908000003</v>
      </c>
      <c r="V289" s="191"/>
      <c r="W289" s="144"/>
      <c r="X289" s="353"/>
      <c r="Y289" s="160" t="s">
        <v>41</v>
      </c>
      <c r="Z289" s="140"/>
      <c r="AA289" s="151">
        <f t="shared" si="154"/>
        <v>14</v>
      </c>
      <c r="AC289" s="159">
        <f t="shared" si="146"/>
        <v>316138.03</v>
      </c>
      <c r="AE289" s="146">
        <f t="shared" si="147"/>
        <v>106190.764277</v>
      </c>
      <c r="AF289" s="146"/>
      <c r="AG289" s="146">
        <f t="shared" si="148"/>
        <v>44354.165609</v>
      </c>
      <c r="AH289" s="146"/>
      <c r="AI289" s="146">
        <f t="shared" si="149"/>
        <v>46029.697168000006</v>
      </c>
      <c r="AJ289" s="146"/>
      <c r="AK289" s="146">
        <f t="shared" si="150"/>
        <v>23425.828023000002</v>
      </c>
      <c r="AL289" s="146"/>
      <c r="AM289" s="146">
        <f t="shared" si="151"/>
        <v>24563.924931000005</v>
      </c>
      <c r="AN289" s="146"/>
      <c r="AO289" s="146">
        <f t="shared" si="152"/>
        <v>38821.75008400001</v>
      </c>
      <c r="AP289" s="146"/>
      <c r="AQ289" s="146">
        <f t="shared" si="153"/>
        <v>32751.899908000003</v>
      </c>
      <c r="AS289" s="159"/>
    </row>
    <row r="290" spans="1:45" ht="12.75">
      <c r="A290" s="443"/>
      <c r="D290" s="160" t="s">
        <v>405</v>
      </c>
      <c r="F290" s="151">
        <v>5</v>
      </c>
      <c r="H290" s="146">
        <v>2002184.1</v>
      </c>
      <c r="J290" s="146">
        <f t="shared" si="140"/>
        <v>852329.77137</v>
      </c>
      <c r="L290" s="146">
        <f t="shared" si="141"/>
        <v>357990.51708</v>
      </c>
      <c r="N290" s="146">
        <f t="shared" si="142"/>
        <v>115125.58575</v>
      </c>
      <c r="P290" s="146">
        <f t="shared" si="143"/>
        <v>65271.20166000001</v>
      </c>
      <c r="R290" s="146">
        <f t="shared" si="144"/>
        <v>54659.62593</v>
      </c>
      <c r="T290" s="146">
        <f t="shared" si="145"/>
        <v>556807.39821</v>
      </c>
      <c r="V290" s="191"/>
      <c r="W290" s="144"/>
      <c r="X290" s="353"/>
      <c r="Y290" s="160" t="s">
        <v>405</v>
      </c>
      <c r="Z290" s="140"/>
      <c r="AA290" s="151">
        <f t="shared" si="154"/>
        <v>5</v>
      </c>
      <c r="AC290" s="159">
        <f t="shared" si="146"/>
        <v>2002184.1</v>
      </c>
      <c r="AE290" s="146">
        <f t="shared" si="147"/>
        <v>600054.57477</v>
      </c>
      <c r="AF290" s="146"/>
      <c r="AG290" s="146">
        <f t="shared" si="148"/>
        <v>0</v>
      </c>
      <c r="AH290" s="146"/>
      <c r="AI290" s="146">
        <f t="shared" si="149"/>
        <v>845322.1270200001</v>
      </c>
      <c r="AJ290" s="146"/>
      <c r="AK290" s="146">
        <f t="shared" si="150"/>
        <v>0</v>
      </c>
      <c r="AL290" s="146"/>
      <c r="AM290" s="146">
        <f t="shared" si="151"/>
        <v>0</v>
      </c>
      <c r="AN290" s="146"/>
      <c r="AO290" s="146">
        <f t="shared" si="152"/>
        <v>0</v>
      </c>
      <c r="AP290" s="146"/>
      <c r="AQ290" s="146">
        <f t="shared" si="153"/>
        <v>556807.39821</v>
      </c>
      <c r="AS290" s="159"/>
    </row>
    <row r="291" spans="1:45" ht="12.75">
      <c r="A291" s="443"/>
      <c r="D291" s="160" t="s">
        <v>199</v>
      </c>
      <c r="F291" s="151">
        <v>17</v>
      </c>
      <c r="H291" s="146">
        <v>3356586.29</v>
      </c>
      <c r="J291" s="146">
        <f t="shared" si="140"/>
        <v>1738040.3809620002</v>
      </c>
      <c r="L291" s="146">
        <f t="shared" si="141"/>
        <v>704883.1209</v>
      </c>
      <c r="N291" s="146">
        <f t="shared" si="142"/>
        <v>242345.530138</v>
      </c>
      <c r="P291" s="146">
        <f t="shared" si="143"/>
        <v>142990.575954</v>
      </c>
      <c r="R291" s="146">
        <f t="shared" si="144"/>
        <v>83243.339992</v>
      </c>
      <c r="T291" s="146">
        <f t="shared" si="145"/>
        <v>445083.342054</v>
      </c>
      <c r="V291" s="191"/>
      <c r="W291" s="144"/>
      <c r="X291" s="353"/>
      <c r="Y291" s="160" t="s">
        <v>199</v>
      </c>
      <c r="Z291" s="140"/>
      <c r="AA291" s="151">
        <f t="shared" si="154"/>
        <v>17</v>
      </c>
      <c r="AC291" s="159">
        <f t="shared" si="146"/>
        <v>3356586.29</v>
      </c>
      <c r="AE291" s="146">
        <f t="shared" si="147"/>
        <v>1437625.908007</v>
      </c>
      <c r="AF291" s="146"/>
      <c r="AG291" s="146">
        <f t="shared" si="148"/>
        <v>656883.936953</v>
      </c>
      <c r="AH291" s="146"/>
      <c r="AI291" s="146">
        <f t="shared" si="149"/>
        <v>492075.55011400004</v>
      </c>
      <c r="AJ291" s="146"/>
      <c r="AK291" s="146">
        <f t="shared" si="150"/>
        <v>93648.75749100001</v>
      </c>
      <c r="AL291" s="146"/>
      <c r="AM291" s="146">
        <f t="shared" si="151"/>
        <v>226233.915946</v>
      </c>
      <c r="AN291" s="146"/>
      <c r="AO291" s="146">
        <f t="shared" si="152"/>
        <v>5034.879435</v>
      </c>
      <c r="AP291" s="146"/>
      <c r="AQ291" s="146">
        <f t="shared" si="153"/>
        <v>445083.342054</v>
      </c>
      <c r="AS291" s="159"/>
    </row>
    <row r="292" spans="1:45" ht="12.75">
      <c r="A292" s="443"/>
      <c r="D292" s="160" t="s">
        <v>408</v>
      </c>
      <c r="F292" s="151">
        <v>17</v>
      </c>
      <c r="H292" s="146">
        <v>2887791.18</v>
      </c>
      <c r="J292" s="146">
        <f t="shared" si="140"/>
        <v>1495298.2730040003</v>
      </c>
      <c r="L292" s="146">
        <f t="shared" si="141"/>
        <v>606436.1478</v>
      </c>
      <c r="N292" s="146">
        <f t="shared" si="142"/>
        <v>208498.52319600002</v>
      </c>
      <c r="P292" s="146">
        <f t="shared" si="143"/>
        <v>123019.904268</v>
      </c>
      <c r="R292" s="146">
        <f t="shared" si="144"/>
        <v>71617.221264</v>
      </c>
      <c r="T292" s="146">
        <f t="shared" si="145"/>
        <v>382921.110468</v>
      </c>
      <c r="V292" s="191"/>
      <c r="W292" s="144"/>
      <c r="X292" s="353"/>
      <c r="Y292" s="160" t="s">
        <v>408</v>
      </c>
      <c r="Z292" s="140"/>
      <c r="AA292" s="151">
        <f t="shared" si="154"/>
        <v>17</v>
      </c>
      <c r="AC292" s="159">
        <f>+H292</f>
        <v>2887791.18</v>
      </c>
      <c r="AE292" s="146">
        <f t="shared" si="147"/>
        <v>1236840.962394</v>
      </c>
      <c r="AF292" s="146"/>
      <c r="AG292" s="146">
        <f t="shared" si="148"/>
        <v>565140.7339260001</v>
      </c>
      <c r="AH292" s="146"/>
      <c r="AI292" s="146">
        <f t="shared" si="149"/>
        <v>423350.18698800006</v>
      </c>
      <c r="AJ292" s="146"/>
      <c r="AK292" s="146">
        <f t="shared" si="150"/>
        <v>80569.37392200001</v>
      </c>
      <c r="AL292" s="146"/>
      <c r="AM292" s="146">
        <f t="shared" si="151"/>
        <v>194637.125532</v>
      </c>
      <c r="AN292" s="146"/>
      <c r="AO292" s="146">
        <f t="shared" si="152"/>
        <v>4331.68677</v>
      </c>
      <c r="AP292" s="146"/>
      <c r="AQ292" s="146">
        <f t="shared" si="153"/>
        <v>382921.110468</v>
      </c>
      <c r="AS292" s="159"/>
    </row>
    <row r="293" spans="1:45" ht="12.75">
      <c r="A293" s="443"/>
      <c r="D293" s="160" t="s">
        <v>42</v>
      </c>
      <c r="F293" s="151">
        <v>19</v>
      </c>
      <c r="H293" s="146">
        <v>46124.36</v>
      </c>
      <c r="J293" s="146">
        <f t="shared" si="140"/>
        <v>25709.718264</v>
      </c>
      <c r="L293" s="146">
        <f t="shared" si="141"/>
        <v>9515.455468</v>
      </c>
      <c r="N293" s="146">
        <f t="shared" si="142"/>
        <v>3177.968404</v>
      </c>
      <c r="P293" s="146">
        <f t="shared" si="143"/>
        <v>1918.7733759999999</v>
      </c>
      <c r="R293" s="146">
        <f t="shared" si="144"/>
        <v>1194.620924</v>
      </c>
      <c r="T293" s="146">
        <f t="shared" si="145"/>
        <v>4607.823564</v>
      </c>
      <c r="V293" s="191"/>
      <c r="W293" s="144"/>
      <c r="X293" s="353"/>
      <c r="Y293" s="160" t="s">
        <v>42</v>
      </c>
      <c r="Z293" s="140"/>
      <c r="AA293" s="151">
        <f t="shared" si="154"/>
        <v>19</v>
      </c>
      <c r="AC293" s="159">
        <f t="shared" si="146"/>
        <v>46124.36</v>
      </c>
      <c r="AE293" s="146">
        <f t="shared" si="147"/>
        <v>20211.694552</v>
      </c>
      <c r="AF293" s="146"/>
      <c r="AG293" s="146">
        <f t="shared" si="148"/>
        <v>7873.428252</v>
      </c>
      <c r="AH293" s="146"/>
      <c r="AI293" s="146">
        <f t="shared" si="149"/>
        <v>4981.43088</v>
      </c>
      <c r="AJ293" s="146"/>
      <c r="AK293" s="146">
        <f t="shared" si="150"/>
        <v>2702.887496</v>
      </c>
      <c r="AL293" s="146"/>
      <c r="AM293" s="146">
        <f t="shared" si="151"/>
        <v>2984.246092</v>
      </c>
      <c r="AN293" s="146"/>
      <c r="AO293" s="146">
        <f t="shared" si="152"/>
        <v>2762.849164</v>
      </c>
      <c r="AP293" s="146"/>
      <c r="AQ293" s="146">
        <f t="shared" si="153"/>
        <v>4607.823564</v>
      </c>
      <c r="AS293" s="159"/>
    </row>
    <row r="294" spans="4:45" ht="12.75">
      <c r="D294" s="160"/>
      <c r="H294" s="147"/>
      <c r="I294" s="139"/>
      <c r="J294" s="147"/>
      <c r="L294" s="147"/>
      <c r="N294" s="147"/>
      <c r="P294" s="147"/>
      <c r="R294" s="147"/>
      <c r="T294" s="147"/>
      <c r="V294" s="191"/>
      <c r="W294" s="144"/>
      <c r="X294" s="353"/>
      <c r="Y294" s="160"/>
      <c r="Z294" s="140"/>
      <c r="AA294" s="151"/>
      <c r="AC294" s="159"/>
      <c r="AE294" s="146"/>
      <c r="AF294" s="146"/>
      <c r="AG294" s="146"/>
      <c r="AH294" s="146"/>
      <c r="AI294" s="146"/>
      <c r="AJ294" s="146"/>
      <c r="AK294" s="146"/>
      <c r="AL294" s="146"/>
      <c r="AM294" s="146"/>
      <c r="AN294" s="146"/>
      <c r="AO294" s="146"/>
      <c r="AP294" s="146"/>
      <c r="AQ294" s="146"/>
      <c r="AS294" s="159"/>
    </row>
    <row r="295" spans="22:45" ht="7.5" customHeight="1">
      <c r="V295" s="191"/>
      <c r="W295" s="144"/>
      <c r="X295" s="353"/>
      <c r="Y295" s="140"/>
      <c r="Z295" s="140"/>
      <c r="AA295" s="151"/>
      <c r="AS295" s="159"/>
    </row>
    <row r="296" spans="4:45" ht="12.75">
      <c r="D296" s="140" t="s">
        <v>130</v>
      </c>
      <c r="H296" s="147">
        <f>SUM(H286:H295)</f>
        <v>13324823.509999998</v>
      </c>
      <c r="I296" s="139"/>
      <c r="J296" s="147">
        <f>SUM(J286:J295)</f>
        <v>6832739.344128</v>
      </c>
      <c r="L296" s="147">
        <f>SUM(L286:L295)</f>
        <v>2705781.628028</v>
      </c>
      <c r="N296" s="147">
        <f>SUM(N286:N295)</f>
        <v>910985.9766180001</v>
      </c>
      <c r="P296" s="147">
        <f>SUM(P286:P295)</f>
        <v>538318.159344</v>
      </c>
      <c r="R296" s="147">
        <f>SUM(R286:R295)</f>
        <v>325790.055298</v>
      </c>
      <c r="T296" s="147">
        <f>SUM(T286:T295)</f>
        <v>2011208.346584</v>
      </c>
      <c r="V296" s="191"/>
      <c r="W296" s="144"/>
      <c r="X296" s="353"/>
      <c r="Y296" s="140" t="s">
        <v>130</v>
      </c>
      <c r="Z296" s="140"/>
      <c r="AA296" s="151"/>
      <c r="AC296" s="147">
        <f>SUM(AC286:AC295)</f>
        <v>13324823.509999998</v>
      </c>
      <c r="AD296" s="139"/>
      <c r="AE296" s="147">
        <f>SUM(AE286:AE295)</f>
        <v>5305112.009245</v>
      </c>
      <c r="AF296" s="154"/>
      <c r="AG296" s="147">
        <f>SUM(AG286:AG295)</f>
        <v>2127818.751005</v>
      </c>
      <c r="AH296" s="154"/>
      <c r="AI296" s="147">
        <f>SUM(AI286:AI295)</f>
        <v>2501872.63765</v>
      </c>
      <c r="AJ296" s="154"/>
      <c r="AK296" s="147">
        <f>SUM(AK286:AK295)</f>
        <v>389760.485387</v>
      </c>
      <c r="AL296" s="154"/>
      <c r="AM296" s="147">
        <f>SUM(AM286:AM295)</f>
        <v>779172.034236</v>
      </c>
      <c r="AN296" s="154"/>
      <c r="AO296" s="147">
        <f>SUM(AO286:AO295)</f>
        <v>209879.24589300004</v>
      </c>
      <c r="AP296" s="154"/>
      <c r="AQ296" s="147">
        <f>SUM(AQ286:AQ295)</f>
        <v>2011208.346584</v>
      </c>
      <c r="AS296" s="159"/>
    </row>
    <row r="297" spans="22:45" ht="12.75">
      <c r="V297" s="191"/>
      <c r="W297" s="144"/>
      <c r="X297" s="353"/>
      <c r="Y297" s="140"/>
      <c r="Z297" s="140"/>
      <c r="AA297" s="151"/>
      <c r="AC297" s="154"/>
      <c r="AD297" s="135"/>
      <c r="AE297" s="154"/>
      <c r="AF297" s="154"/>
      <c r="AG297" s="154"/>
      <c r="AH297" s="154"/>
      <c r="AI297" s="154"/>
      <c r="AJ297" s="154"/>
      <c r="AK297" s="154"/>
      <c r="AL297" s="154"/>
      <c r="AM297" s="154"/>
      <c r="AN297" s="154"/>
      <c r="AO297" s="154"/>
      <c r="AP297" s="154"/>
      <c r="AQ297" s="154"/>
      <c r="AS297" s="159"/>
    </row>
    <row r="298" spans="4:45" ht="13.5" thickBot="1">
      <c r="D298" s="248" t="s">
        <v>131</v>
      </c>
      <c r="H298" s="209">
        <f>H270+H296+H281+H283</f>
        <v>252209536.03999996</v>
      </c>
      <c r="J298" s="209">
        <f>J270+J296+J281+J283</f>
        <v>133357370.86770576</v>
      </c>
      <c r="K298" s="135"/>
      <c r="L298" s="209">
        <f>L270+L296+L281+L283</f>
        <v>53421826.003733866</v>
      </c>
      <c r="M298" s="135"/>
      <c r="N298" s="209">
        <f>N270+N296+N281+N283</f>
        <v>18301543.285090268</v>
      </c>
      <c r="O298" s="135"/>
      <c r="P298" s="209">
        <f>P270+P296+P281+P283</f>
        <v>10952473.863902664</v>
      </c>
      <c r="Q298" s="135"/>
      <c r="R298" s="209">
        <f>R270+R296+R281+R283</f>
        <v>7129269.2455804115</v>
      </c>
      <c r="S298" s="135"/>
      <c r="T298" s="209">
        <f>T270+T296+T281+T283</f>
        <v>29047052.773987025</v>
      </c>
      <c r="V298" s="191"/>
      <c r="W298" s="144"/>
      <c r="X298" s="353"/>
      <c r="Y298" s="248" t="s">
        <v>131</v>
      </c>
      <c r="Z298" s="140"/>
      <c r="AA298" s="151"/>
      <c r="AC298" s="209">
        <f>AC270+AC296+AC281+AC283</f>
        <v>252209536.03999996</v>
      </c>
      <c r="AE298" s="209">
        <f>AE270+AE296+AE281+AE283</f>
        <v>110419137.57953498</v>
      </c>
      <c r="AG298" s="209">
        <f>AG270+AG296+AG281+AG283</f>
        <v>55912900.04468033</v>
      </c>
      <c r="AI298" s="209">
        <f>AI270+AI296+AI281+AI283</f>
        <v>25037285.942181647</v>
      </c>
      <c r="AK298" s="209">
        <f>AK270+AK296+AK281+AK283</f>
        <v>14625379.844471</v>
      </c>
      <c r="AM298" s="209">
        <f>AM270+AM296+AM281+AM283</f>
        <v>16583876.077658001</v>
      </c>
      <c r="AO298" s="209">
        <f>AO270+AO296+AO281+AO283</f>
        <v>583903.7774870001</v>
      </c>
      <c r="AQ298" s="209">
        <f>AQ270+AQ296+AQ281+AQ283</f>
        <v>29047052.773987025</v>
      </c>
      <c r="AS298" s="159"/>
    </row>
    <row r="299" spans="23:45" ht="13.5" thickTop="1">
      <c r="W299" s="191"/>
      <c r="AS299" s="159"/>
    </row>
    <row r="300" spans="23:45" ht="12.75">
      <c r="W300" s="191"/>
      <c r="AS300" s="159"/>
    </row>
    <row r="301" ht="12.75">
      <c r="W301" s="191"/>
    </row>
    <row r="302" ht="12.75">
      <c r="W302" s="191"/>
    </row>
    <row r="303" spans="4:45" ht="12.75">
      <c r="D303" s="231" t="s">
        <v>206</v>
      </c>
      <c r="I303" s="154"/>
      <c r="V303" s="191"/>
      <c r="W303" s="191"/>
      <c r="Y303" s="231" t="s">
        <v>206</v>
      </c>
      <c r="Z303" s="140"/>
      <c r="AA303" s="151"/>
      <c r="AB303" s="135"/>
      <c r="AC303" s="154">
        <f>SUM(AC127:AC128)</f>
        <v>7890944.814272798</v>
      </c>
      <c r="AD303" s="154"/>
      <c r="AE303" s="154"/>
      <c r="AF303" s="154"/>
      <c r="AG303" s="154"/>
      <c r="AH303" s="154"/>
      <c r="AI303" s="154"/>
      <c r="AJ303" s="154"/>
      <c r="AK303" s="154"/>
      <c r="AL303" s="154"/>
      <c r="AM303" s="154"/>
      <c r="AN303" s="154"/>
      <c r="AO303" s="154"/>
      <c r="AP303" s="154"/>
      <c r="AQ303" s="154"/>
      <c r="AS303" s="191"/>
    </row>
    <row r="304" spans="4:45" ht="12.75">
      <c r="D304" s="231" t="s">
        <v>207</v>
      </c>
      <c r="J304" s="246"/>
      <c r="K304" s="246"/>
      <c r="L304" s="246"/>
      <c r="M304" s="246"/>
      <c r="N304" s="246"/>
      <c r="O304" s="246"/>
      <c r="P304" s="246"/>
      <c r="Q304" s="246"/>
      <c r="R304" s="246"/>
      <c r="S304" s="246"/>
      <c r="T304" s="246"/>
      <c r="U304" s="247"/>
      <c r="V304" s="246"/>
      <c r="W304" s="191"/>
      <c r="Y304" s="231" t="s">
        <v>207</v>
      </c>
      <c r="Z304" s="140"/>
      <c r="AA304" s="151"/>
      <c r="AB304" s="135"/>
      <c r="AC304" s="154"/>
      <c r="AD304" s="135"/>
      <c r="AE304" s="246"/>
      <c r="AF304" s="246"/>
      <c r="AG304" s="246"/>
      <c r="AH304" s="246"/>
      <c r="AI304" s="246"/>
      <c r="AJ304" s="246"/>
      <c r="AK304" s="246"/>
      <c r="AL304" s="246"/>
      <c r="AM304" s="246"/>
      <c r="AN304" s="246"/>
      <c r="AO304" s="246"/>
      <c r="AP304" s="246"/>
      <c r="AQ304" s="246"/>
      <c r="AR304" s="247"/>
      <c r="AS304" s="246"/>
    </row>
    <row r="305" spans="4:45" ht="12.75">
      <c r="D305" s="231" t="s">
        <v>208</v>
      </c>
      <c r="H305" s="154">
        <f>+SUM(H66:H72)+SUM(H76:H79)</f>
        <v>3467444.6765652024</v>
      </c>
      <c r="J305" s="154">
        <f>+SUM(J66:J72)+SUM(J76:J79)</f>
        <v>1800231.1866513107</v>
      </c>
      <c r="K305" s="135"/>
      <c r="L305" s="154">
        <f>+SUM(L66:L72)+SUM(L76:L79)</f>
        <v>625726.2406641049</v>
      </c>
      <c r="M305" s="135"/>
      <c r="N305" s="154">
        <f>+SUM(N66:N72)+SUM(N76:N79)</f>
        <v>185085.0047501342</v>
      </c>
      <c r="O305" s="135"/>
      <c r="P305" s="154">
        <f>+SUM(P66:P72)+SUM(P76:P79)</f>
        <v>114953.07562265811</v>
      </c>
      <c r="Q305" s="135"/>
      <c r="R305" s="154">
        <f>+SUM(R66:R72)+SUM(R76:R79)</f>
        <v>32492.057983318962</v>
      </c>
      <c r="S305" s="135"/>
      <c r="T305" s="154">
        <f>+SUM(T66:T72)+SUM(T76:T79)</f>
        <v>708957.110893675</v>
      </c>
      <c r="V305" s="191">
        <f>SUM(J305:T305)-H305</f>
        <v>0</v>
      </c>
      <c r="W305" s="191"/>
      <c r="Y305" s="231" t="s">
        <v>208</v>
      </c>
      <c r="Z305" s="140"/>
      <c r="AA305" s="151"/>
      <c r="AB305" s="135"/>
      <c r="AC305" s="154">
        <f>+SUM(AC66:AC72)+SUM(AC76:AC79)</f>
        <v>3467444.6765652024</v>
      </c>
      <c r="AD305" s="135"/>
      <c r="AE305" s="154">
        <f>+SUM(AE66:AE72)+SUM(AE76:AE79)</f>
        <v>974049.6911983213</v>
      </c>
      <c r="AF305" s="135"/>
      <c r="AG305" s="154">
        <f>+SUM(AG66:AG72)+SUM(AG76:AG79)</f>
        <v>179861.60009428347</v>
      </c>
      <c r="AH305" s="135"/>
      <c r="AI305" s="154">
        <f>+SUM(AI66:AI72)+SUM(AI76:AI79)</f>
        <v>951829.8948956536</v>
      </c>
      <c r="AJ305" s="135"/>
      <c r="AK305" s="154">
        <f>+SUM(AK66:AK72)+SUM(AK76:AK79)</f>
        <v>317.37</v>
      </c>
      <c r="AL305" s="135"/>
      <c r="AM305" s="154">
        <f>+SUM(AM66:AM72)+SUM(AM76:AM79)</f>
        <v>652429.0094832687</v>
      </c>
      <c r="AN305" s="135"/>
      <c r="AO305" s="154">
        <f>+SUM(AO66:AO72)+SUM(AO76:AO79)</f>
        <v>0</v>
      </c>
      <c r="AP305" s="135"/>
      <c r="AQ305" s="154">
        <f>+SUM(AQ66:AQ72)+SUM(AQ76:AQ79)</f>
        <v>708957.110893675</v>
      </c>
      <c r="AS305" s="191">
        <f>SUM(AE305:AQ305)-AC305</f>
        <v>0</v>
      </c>
    </row>
    <row r="306" spans="4:45" ht="12.75">
      <c r="D306" s="231" t="s">
        <v>2</v>
      </c>
      <c r="H306" s="232"/>
      <c r="I306" s="232"/>
      <c r="J306" s="246">
        <f>ROUND(J305/$H305,4)-0.0002</f>
        <v>0.519</v>
      </c>
      <c r="K306" s="246"/>
      <c r="L306" s="246">
        <f>ROUND(L305/$H305,4)</f>
        <v>0.1805</v>
      </c>
      <c r="M306" s="246"/>
      <c r="N306" s="246">
        <f>ROUND(N305/$H305,4)</f>
        <v>0.0534</v>
      </c>
      <c r="O306" s="246"/>
      <c r="P306" s="246">
        <f>ROUND(P305/$H305,4)</f>
        <v>0.0332</v>
      </c>
      <c r="Q306" s="246"/>
      <c r="R306" s="246">
        <f>ROUND(R305/$H305,4)</f>
        <v>0.0094</v>
      </c>
      <c r="S306" s="246"/>
      <c r="T306" s="246">
        <f>ROUND(T305/$H305,4)</f>
        <v>0.2045</v>
      </c>
      <c r="U306" s="247"/>
      <c r="V306" s="246">
        <f>SUM(J306:T306)</f>
        <v>1</v>
      </c>
      <c r="W306" s="191"/>
      <c r="Y306" s="231" t="s">
        <v>2</v>
      </c>
      <c r="Z306" s="140"/>
      <c r="AA306" s="151"/>
      <c r="AB306" s="135"/>
      <c r="AC306" s="232"/>
      <c r="AD306" s="232"/>
      <c r="AE306" s="246">
        <f>ROUND(AE305/$H305,4)-0.0001</f>
        <v>0.2808</v>
      </c>
      <c r="AF306" s="246"/>
      <c r="AG306" s="246">
        <f>ROUND(AG305/$H305,4)</f>
        <v>0.0519</v>
      </c>
      <c r="AH306" s="246"/>
      <c r="AI306" s="246">
        <f>ROUND(AI305/$H305,4)</f>
        <v>0.2745</v>
      </c>
      <c r="AJ306" s="246"/>
      <c r="AK306" s="246">
        <f>ROUND(AK305/$H305,4)</f>
        <v>0.0001</v>
      </c>
      <c r="AL306" s="246"/>
      <c r="AM306" s="246">
        <f>ROUND(AM305/$H305,4)</f>
        <v>0.1882</v>
      </c>
      <c r="AN306" s="246"/>
      <c r="AO306" s="246">
        <f>ROUND(AO305/$H305,4)</f>
        <v>0</v>
      </c>
      <c r="AP306" s="246"/>
      <c r="AQ306" s="246">
        <f>ROUND(AQ305/$H305,4)</f>
        <v>0.2045</v>
      </c>
      <c r="AR306" s="247"/>
      <c r="AS306" s="246">
        <f>SUM(AE306:AQ306)</f>
        <v>1</v>
      </c>
    </row>
    <row r="307" spans="4:46" ht="12.75">
      <c r="D307" s="231" t="s">
        <v>209</v>
      </c>
      <c r="H307" s="154">
        <f>+H24+H49+H84+H104-H14-H30-H31-H32-H54-H36</f>
        <v>11584545.095727203</v>
      </c>
      <c r="J307" s="154">
        <f>+J24+J49+J84+J104-J14-J30-J31-J32-J54-J36</f>
        <v>6853255.163635729</v>
      </c>
      <c r="K307" s="135"/>
      <c r="L307" s="154">
        <f>+L24+L49+L84+L104-L14-L30-L31-L32-L54-L36</f>
        <v>2212560.708522251</v>
      </c>
      <c r="M307" s="135"/>
      <c r="N307" s="154">
        <f>+N24+N49+N84+N104-N14-N30-N31-N32-N54-N36</f>
        <v>678249.9614018198</v>
      </c>
      <c r="O307" s="135"/>
      <c r="P307" s="154">
        <f>+P24+P49+P84+P104-P14-P30-P31-P32-P54-P36</f>
        <v>425121.34511298995</v>
      </c>
      <c r="Q307" s="135"/>
      <c r="R307" s="154">
        <f>+R24+R49+R84+R104-R14-R30-R31-R32-R54-R36</f>
        <v>214943.02272990302</v>
      </c>
      <c r="S307" s="135"/>
      <c r="T307" s="154">
        <f>+T24+T49+T84+T104-T14-T30-T31-T32-T54-T36</f>
        <v>1200414.894324509</v>
      </c>
      <c r="V307" s="191">
        <f>SUM(J307:T307)-H307</f>
        <v>0</v>
      </c>
      <c r="W307" s="191"/>
      <c r="Y307" s="231" t="s">
        <v>209</v>
      </c>
      <c r="Z307" s="140"/>
      <c r="AA307" s="151"/>
      <c r="AB307" s="135"/>
      <c r="AC307" s="154">
        <f>+AC24+AC49+AC84+AC104-AC14-AC30-AC31-AC32-AC54-AC36</f>
        <v>11584545.095727203</v>
      </c>
      <c r="AD307" s="135"/>
      <c r="AE307" s="154">
        <f>+AE24+AE49+AE84+AE104-AE14-AE30-AE31-AE32-AE54-AE36</f>
        <v>3890291.75528365</v>
      </c>
      <c r="AF307" s="135"/>
      <c r="AG307" s="154">
        <f>+AG24+AG49+AG84+AG104-AG14-AG30-AG31-AG32-AG54-AG36</f>
        <v>1625397.4106480267</v>
      </c>
      <c r="AH307" s="135"/>
      <c r="AI307" s="154">
        <f>+AI24+AI49+AI84+AI104-AI14-AI30-AI31-AI32-AI54-AI36</f>
        <v>1686479.505483938</v>
      </c>
      <c r="AJ307" s="135"/>
      <c r="AK307" s="154">
        <f>+AK24+AK49+AK84+AK104-AK14-AK30-AK31-AK32-AK54-AK36</f>
        <v>858928.8702990318</v>
      </c>
      <c r="AL307" s="135"/>
      <c r="AM307" s="154">
        <f>+AM24+AM49+AM84+AM104-AM14-AM30-AM31-AM32-AM54-AM36</f>
        <v>900144.7833351395</v>
      </c>
      <c r="AN307" s="135"/>
      <c r="AO307" s="154">
        <f>+AO24+AO49+AO84+AO104-AO14-AO30-AO31-AO32-AO54-AO36</f>
        <v>1422887.8763529079</v>
      </c>
      <c r="AP307" s="135"/>
      <c r="AQ307" s="154">
        <f>+AQ24+AQ49+AQ84+AQ104-AQ14-AQ30-AQ31-AQ32-AQ54-AQ36</f>
        <v>1200414.894324509</v>
      </c>
      <c r="AS307" s="191">
        <f>SUM(AE307:AQ307)-AC307</f>
        <v>0</v>
      </c>
      <c r="AT307" s="159"/>
    </row>
    <row r="308" spans="4:45" ht="12.75">
      <c r="D308" s="231" t="s">
        <v>210</v>
      </c>
      <c r="J308" s="246">
        <f>ROUND(J307/$H307,4)</f>
        <v>0.5916</v>
      </c>
      <c r="K308" s="246"/>
      <c r="L308" s="246">
        <f>ROUND(L307/$H307,4)</f>
        <v>0.191</v>
      </c>
      <c r="M308" s="246"/>
      <c r="N308" s="246">
        <f>ROUND(N307/$H307,4)</f>
        <v>0.0585</v>
      </c>
      <c r="O308" s="246"/>
      <c r="P308" s="246">
        <f>ROUND(P307/$H307,4)</f>
        <v>0.0367</v>
      </c>
      <c r="Q308" s="246"/>
      <c r="R308" s="246">
        <f>ROUND(R307/$H307,4)</f>
        <v>0.0186</v>
      </c>
      <c r="S308" s="246"/>
      <c r="T308" s="246">
        <f>ROUND(T307/$H307,4)</f>
        <v>0.1036</v>
      </c>
      <c r="U308" s="247"/>
      <c r="V308" s="246">
        <f>SUM(J308:T308)</f>
        <v>0.9999999999999999</v>
      </c>
      <c r="W308" s="191"/>
      <c r="Y308" s="231" t="s">
        <v>210</v>
      </c>
      <c r="Z308" s="140"/>
      <c r="AA308" s="151"/>
      <c r="AB308" s="135"/>
      <c r="AC308" s="154"/>
      <c r="AD308" s="135"/>
      <c r="AE308" s="246">
        <f>ROUND(AE307/$H307,4)+0.0001</f>
        <v>0.3359</v>
      </c>
      <c r="AF308" s="246"/>
      <c r="AG308" s="246">
        <f>ROUND(AG307/$H307,4)</f>
        <v>0.1403</v>
      </c>
      <c r="AH308" s="246"/>
      <c r="AI308" s="246">
        <f>ROUND(AI307/$H307,4)</f>
        <v>0.1456</v>
      </c>
      <c r="AJ308" s="246"/>
      <c r="AK308" s="246">
        <f>ROUND(AK307/$H307,4)</f>
        <v>0.0741</v>
      </c>
      <c r="AL308" s="246"/>
      <c r="AM308" s="246">
        <f>ROUND(AM307/$H307,4)</f>
        <v>0.0777</v>
      </c>
      <c r="AN308" s="246"/>
      <c r="AO308" s="246">
        <f>ROUND(AO307/$H307,4)</f>
        <v>0.1228</v>
      </c>
      <c r="AP308" s="246"/>
      <c r="AQ308" s="246">
        <f>ROUND(AQ307/$H307,4)</f>
        <v>0.1036</v>
      </c>
      <c r="AR308" s="247"/>
      <c r="AS308" s="246">
        <f>SUM(AE308:AQ308)</f>
        <v>1</v>
      </c>
    </row>
    <row r="309" spans="4:45" ht="12.75">
      <c r="D309" s="231" t="s">
        <v>205</v>
      </c>
      <c r="H309" s="154">
        <f>+H129</f>
        <v>23815181.320000004</v>
      </c>
      <c r="J309" s="154">
        <f>+J129</f>
        <v>14013114.921614219</v>
      </c>
      <c r="K309" s="135"/>
      <c r="L309" s="154">
        <f>+L129</f>
        <v>4797011.772895857</v>
      </c>
      <c r="M309" s="135"/>
      <c r="N309" s="154">
        <f>+N129</f>
        <v>1557664.837956078</v>
      </c>
      <c r="O309" s="135"/>
      <c r="P309" s="154">
        <f>+P129</f>
        <v>953905.1428688015</v>
      </c>
      <c r="Q309" s="135"/>
      <c r="R309" s="154">
        <f>+R129</f>
        <v>565271.751335877</v>
      </c>
      <c r="S309" s="135"/>
      <c r="T309" s="154">
        <f>+T129</f>
        <v>1928212.8933291708</v>
      </c>
      <c r="U309" s="247"/>
      <c r="V309" s="191">
        <f>SUM(J309:T309)-H309</f>
        <v>0</v>
      </c>
      <c r="W309" s="191"/>
      <c r="Y309" s="231" t="s">
        <v>205</v>
      </c>
      <c r="Z309" s="140"/>
      <c r="AA309" s="151"/>
      <c r="AB309" s="135"/>
      <c r="AC309" s="154">
        <f>+AC129</f>
        <v>23815181.320000004</v>
      </c>
      <c r="AD309" s="135"/>
      <c r="AE309" s="154">
        <f>+AE129</f>
        <v>10643384.686468882</v>
      </c>
      <c r="AF309" s="135"/>
      <c r="AG309" s="154">
        <f>+AG129</f>
        <v>2739338.4021795</v>
      </c>
      <c r="AH309" s="135"/>
      <c r="AI309" s="154">
        <f>+AI129</f>
        <v>2688928.357796057</v>
      </c>
      <c r="AJ309" s="135"/>
      <c r="AK309" s="154">
        <f>+AK129</f>
        <v>1544229.884725646</v>
      </c>
      <c r="AL309" s="135"/>
      <c r="AM309" s="154">
        <f>+AM129</f>
        <v>1364098.180093136</v>
      </c>
      <c r="AN309" s="135"/>
      <c r="AO309" s="154">
        <f>+AO129</f>
        <v>2906988.9154076073</v>
      </c>
      <c r="AP309" s="135"/>
      <c r="AQ309" s="154">
        <f>+AQ129</f>
        <v>1928212.8933291708</v>
      </c>
      <c r="AR309" s="247"/>
      <c r="AS309" s="191">
        <f>SUM(AE309:AQ309)-AC309</f>
        <v>0</v>
      </c>
    </row>
    <row r="310" spans="4:45" ht="12.75">
      <c r="D310" s="231" t="s">
        <v>3</v>
      </c>
      <c r="J310" s="246">
        <f>+ROUND(J309/$H$309,4)</f>
        <v>0.5884</v>
      </c>
      <c r="K310" s="135"/>
      <c r="L310" s="246">
        <f>+ROUND(L309/$H$309,4)</f>
        <v>0.2014</v>
      </c>
      <c r="M310" s="135"/>
      <c r="N310" s="246">
        <f>+ROUND(N309/$H$309,4)</f>
        <v>0.0654</v>
      </c>
      <c r="O310" s="135"/>
      <c r="P310" s="246">
        <f>+ROUND(P309/$H$309,4)</f>
        <v>0.0401</v>
      </c>
      <c r="Q310" s="135"/>
      <c r="R310" s="246">
        <f>+ROUND(R309/$H$309,4)</f>
        <v>0.0237</v>
      </c>
      <c r="S310" s="135"/>
      <c r="T310" s="246">
        <f>+ROUND(T309/$H$309,4)</f>
        <v>0.081</v>
      </c>
      <c r="U310" s="247"/>
      <c r="V310" s="246">
        <f>SUM(J310:T310)</f>
        <v>1</v>
      </c>
      <c r="W310" s="191"/>
      <c r="Y310" s="231" t="s">
        <v>3</v>
      </c>
      <c r="Z310" s="140"/>
      <c r="AA310" s="151"/>
      <c r="AB310" s="135"/>
      <c r="AC310" s="154"/>
      <c r="AD310" s="135"/>
      <c r="AE310" s="246">
        <f>+ROUND(AE309/$AC$309,4)</f>
        <v>0.4469</v>
      </c>
      <c r="AF310" s="135"/>
      <c r="AG310" s="246">
        <f>+ROUND(AG309/$AC$309,4)</f>
        <v>0.115</v>
      </c>
      <c r="AH310" s="135"/>
      <c r="AI310" s="246">
        <f>+ROUND(AI309/$AC$309,4)</f>
        <v>0.1129</v>
      </c>
      <c r="AJ310" s="135"/>
      <c r="AK310" s="246">
        <f>+ROUND(AK309/$AC$309,4)</f>
        <v>0.0648</v>
      </c>
      <c r="AL310" s="135"/>
      <c r="AM310" s="246">
        <f>+ROUND(AM309/$AC$309,4)</f>
        <v>0.0573</v>
      </c>
      <c r="AN310" s="135"/>
      <c r="AO310" s="246">
        <f>+ROUND(AO309/$AC$309,4)</f>
        <v>0.1221</v>
      </c>
      <c r="AP310" s="135"/>
      <c r="AQ310" s="246">
        <f>+ROUND(AQ309/$AC$309,4)</f>
        <v>0.081</v>
      </c>
      <c r="AR310" s="247"/>
      <c r="AS310" s="246">
        <f>SUM(AE310:AQ310)</f>
        <v>1</v>
      </c>
    </row>
    <row r="311" spans="4:45" ht="12.75">
      <c r="D311" s="231" t="s">
        <v>4</v>
      </c>
      <c r="H311" s="154">
        <f>+H28+H29+H43+H53+H65+H66+H67+H68+H88+H87+H89+H90+H91+H107</f>
        <v>8468503.889999999</v>
      </c>
      <c r="J311" s="154">
        <f>+J28+J29+J43+J53+J65+J66+J67+J68+J88+J87+J89+J90+J91+J107</f>
        <v>5035243.686028316</v>
      </c>
      <c r="K311" s="135"/>
      <c r="L311" s="154">
        <f>+L28+L29+L43+L53+L65+L66+L67+L68+L88+L87+L89+L90+L91+L107</f>
        <v>1661813.5051683555</v>
      </c>
      <c r="M311" s="135"/>
      <c r="N311" s="154">
        <f>+N28+N29+N43+N53+N65+N66+N67+N68+N88+N87+N89+N90+N91+N107</f>
        <v>510067.1052219783</v>
      </c>
      <c r="O311" s="135"/>
      <c r="P311" s="154">
        <f>+P28+P29+P43+P53+P65+P66+P67+P68+P88+P87+P89+P90+P91+P107</f>
        <v>322135.0739378016</v>
      </c>
      <c r="Q311" s="135"/>
      <c r="R311" s="154">
        <f>+R28+R29+R43+R53+R65+R66+R67+R68+R88+R87+R89+R90+R91+R107</f>
        <v>162250.71778137697</v>
      </c>
      <c r="S311" s="135"/>
      <c r="T311" s="154">
        <f>+T28+T29+T43+T53+T65+T66+T67+T68+T88+T87+T89+T90+T91+T107</f>
        <v>776993.8018621709</v>
      </c>
      <c r="U311" s="135"/>
      <c r="V311" s="154">
        <f>+V28+V29+V43+V53+V65+V66+V67+V68+V88+V87+V89+V90+V91+V107</f>
        <v>0</v>
      </c>
      <c r="W311" s="191"/>
      <c r="Y311" s="231" t="s">
        <v>4</v>
      </c>
      <c r="Z311" s="140"/>
      <c r="AA311" s="151"/>
      <c r="AB311" s="135"/>
      <c r="AC311" s="154">
        <f>+AC28+AC29+AC43+AC53+AC65+AC66+AC67+AC68+AC88+AC87+AC89+AC90+AC91+AC107</f>
        <v>8468503.889999999</v>
      </c>
      <c r="AD311" s="135"/>
      <c r="AE311" s="154">
        <f>+AE28+AE29+AE43+AE53+AE65+AE66+AE67+AE68+AE88+AE87+AE89+AE90+AE91+AE107</f>
        <v>2933378.5815068823</v>
      </c>
      <c r="AF311" s="135"/>
      <c r="AG311" s="154">
        <f>+AG28+AG29+AG43+AG53+AG65+AG66+AG67+AG68+AG88+AG87+AG89+AG90+AG91+AG107</f>
        <v>1284467.0963125</v>
      </c>
      <c r="AH311" s="135"/>
      <c r="AI311" s="154">
        <f>+AI28+AI29+AI43+AI53+AI65+AI66+AI67+AI68+AI88+AI87+AI89+AI90+AI91+AI107</f>
        <v>1134098.1598070571</v>
      </c>
      <c r="AJ311" s="135"/>
      <c r="AK311" s="154">
        <f>+AK28+AK29+AK43+AK53+AK65+AK66+AK67+AK68+AK88+AK87+AK89+AK90+AK91+AK107</f>
        <v>942588.737284646</v>
      </c>
      <c r="AL311" s="135"/>
      <c r="AM311" s="154">
        <f>+AM28+AM29+AM43+AM53+AM65+AM66+AM67+AM68+AM88+AM87+AM89+AM90+AM91+AM107</f>
        <v>454759.41484513565</v>
      </c>
      <c r="AN311" s="135"/>
      <c r="AO311" s="154">
        <f>+AO28+AO29+AO43+AO53+AO65+AO66+AO67+AO68+AO88+AO87+AO89+AO90+AO91+AO107</f>
        <v>942218.0983816073</v>
      </c>
      <c r="AP311" s="135"/>
      <c r="AQ311" s="154">
        <f>+AQ28+AQ29+AQ43+AQ53+AQ65+AQ66+AQ67+AQ68+AQ88+AQ87+AQ89+AQ90+AQ91+AQ107</f>
        <v>776993.8018621709</v>
      </c>
      <c r="AS311" s="191">
        <f>SUM(AE311:AQ311)-AC311</f>
        <v>0</v>
      </c>
    </row>
    <row r="312" spans="4:45" ht="12.75">
      <c r="D312" s="231" t="s">
        <v>5</v>
      </c>
      <c r="J312" s="246">
        <f>ROUND(J311/$H311,4)</f>
        <v>0.5946</v>
      </c>
      <c r="K312" s="246"/>
      <c r="L312" s="246">
        <f>ROUND(L311/$H311,4)</f>
        <v>0.1962</v>
      </c>
      <c r="M312" s="246"/>
      <c r="N312" s="246">
        <f>ROUND(N311/$H311,4)</f>
        <v>0.0602</v>
      </c>
      <c r="O312" s="246"/>
      <c r="P312" s="246">
        <f>ROUND(P311/$H311,4)</f>
        <v>0.038</v>
      </c>
      <c r="Q312" s="246"/>
      <c r="R312" s="246">
        <f>ROUND(R311/$H311,4)</f>
        <v>0.0192</v>
      </c>
      <c r="S312" s="246"/>
      <c r="T312" s="246">
        <f>ROUND(T311/$H311,4)</f>
        <v>0.0918</v>
      </c>
      <c r="V312" s="246">
        <f>SUM(J312:T312)</f>
        <v>1.0000000000000002</v>
      </c>
      <c r="W312" s="191"/>
      <c r="Y312" s="231" t="s">
        <v>5</v>
      </c>
      <c r="Z312" s="140"/>
      <c r="AA312" s="151"/>
      <c r="AB312" s="135"/>
      <c r="AC312" s="154"/>
      <c r="AD312" s="135"/>
      <c r="AE312" s="246">
        <f>ROUND(AE311/$H311,4)-0.0001</f>
        <v>0.3463</v>
      </c>
      <c r="AF312" s="246"/>
      <c r="AG312" s="246">
        <f>ROUND(AG311/$H311,4)</f>
        <v>0.1517</v>
      </c>
      <c r="AH312" s="246"/>
      <c r="AI312" s="246">
        <f>ROUND(AI311/$H311,4)</f>
        <v>0.1339</v>
      </c>
      <c r="AJ312" s="246"/>
      <c r="AK312" s="246">
        <f>ROUND(AK311/$H311,4)</f>
        <v>0.1113</v>
      </c>
      <c r="AL312" s="246"/>
      <c r="AM312" s="246">
        <f>ROUND(AM311/$H311,4)</f>
        <v>0.0537</v>
      </c>
      <c r="AN312" s="246"/>
      <c r="AO312" s="246">
        <f>ROUND(AO311/$H311,4)</f>
        <v>0.1113</v>
      </c>
      <c r="AP312" s="246"/>
      <c r="AQ312" s="246">
        <f>ROUND(AQ311/$H311,4)</f>
        <v>0.0918</v>
      </c>
      <c r="AS312" s="246">
        <f>SUM(AE312:AQ312)</f>
        <v>0.9999999999999999</v>
      </c>
    </row>
    <row r="313" spans="4:45" ht="12.75">
      <c r="D313" s="231" t="s">
        <v>6</v>
      </c>
      <c r="H313" s="154">
        <f>+SUM(H224:H268)</f>
        <v>234450576.09000003</v>
      </c>
      <c r="J313" s="154">
        <f>+SUM(J224:J268)</f>
        <v>121399628.59263225</v>
      </c>
      <c r="K313" s="135"/>
      <c r="L313" s="154">
        <f>+SUM(L224:L268)</f>
        <v>49242043.36449887</v>
      </c>
      <c r="M313" s="135"/>
      <c r="N313" s="154">
        <f>+SUM(N224:N268)</f>
        <v>16922797.705939766</v>
      </c>
      <c r="O313" s="135"/>
      <c r="P313" s="154">
        <f>+SUM(P224:P268)</f>
        <v>9978128.74806666</v>
      </c>
      <c r="Q313" s="135"/>
      <c r="R313" s="154">
        <f>+SUM(R224:R268)</f>
        <v>5825155.662247412</v>
      </c>
      <c r="S313" s="135"/>
      <c r="T313" s="154">
        <f>+SUM(T224:T268)</f>
        <v>31082822.016615026</v>
      </c>
      <c r="V313" s="191">
        <f>SUM(J313:T313)-H313</f>
        <v>0</v>
      </c>
      <c r="W313" s="191"/>
      <c r="Y313" s="231" t="s">
        <v>6</v>
      </c>
      <c r="Z313" s="140"/>
      <c r="AA313" s="151"/>
      <c r="AB313" s="135"/>
      <c r="AC313" s="154">
        <f>+SUM(AC224:AC268)</f>
        <v>234450576.09000003</v>
      </c>
      <c r="AD313" s="135"/>
      <c r="AE313" s="154">
        <f>+SUM(AE224:AE268)</f>
        <v>100426146.53325099</v>
      </c>
      <c r="AF313" s="135"/>
      <c r="AG313" s="154">
        <f>+SUM(AG224:AG268)</f>
        <v>45888170.416750826</v>
      </c>
      <c r="AH313" s="135"/>
      <c r="AI313" s="154">
        <f>+SUM(AI224:AI268)</f>
        <v>34365620.62105515</v>
      </c>
      <c r="AJ313" s="135"/>
      <c r="AK313" s="154">
        <f>+SUM(AK224:AK268)</f>
        <v>6531677.687988001</v>
      </c>
      <c r="AL313" s="135"/>
      <c r="AM313" s="154">
        <f>+SUM(AM224:AM268)</f>
        <v>15795814.550036</v>
      </c>
      <c r="AN313" s="135"/>
      <c r="AO313" s="154">
        <f>+SUM(AO224:AO268)</f>
        <v>360324.264304</v>
      </c>
      <c r="AP313" s="135"/>
      <c r="AQ313" s="154">
        <f>+SUM(AQ224:AQ268)</f>
        <v>31082822.016615026</v>
      </c>
      <c r="AS313" s="191">
        <f>SUM(AE313:AQ313)-AC313</f>
        <v>0</v>
      </c>
    </row>
    <row r="314" spans="4:45" ht="12.75">
      <c r="D314" s="231" t="s">
        <v>7</v>
      </c>
      <c r="J314" s="246">
        <f>ROUND(J313/$H313,4)</f>
        <v>0.5178</v>
      </c>
      <c r="K314" s="246"/>
      <c r="L314" s="246">
        <f>ROUND(L313/$H313,4)</f>
        <v>0.21</v>
      </c>
      <c r="M314" s="246"/>
      <c r="N314" s="246">
        <f>ROUND(N313/$H313,4)</f>
        <v>0.0722</v>
      </c>
      <c r="O314" s="246"/>
      <c r="P314" s="246">
        <f>ROUND(P313/$H313,4)</f>
        <v>0.0426</v>
      </c>
      <c r="Q314" s="246"/>
      <c r="R314" s="246">
        <f>ROUND(R313/$H313,4)</f>
        <v>0.0248</v>
      </c>
      <c r="S314" s="246"/>
      <c r="T314" s="246">
        <f>ROUND(T313/$H313,4)</f>
        <v>0.1326</v>
      </c>
      <c r="V314" s="246">
        <f>SUM(J314:T314)</f>
        <v>1</v>
      </c>
      <c r="W314" s="191"/>
      <c r="Y314" s="231" t="s">
        <v>7</v>
      </c>
      <c r="Z314" s="140"/>
      <c r="AA314" s="151"/>
      <c r="AB314" s="135"/>
      <c r="AC314" s="154"/>
      <c r="AD314" s="135"/>
      <c r="AE314" s="246">
        <f>ROUND(AE313/$H313,4)</f>
        <v>0.4283</v>
      </c>
      <c r="AF314" s="246"/>
      <c r="AG314" s="246">
        <f>ROUND(AG313/$H313,4)</f>
        <v>0.1957</v>
      </c>
      <c r="AH314" s="246"/>
      <c r="AI314" s="246">
        <f>ROUND(AI313/$H313,4)</f>
        <v>0.1466</v>
      </c>
      <c r="AJ314" s="246"/>
      <c r="AK314" s="246">
        <f>ROUND(AK313/$H313,4)</f>
        <v>0.0279</v>
      </c>
      <c r="AL314" s="246"/>
      <c r="AM314" s="246">
        <f>ROUND(AM313/$H313,4)</f>
        <v>0.0674</v>
      </c>
      <c r="AN314" s="246"/>
      <c r="AO314" s="246">
        <f>ROUND(AO313/$H313,4)</f>
        <v>0.0015</v>
      </c>
      <c r="AP314" s="246"/>
      <c r="AQ314" s="246">
        <f>ROUND(AQ313/$H313,4)</f>
        <v>0.1326</v>
      </c>
      <c r="AS314" s="246">
        <f>SUM(AE314:AQ314)</f>
        <v>1</v>
      </c>
    </row>
    <row r="315" spans="4:45" ht="12.75">
      <c r="D315" s="231" t="s">
        <v>9</v>
      </c>
      <c r="H315" s="154">
        <f>+H298</f>
        <v>252209536.03999996</v>
      </c>
      <c r="J315" s="154">
        <f>+J298</f>
        <v>133357370.86770576</v>
      </c>
      <c r="K315" s="135"/>
      <c r="L315" s="154">
        <f>+L298</f>
        <v>53421826.003733866</v>
      </c>
      <c r="M315" s="135"/>
      <c r="N315" s="154">
        <f>+N298</f>
        <v>18301543.285090268</v>
      </c>
      <c r="O315" s="135"/>
      <c r="P315" s="154">
        <f>+P298</f>
        <v>10952473.863902664</v>
      </c>
      <c r="Q315" s="135"/>
      <c r="R315" s="154">
        <f>+R298</f>
        <v>7129269.2455804115</v>
      </c>
      <c r="T315" s="154">
        <f>+T298</f>
        <v>29047052.773987025</v>
      </c>
      <c r="V315" s="191">
        <f>SUM(J315:T315)-H315</f>
        <v>0</v>
      </c>
      <c r="W315" s="191"/>
      <c r="Y315" s="231" t="s">
        <v>9</v>
      </c>
      <c r="Z315" s="140"/>
      <c r="AA315" s="151"/>
      <c r="AB315" s="135"/>
      <c r="AC315" s="154">
        <f>+AC298</f>
        <v>252209536.03999996</v>
      </c>
      <c r="AD315" s="135"/>
      <c r="AE315" s="154">
        <f>+AE298</f>
        <v>110419137.57953498</v>
      </c>
      <c r="AF315" s="135"/>
      <c r="AG315" s="154">
        <f>+AG298</f>
        <v>55912900.04468033</v>
      </c>
      <c r="AH315" s="135"/>
      <c r="AI315" s="154">
        <f>+AI298</f>
        <v>25037285.942181647</v>
      </c>
      <c r="AJ315" s="135"/>
      <c r="AK315" s="154">
        <f>+AK298</f>
        <v>14625379.844471</v>
      </c>
      <c r="AL315" s="135"/>
      <c r="AM315" s="154">
        <f>+AM298</f>
        <v>16583876.077658001</v>
      </c>
      <c r="AN315" s="135"/>
      <c r="AO315" s="154">
        <f>+AO298</f>
        <v>583903.7774870001</v>
      </c>
      <c r="AP315" s="135"/>
      <c r="AQ315" s="154">
        <f>+AQ298</f>
        <v>29047052.773987025</v>
      </c>
      <c r="AS315" s="191">
        <f>SUM(AE315:AQ315)-AC315</f>
        <v>0</v>
      </c>
    </row>
    <row r="316" spans="4:45" ht="12.75">
      <c r="D316" s="231" t="s">
        <v>8</v>
      </c>
      <c r="J316" s="246">
        <f>ROUND(J315/$H315,4)-0.0001</f>
        <v>0.5287000000000001</v>
      </c>
      <c r="K316" s="246"/>
      <c r="L316" s="246">
        <f>ROUND(L315/$H315,4)</f>
        <v>0.2118</v>
      </c>
      <c r="M316" s="246"/>
      <c r="N316" s="246">
        <f>ROUND(N315/$H315,4)</f>
        <v>0.0726</v>
      </c>
      <c r="O316" s="246"/>
      <c r="P316" s="246">
        <f>ROUND(P315/$H315,4)</f>
        <v>0.0434</v>
      </c>
      <c r="Q316" s="246"/>
      <c r="R316" s="246">
        <f>ROUND(R315/$H315,4)</f>
        <v>0.0283</v>
      </c>
      <c r="S316" s="246"/>
      <c r="T316" s="246">
        <f>ROUND(T315/$H315,4)</f>
        <v>0.1152</v>
      </c>
      <c r="V316" s="246">
        <f>SUM(J316:T316)</f>
        <v>1</v>
      </c>
      <c r="W316" s="191"/>
      <c r="Y316" s="231" t="s">
        <v>8</v>
      </c>
      <c r="Z316" s="140"/>
      <c r="AA316" s="151"/>
      <c r="AB316" s="135"/>
      <c r="AC316" s="154"/>
      <c r="AD316" s="135"/>
      <c r="AE316" s="246">
        <f>ROUND(AE315/$H315,4)-0.0001</f>
        <v>0.43770000000000003</v>
      </c>
      <c r="AF316" s="246"/>
      <c r="AG316" s="246">
        <f>ROUND(AG315/$H315,4)</f>
        <v>0.2217</v>
      </c>
      <c r="AH316" s="246"/>
      <c r="AI316" s="246">
        <f>ROUND(AI315/$H315,4)</f>
        <v>0.0993</v>
      </c>
      <c r="AJ316" s="246"/>
      <c r="AK316" s="246">
        <f>ROUND(AK315/$H315,4)</f>
        <v>0.058</v>
      </c>
      <c r="AL316" s="246"/>
      <c r="AM316" s="246">
        <f>ROUND(AM315/$H315,4)</f>
        <v>0.0658</v>
      </c>
      <c r="AN316" s="246"/>
      <c r="AO316" s="246">
        <f>ROUND(AO315/$H315,4)</f>
        <v>0.0023</v>
      </c>
      <c r="AP316" s="246"/>
      <c r="AQ316" s="246">
        <f>ROUND(AQ315/$H315,4)</f>
        <v>0.1152</v>
      </c>
      <c r="AS316" s="246">
        <f>SUM(AE316:AQ316)</f>
        <v>0.9999999999999999</v>
      </c>
    </row>
    <row r="317" spans="4:45" ht="12.75">
      <c r="D317" s="231" t="s">
        <v>10</v>
      </c>
      <c r="H317" s="154">
        <f>+H24+H49+H84+H104+SUM(H107:H122)+SUM(H124:H125)+H175+H181+SUM(H185:H185)</f>
        <v>53093888.66000001</v>
      </c>
      <c r="J317" s="154">
        <f>+J24+J49+J84+J104+SUM(J107:J122)+SUM(J124:J125)+J175+J181+SUM(J185:J185)</f>
        <v>29594028.42941809</v>
      </c>
      <c r="K317" s="135"/>
      <c r="L317" s="154">
        <f>+L24+L49+L84+L104+SUM(L107:L122)+SUM(L124:L125)+L175+L181+SUM(L185:L185)</f>
        <v>10954993.552705951</v>
      </c>
      <c r="M317" s="135"/>
      <c r="N317" s="154">
        <f>+N24+N49+N84+N104+SUM(N107:N122)+SUM(N124:N125)+N175+N181+SUM(N185:N185)</f>
        <v>3657495.9629802173</v>
      </c>
      <c r="O317" s="135"/>
      <c r="P317" s="154">
        <f>+P24+P49+P84+P104+SUM(P107:P122)+SUM(P124:P125)+P175+P181+SUM(P185:P185)</f>
        <v>2210873.4662737213</v>
      </c>
      <c r="Q317" s="135"/>
      <c r="R317" s="154">
        <f>+R24+R49+R84+R104+SUM(R107:R122)+SUM(R124:R125)+R175+R181+SUM(R185:R185)</f>
        <v>1374754.5977240002</v>
      </c>
      <c r="S317" s="135"/>
      <c r="T317" s="154">
        <f>+T24+T49+T84+T104+SUM(T107:T122)+SUM(T124:T125)+T175+T181+SUM(T185:T185)</f>
        <v>5301742.650898021</v>
      </c>
      <c r="U317" s="135"/>
      <c r="V317" s="191">
        <f>SUM(J317:T317)-H317</f>
        <v>0</v>
      </c>
      <c r="W317" s="191"/>
      <c r="Y317" s="231" t="s">
        <v>10</v>
      </c>
      <c r="Z317" s="140"/>
      <c r="AA317" s="151"/>
      <c r="AB317" s="135"/>
      <c r="AC317" s="154">
        <f>+AC24+AC49+AC84+AC104+SUM(AC107:AC122)+SUM(AC124:AC125)+AC175+AC181+SUM(AC185:AC185)</f>
        <v>53093888.66000001</v>
      </c>
      <c r="AD317" s="135"/>
      <c r="AE317" s="154">
        <f>+AE24+AE49+AE84+AE104+SUM(AE107:AE122)+SUM(AE124:AE125)+AE175+AE181+SUM(AE185:AE185)</f>
        <v>23270779.68550836</v>
      </c>
      <c r="AF317" s="135"/>
      <c r="AG317" s="154">
        <f>+AG24+AG49+AG84+AG104+SUM(AG107:AG122)+SUM(AG124:AG125)+AG175+AG181+SUM(AG185:AG185)</f>
        <v>9063290.401929807</v>
      </c>
      <c r="AH317" s="135"/>
      <c r="AI317" s="154">
        <f>+AI24+AI49+AI84+AI104+SUM(AI107:AI122)+SUM(AI124:AI125)+AI175+AI181+SUM(AI185:AI185)</f>
        <v>5733868.446035427</v>
      </c>
      <c r="AJ317" s="135"/>
      <c r="AK317" s="154">
        <f>+AK24+AK49+AK84+AK104+SUM(AK107:AK122)+SUM(AK124:AK125)+AK175+AK181+SUM(AK185:AK185)</f>
        <v>3109514.926033646</v>
      </c>
      <c r="AL317" s="135"/>
      <c r="AM317" s="154">
        <f>+AM24+AM49+AM84+AM104+SUM(AM107:AM122)+SUM(AM124:AM125)+AM175+AM181+SUM(AM185:AM185)</f>
        <v>3435993.936565136</v>
      </c>
      <c r="AN317" s="135"/>
      <c r="AO317" s="154">
        <f>+AO24+AO49+AO84+AO104+SUM(AO107:AO122)+SUM(AO124:AO125)+AO175+AO181+SUM(AO185:AO185)</f>
        <v>3178698.6130296076</v>
      </c>
      <c r="AP317" s="135"/>
      <c r="AQ317" s="154">
        <f>+AQ24+AQ49+AQ84+AQ104+SUM(AQ107:AQ122)+SUM(AQ124:AQ125)+AQ175+AQ181+SUM(AQ185:AQ185)</f>
        <v>5301742.650898021</v>
      </c>
      <c r="AS317" s="191">
        <f>SUM(AE317:AQ317)-AC317</f>
        <v>0</v>
      </c>
    </row>
    <row r="318" spans="4:45" ht="12.75">
      <c r="D318" s="231" t="s">
        <v>11</v>
      </c>
      <c r="J318" s="246">
        <f>ROUND(J317/$H317,4)</f>
        <v>0.5574</v>
      </c>
      <c r="K318" s="246"/>
      <c r="L318" s="246">
        <f>ROUND(L317/$H317,4)</f>
        <v>0.2063</v>
      </c>
      <c r="M318" s="246"/>
      <c r="N318" s="246">
        <f>ROUND(N317/$H317,4)</f>
        <v>0.0689</v>
      </c>
      <c r="O318" s="246"/>
      <c r="P318" s="246">
        <f>ROUND(P317/$H317,4)</f>
        <v>0.0416</v>
      </c>
      <c r="Q318" s="246"/>
      <c r="R318" s="246">
        <f>ROUND(R317/$H317,4)</f>
        <v>0.0259</v>
      </c>
      <c r="S318" s="246"/>
      <c r="T318" s="246">
        <f>ROUND(T317/$H317,4)</f>
        <v>0.0999</v>
      </c>
      <c r="V318" s="246">
        <f>SUM(J318:T318)</f>
        <v>1</v>
      </c>
      <c r="W318" s="191"/>
      <c r="Y318" s="231" t="s">
        <v>11</v>
      </c>
      <c r="Z318" s="140"/>
      <c r="AA318" s="151"/>
      <c r="AB318" s="135"/>
      <c r="AC318" s="154"/>
      <c r="AD318" s="135"/>
      <c r="AE318" s="246">
        <f>ROUND(AE317/$H317,4)-0.0001</f>
        <v>0.43820000000000003</v>
      </c>
      <c r="AF318" s="246"/>
      <c r="AG318" s="246">
        <f>ROUND(AG317/$H317,4)</f>
        <v>0.1707</v>
      </c>
      <c r="AH318" s="246"/>
      <c r="AI318" s="246">
        <f>ROUND(AI317/$H317,4)</f>
        <v>0.108</v>
      </c>
      <c r="AJ318" s="246"/>
      <c r="AK318" s="246">
        <f>ROUND(AK317/$H317,4)</f>
        <v>0.0586</v>
      </c>
      <c r="AL318" s="246"/>
      <c r="AM318" s="246">
        <f>ROUND(AM317/$H317,4)</f>
        <v>0.0647</v>
      </c>
      <c r="AN318" s="246"/>
      <c r="AO318" s="246">
        <f>ROUND(AO317/$H317,4)</f>
        <v>0.0599</v>
      </c>
      <c r="AP318" s="246"/>
      <c r="AQ318" s="246">
        <f>ROUND(AQ317/$H317,4)</f>
        <v>0.0999</v>
      </c>
      <c r="AS318" s="246">
        <f>SUM(AE318:AQ318)</f>
        <v>0.9999999999999999</v>
      </c>
    </row>
    <row r="319" spans="4:23" ht="12.75">
      <c r="D319" s="231"/>
      <c r="J319" s="246"/>
      <c r="K319" s="246"/>
      <c r="L319" s="246"/>
      <c r="M319" s="246"/>
      <c r="N319" s="246"/>
      <c r="O319" s="246"/>
      <c r="P319" s="246"/>
      <c r="Q319" s="246"/>
      <c r="R319" s="246"/>
      <c r="S319" s="246"/>
      <c r="T319" s="246"/>
      <c r="V319" s="246"/>
      <c r="W319" s="191"/>
    </row>
    <row r="320" spans="4:23" ht="12.75">
      <c r="D320" s="231"/>
      <c r="J320" s="246"/>
      <c r="K320" s="246"/>
      <c r="L320" s="246"/>
      <c r="M320" s="246"/>
      <c r="N320" s="246"/>
      <c r="O320" s="246"/>
      <c r="P320" s="246"/>
      <c r="Q320" s="246"/>
      <c r="R320" s="246"/>
      <c r="S320" s="246"/>
      <c r="T320" s="246"/>
      <c r="V320" s="246"/>
      <c r="W320" s="191"/>
    </row>
    <row r="321" spans="4:23" ht="12.75">
      <c r="D321" s="231"/>
      <c r="J321" s="246"/>
      <c r="K321" s="246"/>
      <c r="L321" s="246"/>
      <c r="M321" s="246"/>
      <c r="N321" s="246"/>
      <c r="O321" s="246"/>
      <c r="P321" s="246"/>
      <c r="Q321" s="246"/>
      <c r="R321" s="246"/>
      <c r="S321" s="246"/>
      <c r="T321" s="246"/>
      <c r="V321" s="246"/>
      <c r="W321" s="191"/>
    </row>
    <row r="322" spans="22:37" ht="12.75">
      <c r="V322" s="233"/>
      <c r="X322" s="235"/>
      <c r="Y322" s="137"/>
      <c r="Z322" s="235"/>
      <c r="AA322" s="235"/>
      <c r="AB322" s="235"/>
      <c r="AC322" s="235"/>
      <c r="AD322" s="235"/>
      <c r="AE322" s="235"/>
      <c r="AF322" s="235"/>
      <c r="AG322" s="235"/>
      <c r="AH322" s="235"/>
      <c r="AI322" s="235"/>
      <c r="AJ322" s="235"/>
      <c r="AK322" s="235"/>
    </row>
    <row r="323" spans="10:37" ht="12.75">
      <c r="J323" s="234" t="s">
        <v>44</v>
      </c>
      <c r="V323" s="233"/>
      <c r="X323" s="235"/>
      <c r="Y323" s="137"/>
      <c r="Z323" s="235"/>
      <c r="AA323" s="235"/>
      <c r="AB323" s="235"/>
      <c r="AC323" s="235"/>
      <c r="AD323" s="235"/>
      <c r="AE323" s="235"/>
      <c r="AF323" s="235"/>
      <c r="AG323" s="235"/>
      <c r="AH323" s="235"/>
      <c r="AI323" s="235"/>
      <c r="AJ323" s="235"/>
      <c r="AK323" s="235"/>
    </row>
    <row r="324" spans="4:43" ht="12.75">
      <c r="D324" s="457"/>
      <c r="I324" s="235"/>
      <c r="J324" s="236">
        <v>2</v>
      </c>
      <c r="K324" s="235"/>
      <c r="L324" s="235">
        <v>4</v>
      </c>
      <c r="M324" s="235"/>
      <c r="N324" s="235">
        <v>6</v>
      </c>
      <c r="O324" s="235"/>
      <c r="P324" s="235">
        <v>8</v>
      </c>
      <c r="Q324" s="235"/>
      <c r="R324" s="235">
        <v>10</v>
      </c>
      <c r="S324" s="235"/>
      <c r="T324" s="235">
        <v>12</v>
      </c>
      <c r="U324" s="235"/>
      <c r="V324" s="235">
        <v>14</v>
      </c>
      <c r="AE324" s="267">
        <v>2</v>
      </c>
      <c r="AF324" s="267"/>
      <c r="AG324" s="267">
        <v>4</v>
      </c>
      <c r="AH324" s="267"/>
      <c r="AI324" s="267">
        <v>6</v>
      </c>
      <c r="AJ324" s="267"/>
      <c r="AK324" s="267">
        <v>8</v>
      </c>
      <c r="AL324" s="267"/>
      <c r="AM324" s="267">
        <v>10</v>
      </c>
      <c r="AN324" s="267"/>
      <c r="AO324" s="267">
        <v>12</v>
      </c>
      <c r="AP324" s="267"/>
      <c r="AQ324" s="267">
        <v>14</v>
      </c>
    </row>
    <row r="325" spans="4:43" ht="12.75">
      <c r="D325" s="457"/>
      <c r="I325" s="233"/>
      <c r="J325" s="237" t="s">
        <v>61</v>
      </c>
      <c r="K325" s="235"/>
      <c r="L325" s="238" t="s">
        <v>62</v>
      </c>
      <c r="M325" s="235"/>
      <c r="N325" s="238" t="s">
        <v>63</v>
      </c>
      <c r="O325" s="235"/>
      <c r="P325" s="238" t="s">
        <v>47</v>
      </c>
      <c r="Q325" s="235"/>
      <c r="R325" s="238" t="s">
        <v>182</v>
      </c>
      <c r="S325" s="235"/>
      <c r="T325" s="238" t="s">
        <v>293</v>
      </c>
      <c r="U325" s="235"/>
      <c r="V325" s="238" t="s">
        <v>184</v>
      </c>
      <c r="AE325" s="268"/>
      <c r="AF325" s="268"/>
      <c r="AG325" s="268"/>
      <c r="AH325" s="268"/>
      <c r="AI325" s="268"/>
      <c r="AJ325" s="268"/>
      <c r="AK325" s="268"/>
      <c r="AL325" s="268"/>
      <c r="AM325" s="268"/>
      <c r="AN325" s="268"/>
      <c r="AO325" s="268" t="s">
        <v>291</v>
      </c>
      <c r="AP325" s="268"/>
      <c r="AQ325" s="268" t="s">
        <v>293</v>
      </c>
    </row>
    <row r="326" spans="4:43" ht="12.75">
      <c r="D326" s="457"/>
      <c r="I326" s="233"/>
      <c r="J326" s="236"/>
      <c r="K326" s="233"/>
      <c r="L326" s="233"/>
      <c r="M326" s="233"/>
      <c r="N326" s="233"/>
      <c r="O326" s="233"/>
      <c r="P326" s="233"/>
      <c r="Q326" s="233"/>
      <c r="R326" s="233"/>
      <c r="S326" s="233"/>
      <c r="T326" s="233"/>
      <c r="U326" s="233"/>
      <c r="V326" s="233"/>
      <c r="AE326" s="268" t="s">
        <v>288</v>
      </c>
      <c r="AF326" s="268"/>
      <c r="AG326" s="268" t="s">
        <v>289</v>
      </c>
      <c r="AH326" s="268"/>
      <c r="AI326" s="268" t="s">
        <v>290</v>
      </c>
      <c r="AJ326" s="268"/>
      <c r="AK326" s="268" t="s">
        <v>260</v>
      </c>
      <c r="AL326" s="268"/>
      <c r="AM326" s="268" t="s">
        <v>189</v>
      </c>
      <c r="AN326" s="268"/>
      <c r="AO326" s="268" t="s">
        <v>292</v>
      </c>
      <c r="AP326" s="268"/>
      <c r="AQ326" s="268" t="s">
        <v>185</v>
      </c>
    </row>
    <row r="327" spans="4:22" ht="12.75">
      <c r="D327" s="457"/>
      <c r="I327" s="233"/>
      <c r="J327" s="236"/>
      <c r="K327" s="233"/>
      <c r="L327" s="239"/>
      <c r="M327" s="233"/>
      <c r="N327" s="239"/>
      <c r="O327" s="233"/>
      <c r="P327" s="239"/>
      <c r="Q327" s="233"/>
      <c r="R327" s="239"/>
      <c r="S327" s="233"/>
      <c r="T327" s="239"/>
      <c r="U327" s="233"/>
      <c r="V327" s="239"/>
    </row>
    <row r="328" spans="4:45" ht="12.75">
      <c r="D328" s="457"/>
      <c r="I328" s="233">
        <v>1</v>
      </c>
      <c r="J328" s="242">
        <f>'F 1-2'!K16</f>
        <v>0.5229</v>
      </c>
      <c r="K328" s="242"/>
      <c r="L328" s="242">
        <f>'F 1-2'!K17</f>
        <v>0.2606</v>
      </c>
      <c r="M328" s="242"/>
      <c r="N328" s="242">
        <f>'F 1-2'!K18</f>
        <v>0.1031</v>
      </c>
      <c r="O328" s="242"/>
      <c r="P328" s="242">
        <f>'F 1-2'!K19</f>
        <v>0.0584</v>
      </c>
      <c r="Q328" s="242"/>
      <c r="R328" s="242">
        <f>'F 1-2'!K20</f>
        <v>0.049</v>
      </c>
      <c r="S328" s="242"/>
      <c r="T328" s="242">
        <f>'F 1-2'!K22</f>
        <v>0.006</v>
      </c>
      <c r="U328" s="240"/>
      <c r="V328" s="240">
        <f aca="true" t="shared" si="155" ref="V328:V337">SUM(J328:U328)</f>
        <v>1</v>
      </c>
      <c r="AD328" s="233">
        <v>1</v>
      </c>
      <c r="AE328" s="266">
        <f>1-AQ328</f>
        <v>0.994</v>
      </c>
      <c r="AF328" s="266"/>
      <c r="AG328" s="266">
        <v>0</v>
      </c>
      <c r="AH328" s="266"/>
      <c r="AI328" s="266">
        <v>0</v>
      </c>
      <c r="AJ328" s="266"/>
      <c r="AK328" s="266">
        <v>0</v>
      </c>
      <c r="AL328" s="266"/>
      <c r="AM328" s="266">
        <v>0</v>
      </c>
      <c r="AN328" s="266"/>
      <c r="AO328" s="266">
        <v>0</v>
      </c>
      <c r="AP328" s="266"/>
      <c r="AQ328" s="266">
        <f>+'F 1-2'!K21+'F 1-2'!K22</f>
        <v>0.006</v>
      </c>
      <c r="AR328" s="266"/>
      <c r="AS328" s="266">
        <f>SUM(AE328:AQ328)</f>
        <v>1</v>
      </c>
    </row>
    <row r="329" spans="4:45" ht="12.75">
      <c r="D329" s="457"/>
      <c r="I329" s="233">
        <v>2</v>
      </c>
      <c r="J329" s="242">
        <f>'F 1-2'!M39</f>
        <v>0.5464</v>
      </c>
      <c r="K329" s="242"/>
      <c r="L329" s="242">
        <f>'F 1-2'!M40</f>
        <v>0.2519</v>
      </c>
      <c r="M329" s="242"/>
      <c r="N329" s="242">
        <f>'F 1-2'!M41</f>
        <v>0.0969</v>
      </c>
      <c r="O329" s="242"/>
      <c r="P329" s="242">
        <f>'F 1-2'!M42</f>
        <v>0.0549</v>
      </c>
      <c r="Q329" s="242"/>
      <c r="R329" s="242">
        <f>'F 1-2'!M43</f>
        <v>0.0461</v>
      </c>
      <c r="S329" s="242"/>
      <c r="T329" s="242">
        <f>'F 1-2'!M45</f>
        <v>0.0038</v>
      </c>
      <c r="U329" s="240"/>
      <c r="V329" s="240">
        <f t="shared" si="155"/>
        <v>1</v>
      </c>
      <c r="AD329" s="233">
        <v>2</v>
      </c>
      <c r="AE329" s="266">
        <f>+'F 2 B'!H33-'COS 1'!AQ329</f>
        <v>0.6212</v>
      </c>
      <c r="AF329" s="266"/>
      <c r="AG329" s="266">
        <f>+'F 2 B'!H35</f>
        <v>0.375</v>
      </c>
      <c r="AH329" s="266"/>
      <c r="AI329" s="266">
        <v>0</v>
      </c>
      <c r="AJ329" s="266"/>
      <c r="AK329" s="266">
        <v>0</v>
      </c>
      <c r="AL329" s="266"/>
      <c r="AM329" s="266">
        <v>0</v>
      </c>
      <c r="AN329" s="266"/>
      <c r="AO329" s="266">
        <v>0</v>
      </c>
      <c r="AP329" s="266"/>
      <c r="AQ329" s="266">
        <f>+'F 1-2'!G44+'F 1-2'!G45</f>
        <v>0.0038</v>
      </c>
      <c r="AR329" s="266"/>
      <c r="AS329" s="266">
        <f aca="true" t="shared" si="156" ref="AS329:AS348">SUM(AE329:AQ329)</f>
        <v>1</v>
      </c>
    </row>
    <row r="330" spans="4:45" ht="12.75">
      <c r="D330" s="457"/>
      <c r="I330" s="233">
        <v>3</v>
      </c>
      <c r="J330" s="242">
        <f>'F 3-4'!P19</f>
        <v>0.46890000000000004</v>
      </c>
      <c r="K330" s="242"/>
      <c r="L330" s="242">
        <f>'F 3-4'!P20</f>
        <v>0.21610000000000001</v>
      </c>
      <c r="M330" s="242"/>
      <c r="N330" s="242">
        <f>'F 3-4'!P21</f>
        <v>0.0832</v>
      </c>
      <c r="O330" s="242"/>
      <c r="P330" s="242">
        <f>'F 3-4'!P22</f>
        <v>0.0471</v>
      </c>
      <c r="Q330" s="242"/>
      <c r="R330" s="242">
        <f>'F 3-4'!P23</f>
        <v>0.039599999999999996</v>
      </c>
      <c r="S330" s="242"/>
      <c r="T330" s="242">
        <f>'F 3-4'!P24</f>
        <v>0.1451</v>
      </c>
      <c r="U330" s="240"/>
      <c r="V330" s="240">
        <f t="shared" si="155"/>
        <v>1</v>
      </c>
      <c r="AD330" s="233">
        <v>3</v>
      </c>
      <c r="AE330" s="266">
        <f>+'F 3-4'!F17-'F 3-4'!F24</f>
        <v>0.5332</v>
      </c>
      <c r="AF330" s="266"/>
      <c r="AG330" s="266">
        <f>+'F 3-4'!J17</f>
        <v>0.3217</v>
      </c>
      <c r="AH330" s="266"/>
      <c r="AI330" s="266">
        <v>0</v>
      </c>
      <c r="AJ330" s="266"/>
      <c r="AK330" s="266">
        <v>0</v>
      </c>
      <c r="AL330" s="266"/>
      <c r="AM330" s="266">
        <v>0</v>
      </c>
      <c r="AN330" s="266"/>
      <c r="AO330" s="266">
        <v>0</v>
      </c>
      <c r="AP330" s="266"/>
      <c r="AQ330" s="266">
        <f>+'F 3-4'!P24</f>
        <v>0.1451</v>
      </c>
      <c r="AR330" s="266"/>
      <c r="AS330" s="266">
        <f t="shared" si="156"/>
        <v>1</v>
      </c>
    </row>
    <row r="331" spans="4:45" ht="12.75">
      <c r="D331" s="457"/>
      <c r="I331" s="233">
        <v>4</v>
      </c>
      <c r="J331" s="242">
        <f>'F 3-4'!R48</f>
        <v>0.483</v>
      </c>
      <c r="K331" s="242"/>
      <c r="L331" s="242">
        <f>'F 3-4'!R49</f>
        <v>0.2031</v>
      </c>
      <c r="M331" s="242"/>
      <c r="N331" s="242">
        <f>'F 3-4'!R50</f>
        <v>0.0655</v>
      </c>
      <c r="O331" s="242"/>
      <c r="P331" s="242">
        <f>'F 3-4'!R51</f>
        <v>0.037099999999999994</v>
      </c>
      <c r="Q331" s="242"/>
      <c r="R331" s="242">
        <f>'F 3-4'!R52</f>
        <v>0</v>
      </c>
      <c r="S331" s="242"/>
      <c r="T331" s="242">
        <f>'F 3-4'!R54</f>
        <v>0.2113</v>
      </c>
      <c r="U331" s="240"/>
      <c r="V331" s="240">
        <f t="shared" si="155"/>
        <v>1</v>
      </c>
      <c r="AD331" s="233">
        <v>4</v>
      </c>
      <c r="AE331" s="266">
        <f>+'F 3-4'!H46-'F 3-4'!H53-'F 3-4'!H54</f>
        <v>0.3274</v>
      </c>
      <c r="AF331" s="266"/>
      <c r="AG331" s="266">
        <v>0</v>
      </c>
      <c r="AH331" s="266"/>
      <c r="AI331" s="266">
        <f>+'F 3-4'!L46</f>
        <v>0.4613</v>
      </c>
      <c r="AJ331" s="266"/>
      <c r="AK331" s="266">
        <v>0</v>
      </c>
      <c r="AL331" s="266"/>
      <c r="AM331" s="266">
        <v>0</v>
      </c>
      <c r="AN331" s="266"/>
      <c r="AO331" s="266">
        <v>0</v>
      </c>
      <c r="AP331" s="266"/>
      <c r="AQ331" s="266">
        <f>+'F 3-4'!R54</f>
        <v>0.2113</v>
      </c>
      <c r="AR331" s="266"/>
      <c r="AS331" s="266">
        <f t="shared" si="156"/>
        <v>1</v>
      </c>
    </row>
    <row r="332" spans="4:45" ht="12.75">
      <c r="D332" s="457"/>
      <c r="I332" s="233">
        <v>5</v>
      </c>
      <c r="J332" s="242">
        <f>'F 5'!R18</f>
        <v>0.42569999999999997</v>
      </c>
      <c r="K332" s="242"/>
      <c r="L332" s="242">
        <f>'F 5'!R19</f>
        <v>0.17880000000000001</v>
      </c>
      <c r="M332" s="242"/>
      <c r="N332" s="242">
        <f>'F 5'!R20</f>
        <v>0.057499999999999996</v>
      </c>
      <c r="O332" s="242"/>
      <c r="P332" s="242">
        <f>'F 5'!R21</f>
        <v>0.032600000000000004</v>
      </c>
      <c r="Q332" s="242"/>
      <c r="R332" s="242">
        <f>'F 5'!R22</f>
        <v>0.0273</v>
      </c>
      <c r="S332" s="242"/>
      <c r="T332" s="242">
        <f>'F 5'!R23</f>
        <v>0.2781</v>
      </c>
      <c r="U332" s="240"/>
      <c r="V332" s="240">
        <f t="shared" si="155"/>
        <v>1</v>
      </c>
      <c r="AD332" s="233">
        <v>5</v>
      </c>
      <c r="AE332" s="266">
        <f>+'F 5'!H16-'F 5'!H23</f>
        <v>0.29969999999999997</v>
      </c>
      <c r="AF332" s="266"/>
      <c r="AG332" s="266">
        <v>0</v>
      </c>
      <c r="AH332" s="266"/>
      <c r="AI332" s="266">
        <f>+'F 5'!L16</f>
        <v>0.4222</v>
      </c>
      <c r="AJ332" s="266"/>
      <c r="AK332" s="266">
        <v>0</v>
      </c>
      <c r="AL332" s="266"/>
      <c r="AM332" s="266">
        <v>0</v>
      </c>
      <c r="AN332" s="266"/>
      <c r="AO332" s="266">
        <v>0</v>
      </c>
      <c r="AP332" s="266"/>
      <c r="AQ332" s="266">
        <f>+'F 5'!R23</f>
        <v>0.2781</v>
      </c>
      <c r="AR332" s="266"/>
      <c r="AS332" s="266">
        <f t="shared" si="156"/>
        <v>1</v>
      </c>
    </row>
    <row r="333" spans="4:45" ht="12.75">
      <c r="D333" s="457"/>
      <c r="I333" s="233"/>
      <c r="J333" s="242"/>
      <c r="K333" s="242"/>
      <c r="L333" s="242"/>
      <c r="M333" s="242"/>
      <c r="N333" s="242"/>
      <c r="O333" s="242"/>
      <c r="P333" s="242"/>
      <c r="Q333" s="242"/>
      <c r="R333" s="242"/>
      <c r="S333" s="242"/>
      <c r="T333" s="242"/>
      <c r="U333" s="240"/>
      <c r="V333" s="240"/>
      <c r="AD333" s="233"/>
      <c r="AE333" s="266"/>
      <c r="AF333" s="266"/>
      <c r="AG333" s="266"/>
      <c r="AH333" s="266"/>
      <c r="AI333" s="266"/>
      <c r="AJ333" s="266"/>
      <c r="AK333" s="266"/>
      <c r="AL333" s="266"/>
      <c r="AM333" s="266"/>
      <c r="AN333" s="266"/>
      <c r="AO333" s="266"/>
      <c r="AP333" s="266"/>
      <c r="AQ333" s="266"/>
      <c r="AR333" s="266"/>
      <c r="AS333" s="266"/>
    </row>
    <row r="334" spans="9:45" ht="12.75">
      <c r="I334" s="233">
        <v>6</v>
      </c>
      <c r="J334" s="242">
        <f>'F6'!N18</f>
        <v>0.47959999999999997</v>
      </c>
      <c r="K334" s="242"/>
      <c r="L334" s="242">
        <f>'F6'!N19</f>
        <v>0.20629999999999998</v>
      </c>
      <c r="M334" s="242"/>
      <c r="N334" s="242">
        <f>'F6'!N20</f>
        <v>0.0698</v>
      </c>
      <c r="O334" s="242"/>
      <c r="P334" s="242">
        <f>'F6'!N21</f>
        <v>0.0395</v>
      </c>
      <c r="Q334" s="242"/>
      <c r="R334" s="242">
        <f>'F6'!N22</f>
        <v>0.0097</v>
      </c>
      <c r="S334" s="242"/>
      <c r="T334" s="242">
        <f>'F6'!N23</f>
        <v>0.1951</v>
      </c>
      <c r="U334" s="240"/>
      <c r="V334" s="240">
        <f t="shared" si="155"/>
        <v>1</v>
      </c>
      <c r="AD334" s="233">
        <v>6</v>
      </c>
      <c r="AE334" s="266">
        <f>+'F6'!Y17</f>
        <v>0.3779</v>
      </c>
      <c r="AF334" s="266"/>
      <c r="AG334" s="266">
        <f>+'F6'!Y18</f>
        <v>0.0788</v>
      </c>
      <c r="AH334" s="266"/>
      <c r="AI334" s="266">
        <f>+'F6'!Y19</f>
        <v>0.3482</v>
      </c>
      <c r="AJ334" s="266"/>
      <c r="AK334" s="266"/>
      <c r="AL334" s="266"/>
      <c r="AM334" s="266"/>
      <c r="AN334" s="266"/>
      <c r="AO334" s="266"/>
      <c r="AP334" s="266"/>
      <c r="AQ334" s="266">
        <f>+'F6'!Y20+'F6'!Y21</f>
        <v>0.1951</v>
      </c>
      <c r="AR334" s="266"/>
      <c r="AS334" s="266">
        <f t="shared" si="156"/>
        <v>1</v>
      </c>
    </row>
    <row r="335" spans="9:45" ht="12.75">
      <c r="I335" s="233">
        <v>7</v>
      </c>
      <c r="J335" s="242">
        <v>0</v>
      </c>
      <c r="K335" s="242"/>
      <c r="L335" s="242">
        <v>0</v>
      </c>
      <c r="M335" s="242"/>
      <c r="N335" s="242">
        <v>0</v>
      </c>
      <c r="O335" s="242"/>
      <c r="P335" s="242">
        <v>0</v>
      </c>
      <c r="Q335" s="242"/>
      <c r="R335" s="242">
        <v>0</v>
      </c>
      <c r="S335" s="242"/>
      <c r="T335" s="242">
        <v>1</v>
      </c>
      <c r="U335" s="240"/>
      <c r="V335" s="240">
        <f t="shared" si="155"/>
        <v>1</v>
      </c>
      <c r="AD335" s="233">
        <v>7</v>
      </c>
      <c r="AE335" s="266">
        <v>0</v>
      </c>
      <c r="AF335" s="266"/>
      <c r="AG335" s="266">
        <v>0</v>
      </c>
      <c r="AH335" s="266"/>
      <c r="AI335" s="266">
        <v>0</v>
      </c>
      <c r="AJ335" s="266"/>
      <c r="AK335" s="266">
        <v>0</v>
      </c>
      <c r="AL335" s="266"/>
      <c r="AM335" s="266">
        <v>0</v>
      </c>
      <c r="AN335" s="266"/>
      <c r="AO335" s="266">
        <v>0</v>
      </c>
      <c r="AP335" s="266"/>
      <c r="AQ335" s="266">
        <f>+'F7-9'!F15</f>
        <v>1</v>
      </c>
      <c r="AR335" s="266"/>
      <c r="AS335" s="266">
        <f t="shared" si="156"/>
        <v>1</v>
      </c>
    </row>
    <row r="336" spans="9:45" ht="12.75">
      <c r="I336" s="233">
        <v>8</v>
      </c>
      <c r="J336" s="242">
        <f>'F7-9'!F29</f>
        <v>0.7768</v>
      </c>
      <c r="K336" s="242"/>
      <c r="L336" s="242">
        <f>'F7-9'!F30</f>
        <v>0.1786</v>
      </c>
      <c r="M336" s="242"/>
      <c r="N336" s="242">
        <f>'F7-9'!F31</f>
        <v>0.0138</v>
      </c>
      <c r="O336" s="242"/>
      <c r="P336" s="242">
        <f>'F7-9'!F32</f>
        <v>0.03</v>
      </c>
      <c r="Q336" s="242"/>
      <c r="R336" s="242">
        <f>'F7-9'!F33</f>
        <v>0.0008</v>
      </c>
      <c r="S336" s="242"/>
      <c r="T336" s="242">
        <v>0</v>
      </c>
      <c r="U336" s="240"/>
      <c r="V336" s="240">
        <f t="shared" si="155"/>
        <v>1</v>
      </c>
      <c r="AD336" s="233">
        <v>8</v>
      </c>
      <c r="AE336" s="266">
        <v>0</v>
      </c>
      <c r="AF336" s="266"/>
      <c r="AG336" s="266">
        <v>0</v>
      </c>
      <c r="AH336" s="266"/>
      <c r="AI336" s="266">
        <v>0</v>
      </c>
      <c r="AJ336" s="266"/>
      <c r="AK336" s="266">
        <v>1</v>
      </c>
      <c r="AL336" s="266"/>
      <c r="AM336" s="266">
        <v>0</v>
      </c>
      <c r="AN336" s="266"/>
      <c r="AO336" s="266">
        <v>0</v>
      </c>
      <c r="AP336" s="266"/>
      <c r="AQ336" s="266">
        <v>0</v>
      </c>
      <c r="AR336" s="266"/>
      <c r="AS336" s="266">
        <f t="shared" si="156"/>
        <v>1</v>
      </c>
    </row>
    <row r="337" spans="9:45" ht="12.75">
      <c r="I337" s="233">
        <v>9</v>
      </c>
      <c r="J337" s="242">
        <f>'F7-9'!F51</f>
        <v>0.8383</v>
      </c>
      <c r="K337" s="242"/>
      <c r="L337" s="242">
        <f>'F7-9'!F52</f>
        <v>0.1353</v>
      </c>
      <c r="M337" s="242"/>
      <c r="N337" s="242">
        <f>'F7-9'!F53</f>
        <v>0.0067</v>
      </c>
      <c r="O337" s="242"/>
      <c r="P337" s="242">
        <f>'F7-9'!F54</f>
        <v>0.0194</v>
      </c>
      <c r="Q337" s="242"/>
      <c r="R337" s="242">
        <f>'F7-9'!F55</f>
        <v>0.0003</v>
      </c>
      <c r="S337" s="242"/>
      <c r="T337" s="242">
        <v>0</v>
      </c>
      <c r="U337" s="240"/>
      <c r="V337" s="240">
        <f t="shared" si="155"/>
        <v>1</v>
      </c>
      <c r="AD337" s="233">
        <v>9</v>
      </c>
      <c r="AE337" s="266">
        <v>0</v>
      </c>
      <c r="AF337" s="266"/>
      <c r="AG337" s="266">
        <v>0</v>
      </c>
      <c r="AH337" s="266"/>
      <c r="AI337" s="266">
        <v>0</v>
      </c>
      <c r="AJ337" s="266"/>
      <c r="AK337" s="266">
        <v>0</v>
      </c>
      <c r="AL337" s="266"/>
      <c r="AM337" s="266">
        <f>1-AQ337</f>
        <v>1</v>
      </c>
      <c r="AN337" s="266"/>
      <c r="AO337" s="266">
        <v>0</v>
      </c>
      <c r="AP337" s="266"/>
      <c r="AQ337" s="266"/>
      <c r="AR337" s="266"/>
      <c r="AS337" s="266">
        <f t="shared" si="156"/>
        <v>1</v>
      </c>
    </row>
    <row r="338" spans="9:45" ht="12.75">
      <c r="I338" s="233"/>
      <c r="J338" s="243"/>
      <c r="K338" s="243"/>
      <c r="L338" s="243"/>
      <c r="M338" s="243"/>
      <c r="N338" s="243"/>
      <c r="O338" s="243"/>
      <c r="P338" s="243"/>
      <c r="Q338" s="243"/>
      <c r="R338" s="243"/>
      <c r="S338" s="243"/>
      <c r="T338" s="243"/>
      <c r="U338" s="241"/>
      <c r="V338" s="240"/>
      <c r="AD338" s="233"/>
      <c r="AE338" s="266">
        <f>+AE304</f>
        <v>0</v>
      </c>
      <c r="AF338" s="266">
        <f aca="true" t="shared" si="157" ref="AF338:AQ338">+AF304</f>
        <v>0</v>
      </c>
      <c r="AG338" s="266">
        <f t="shared" si="157"/>
        <v>0</v>
      </c>
      <c r="AH338" s="266">
        <f t="shared" si="157"/>
        <v>0</v>
      </c>
      <c r="AI338" s="266">
        <f t="shared" si="157"/>
        <v>0</v>
      </c>
      <c r="AJ338" s="266">
        <f t="shared" si="157"/>
        <v>0</v>
      </c>
      <c r="AK338" s="266">
        <f t="shared" si="157"/>
        <v>0</v>
      </c>
      <c r="AL338" s="266">
        <f t="shared" si="157"/>
        <v>0</v>
      </c>
      <c r="AM338" s="266">
        <f t="shared" si="157"/>
        <v>0</v>
      </c>
      <c r="AN338" s="266">
        <f t="shared" si="157"/>
        <v>0</v>
      </c>
      <c r="AO338" s="266">
        <f t="shared" si="157"/>
        <v>0</v>
      </c>
      <c r="AP338" s="266">
        <f t="shared" si="157"/>
        <v>0</v>
      </c>
      <c r="AQ338" s="266">
        <f t="shared" si="157"/>
        <v>0</v>
      </c>
      <c r="AR338" s="266"/>
      <c r="AS338" s="266">
        <f t="shared" si="156"/>
        <v>0</v>
      </c>
    </row>
    <row r="339" spans="9:45" ht="12.75">
      <c r="I339" s="233">
        <v>11</v>
      </c>
      <c r="J339" s="243">
        <f>+J306</f>
        <v>0.519</v>
      </c>
      <c r="K339" s="243"/>
      <c r="L339" s="243">
        <f>+L306</f>
        <v>0.1805</v>
      </c>
      <c r="M339" s="243"/>
      <c r="N339" s="243">
        <f>+N306</f>
        <v>0.0534</v>
      </c>
      <c r="O339" s="243"/>
      <c r="P339" s="243">
        <f>+P306</f>
        <v>0.0332</v>
      </c>
      <c r="Q339" s="243"/>
      <c r="R339" s="243">
        <f>+R306</f>
        <v>0.0094</v>
      </c>
      <c r="S339" s="243"/>
      <c r="T339" s="243">
        <f>+T306</f>
        <v>0.2045</v>
      </c>
      <c r="U339" s="241"/>
      <c r="V339" s="240">
        <f aca="true" t="shared" si="158" ref="V339:V348">SUM(J339:U339)</f>
        <v>1</v>
      </c>
      <c r="AD339" s="233">
        <v>11</v>
      </c>
      <c r="AE339" s="266">
        <f>+AE306</f>
        <v>0.2808</v>
      </c>
      <c r="AF339" s="266">
        <f aca="true" t="shared" si="159" ref="AF339:AQ339">+AF306</f>
        <v>0</v>
      </c>
      <c r="AG339" s="266">
        <f t="shared" si="159"/>
        <v>0.0519</v>
      </c>
      <c r="AH339" s="266">
        <f t="shared" si="159"/>
        <v>0</v>
      </c>
      <c r="AI339" s="266">
        <f t="shared" si="159"/>
        <v>0.2745</v>
      </c>
      <c r="AJ339" s="266">
        <f t="shared" si="159"/>
        <v>0</v>
      </c>
      <c r="AK339" s="266">
        <f t="shared" si="159"/>
        <v>0.0001</v>
      </c>
      <c r="AL339" s="266">
        <f t="shared" si="159"/>
        <v>0</v>
      </c>
      <c r="AM339" s="266">
        <f t="shared" si="159"/>
        <v>0.1882</v>
      </c>
      <c r="AN339" s="266">
        <f t="shared" si="159"/>
        <v>0</v>
      </c>
      <c r="AO339" s="266">
        <f t="shared" si="159"/>
        <v>0</v>
      </c>
      <c r="AP339" s="266">
        <f t="shared" si="159"/>
        <v>0</v>
      </c>
      <c r="AQ339" s="266">
        <f t="shared" si="159"/>
        <v>0.2045</v>
      </c>
      <c r="AR339" s="266"/>
      <c r="AS339" s="266">
        <f t="shared" si="156"/>
        <v>1</v>
      </c>
    </row>
    <row r="340" spans="9:45" ht="12.75">
      <c r="I340" s="233">
        <v>12</v>
      </c>
      <c r="J340" s="242">
        <f>+'F12-13'!F15</f>
        <v>0.91729</v>
      </c>
      <c r="K340" s="242"/>
      <c r="L340" s="242">
        <f>+'F12-13'!F16</f>
        <v>0.07475</v>
      </c>
      <c r="M340" s="242"/>
      <c r="N340" s="242">
        <f>+'F12-13'!F17</f>
        <v>0.00151</v>
      </c>
      <c r="O340" s="242"/>
      <c r="P340" s="242">
        <f>+'F12-13'!F18</f>
        <v>0.0064</v>
      </c>
      <c r="Q340" s="242"/>
      <c r="R340" s="242">
        <f>+'F12-13'!F19</f>
        <v>5E-05</v>
      </c>
      <c r="S340" s="242"/>
      <c r="T340" s="242">
        <f>+'F12-13'!F20</f>
        <v>0</v>
      </c>
      <c r="U340" s="240"/>
      <c r="V340" s="240">
        <f t="shared" si="158"/>
        <v>1</v>
      </c>
      <c r="AD340" s="233">
        <v>12</v>
      </c>
      <c r="AE340" s="266">
        <v>0</v>
      </c>
      <c r="AF340" s="266"/>
      <c r="AG340" s="266">
        <v>0</v>
      </c>
      <c r="AH340" s="266"/>
      <c r="AI340" s="266">
        <v>0</v>
      </c>
      <c r="AJ340" s="266">
        <v>0</v>
      </c>
      <c r="AK340" s="266">
        <v>0</v>
      </c>
      <c r="AL340" s="266"/>
      <c r="AM340" s="266">
        <v>0</v>
      </c>
      <c r="AN340" s="266"/>
      <c r="AO340" s="266">
        <f>1-AQ340</f>
        <v>1</v>
      </c>
      <c r="AP340" s="266"/>
      <c r="AQ340" s="266"/>
      <c r="AR340" s="266"/>
      <c r="AS340" s="266">
        <f t="shared" si="156"/>
        <v>1</v>
      </c>
    </row>
    <row r="341" spans="9:45" ht="12.75">
      <c r="I341" s="233">
        <v>13</v>
      </c>
      <c r="J341" s="242"/>
      <c r="K341" s="242"/>
      <c r="L341" s="242"/>
      <c r="M341" s="242"/>
      <c r="N341" s="242"/>
      <c r="O341" s="242"/>
      <c r="P341" s="242"/>
      <c r="Q341" s="242"/>
      <c r="R341" s="242"/>
      <c r="S341" s="242"/>
      <c r="T341" s="242">
        <v>0</v>
      </c>
      <c r="U341" s="241"/>
      <c r="V341" s="240"/>
      <c r="AD341" s="233">
        <v>13</v>
      </c>
      <c r="AE341" s="266"/>
      <c r="AF341" s="266"/>
      <c r="AG341" s="266"/>
      <c r="AH341" s="266"/>
      <c r="AI341" s="266"/>
      <c r="AJ341" s="266"/>
      <c r="AK341" s="266"/>
      <c r="AL341" s="266"/>
      <c r="AM341" s="266"/>
      <c r="AN341" s="266"/>
      <c r="AO341" s="266"/>
      <c r="AP341" s="266"/>
      <c r="AQ341" s="266"/>
      <c r="AR341" s="266"/>
      <c r="AS341" s="266"/>
    </row>
    <row r="342" spans="9:45" ht="12.75">
      <c r="I342" s="233">
        <v>14</v>
      </c>
      <c r="J342" s="243">
        <f aca="true" t="shared" si="160" ref="J342:T342">+J308</f>
        <v>0.5916</v>
      </c>
      <c r="K342" s="243">
        <f t="shared" si="160"/>
        <v>0</v>
      </c>
      <c r="L342" s="243">
        <f t="shared" si="160"/>
        <v>0.191</v>
      </c>
      <c r="M342" s="243">
        <f t="shared" si="160"/>
        <v>0</v>
      </c>
      <c r="N342" s="243">
        <f t="shared" si="160"/>
        <v>0.0585</v>
      </c>
      <c r="O342" s="243">
        <f t="shared" si="160"/>
        <v>0</v>
      </c>
      <c r="P342" s="243">
        <f t="shared" si="160"/>
        <v>0.0367</v>
      </c>
      <c r="Q342" s="243">
        <f t="shared" si="160"/>
        <v>0</v>
      </c>
      <c r="R342" s="243">
        <f t="shared" si="160"/>
        <v>0.0186</v>
      </c>
      <c r="S342" s="243">
        <f t="shared" si="160"/>
        <v>0</v>
      </c>
      <c r="T342" s="243">
        <f t="shared" si="160"/>
        <v>0.1036</v>
      </c>
      <c r="U342" s="241"/>
      <c r="V342" s="240">
        <f t="shared" si="158"/>
        <v>0.9999999999999999</v>
      </c>
      <c r="AD342" s="233">
        <v>14</v>
      </c>
      <c r="AE342" s="266">
        <f>+AE308</f>
        <v>0.3359</v>
      </c>
      <c r="AF342" s="266">
        <f aca="true" t="shared" si="161" ref="AF342:AQ342">+AF308</f>
        <v>0</v>
      </c>
      <c r="AG342" s="266">
        <f t="shared" si="161"/>
        <v>0.1403</v>
      </c>
      <c r="AH342" s="266">
        <f t="shared" si="161"/>
        <v>0</v>
      </c>
      <c r="AI342" s="266">
        <f t="shared" si="161"/>
        <v>0.1456</v>
      </c>
      <c r="AJ342" s="266">
        <f t="shared" si="161"/>
        <v>0</v>
      </c>
      <c r="AK342" s="266">
        <f t="shared" si="161"/>
        <v>0.0741</v>
      </c>
      <c r="AL342" s="266">
        <f t="shared" si="161"/>
        <v>0</v>
      </c>
      <c r="AM342" s="266">
        <f t="shared" si="161"/>
        <v>0.0777</v>
      </c>
      <c r="AN342" s="266">
        <f t="shared" si="161"/>
        <v>0</v>
      </c>
      <c r="AO342" s="266">
        <f t="shared" si="161"/>
        <v>0.1228</v>
      </c>
      <c r="AP342" s="266">
        <f t="shared" si="161"/>
        <v>0</v>
      </c>
      <c r="AQ342" s="266">
        <f t="shared" si="161"/>
        <v>0.1036</v>
      </c>
      <c r="AR342" s="266"/>
      <c r="AS342" s="266">
        <f t="shared" si="156"/>
        <v>1</v>
      </c>
    </row>
    <row r="343" spans="9:45" ht="12.75">
      <c r="I343" s="233">
        <v>15</v>
      </c>
      <c r="J343" s="243">
        <f>+J310</f>
        <v>0.5884</v>
      </c>
      <c r="K343" s="243"/>
      <c r="L343" s="243">
        <f>+L310</f>
        <v>0.2014</v>
      </c>
      <c r="M343" s="243"/>
      <c r="N343" s="243">
        <f>+N310</f>
        <v>0.0654</v>
      </c>
      <c r="O343" s="243"/>
      <c r="P343" s="243">
        <f>+P310</f>
        <v>0.0401</v>
      </c>
      <c r="Q343" s="243"/>
      <c r="R343" s="243">
        <f>+R310</f>
        <v>0.0237</v>
      </c>
      <c r="S343" s="243"/>
      <c r="T343" s="243">
        <f>+T310</f>
        <v>0.081</v>
      </c>
      <c r="U343" s="241"/>
      <c r="V343" s="240">
        <f>SUM(J343:U343)</f>
        <v>1</v>
      </c>
      <c r="AD343" s="233">
        <v>15</v>
      </c>
      <c r="AE343" s="266">
        <f>+AE310</f>
        <v>0.4469</v>
      </c>
      <c r="AF343" s="266"/>
      <c r="AG343" s="266">
        <f>+AG310</f>
        <v>0.115</v>
      </c>
      <c r="AH343" s="266"/>
      <c r="AI343" s="266">
        <f>+AI310</f>
        <v>0.1129</v>
      </c>
      <c r="AJ343" s="266"/>
      <c r="AK343" s="266">
        <f>+AK310</f>
        <v>0.0648</v>
      </c>
      <c r="AL343" s="266"/>
      <c r="AM343" s="266">
        <f>+AM310</f>
        <v>0.0573</v>
      </c>
      <c r="AN343" s="266"/>
      <c r="AO343" s="266">
        <f>+AO310</f>
        <v>0.1221</v>
      </c>
      <c r="AP343" s="266"/>
      <c r="AQ343" s="266">
        <f>+AQ310</f>
        <v>0.081</v>
      </c>
      <c r="AR343" s="266"/>
      <c r="AS343" s="266">
        <f>SUM(AE343:AQ343)</f>
        <v>1</v>
      </c>
    </row>
    <row r="344" spans="9:45" ht="12.75">
      <c r="I344" s="233">
        <v>16</v>
      </c>
      <c r="J344" s="243">
        <f aca="true" t="shared" si="162" ref="J344:T344">+J312</f>
        <v>0.5946</v>
      </c>
      <c r="K344" s="243">
        <f t="shared" si="162"/>
        <v>0</v>
      </c>
      <c r="L344" s="243">
        <f t="shared" si="162"/>
        <v>0.1962</v>
      </c>
      <c r="M344" s="243">
        <f t="shared" si="162"/>
        <v>0</v>
      </c>
      <c r="N344" s="243">
        <f t="shared" si="162"/>
        <v>0.0602</v>
      </c>
      <c r="O344" s="243">
        <f t="shared" si="162"/>
        <v>0</v>
      </c>
      <c r="P344" s="243">
        <f t="shared" si="162"/>
        <v>0.038</v>
      </c>
      <c r="Q344" s="243">
        <f t="shared" si="162"/>
        <v>0</v>
      </c>
      <c r="R344" s="243">
        <f t="shared" si="162"/>
        <v>0.0192</v>
      </c>
      <c r="S344" s="243">
        <f t="shared" si="162"/>
        <v>0</v>
      </c>
      <c r="T344" s="243">
        <f t="shared" si="162"/>
        <v>0.0918</v>
      </c>
      <c r="U344" s="241"/>
      <c r="V344" s="240">
        <f t="shared" si="158"/>
        <v>1.0000000000000002</v>
      </c>
      <c r="AD344" s="233">
        <v>16</v>
      </c>
      <c r="AE344" s="266">
        <f>+AE312</f>
        <v>0.3463</v>
      </c>
      <c r="AF344" s="266">
        <f aca="true" t="shared" si="163" ref="AF344:AQ344">+AF312</f>
        <v>0</v>
      </c>
      <c r="AG344" s="266">
        <f t="shared" si="163"/>
        <v>0.1517</v>
      </c>
      <c r="AH344" s="266">
        <f t="shared" si="163"/>
        <v>0</v>
      </c>
      <c r="AI344" s="266">
        <f t="shared" si="163"/>
        <v>0.1339</v>
      </c>
      <c r="AJ344" s="266">
        <f t="shared" si="163"/>
        <v>0</v>
      </c>
      <c r="AK344" s="266">
        <f t="shared" si="163"/>
        <v>0.1113</v>
      </c>
      <c r="AL344" s="266">
        <f t="shared" si="163"/>
        <v>0</v>
      </c>
      <c r="AM344" s="266">
        <f t="shared" si="163"/>
        <v>0.0537</v>
      </c>
      <c r="AN344" s="266">
        <f t="shared" si="163"/>
        <v>0</v>
      </c>
      <c r="AO344" s="266">
        <f t="shared" si="163"/>
        <v>0.1113</v>
      </c>
      <c r="AP344" s="266">
        <f t="shared" si="163"/>
        <v>0</v>
      </c>
      <c r="AQ344" s="266">
        <f t="shared" si="163"/>
        <v>0.0918</v>
      </c>
      <c r="AR344" s="266"/>
      <c r="AS344" s="266">
        <f t="shared" si="156"/>
        <v>0.9999999999999999</v>
      </c>
    </row>
    <row r="345" spans="9:45" ht="12.75">
      <c r="I345" s="233">
        <v>17</v>
      </c>
      <c r="J345" s="243">
        <f aca="true" t="shared" si="164" ref="J345:T345">+J314</f>
        <v>0.5178</v>
      </c>
      <c r="K345" s="243">
        <f t="shared" si="164"/>
        <v>0</v>
      </c>
      <c r="L345" s="243">
        <f t="shared" si="164"/>
        <v>0.21</v>
      </c>
      <c r="M345" s="243">
        <f t="shared" si="164"/>
        <v>0</v>
      </c>
      <c r="N345" s="243">
        <f t="shared" si="164"/>
        <v>0.0722</v>
      </c>
      <c r="O345" s="243">
        <f t="shared" si="164"/>
        <v>0</v>
      </c>
      <c r="P345" s="243">
        <f t="shared" si="164"/>
        <v>0.0426</v>
      </c>
      <c r="Q345" s="243">
        <f t="shared" si="164"/>
        <v>0</v>
      </c>
      <c r="R345" s="243">
        <f t="shared" si="164"/>
        <v>0.0248</v>
      </c>
      <c r="S345" s="243">
        <f t="shared" si="164"/>
        <v>0</v>
      </c>
      <c r="T345" s="243">
        <f t="shared" si="164"/>
        <v>0.1326</v>
      </c>
      <c r="U345" s="241"/>
      <c r="V345" s="240">
        <f t="shared" si="158"/>
        <v>1</v>
      </c>
      <c r="AD345" s="233">
        <v>17</v>
      </c>
      <c r="AE345" s="266">
        <f>+AE314</f>
        <v>0.4283</v>
      </c>
      <c r="AF345" s="266">
        <f aca="true" t="shared" si="165" ref="AF345:AQ345">+AF314</f>
        <v>0</v>
      </c>
      <c r="AG345" s="266">
        <f t="shared" si="165"/>
        <v>0.1957</v>
      </c>
      <c r="AH345" s="266">
        <f t="shared" si="165"/>
        <v>0</v>
      </c>
      <c r="AI345" s="266">
        <f t="shared" si="165"/>
        <v>0.1466</v>
      </c>
      <c r="AJ345" s="266">
        <f t="shared" si="165"/>
        <v>0</v>
      </c>
      <c r="AK345" s="266">
        <f t="shared" si="165"/>
        <v>0.0279</v>
      </c>
      <c r="AL345" s="266">
        <f t="shared" si="165"/>
        <v>0</v>
      </c>
      <c r="AM345" s="266">
        <f t="shared" si="165"/>
        <v>0.0674</v>
      </c>
      <c r="AN345" s="266">
        <f t="shared" si="165"/>
        <v>0</v>
      </c>
      <c r="AO345" s="266">
        <f t="shared" si="165"/>
        <v>0.0015</v>
      </c>
      <c r="AP345" s="266">
        <f t="shared" si="165"/>
        <v>0</v>
      </c>
      <c r="AQ345" s="266">
        <f t="shared" si="165"/>
        <v>0.1326</v>
      </c>
      <c r="AR345" s="266"/>
      <c r="AS345" s="266">
        <f t="shared" si="156"/>
        <v>1</v>
      </c>
    </row>
    <row r="346" spans="9:45" ht="12.75">
      <c r="I346" s="233">
        <v>18</v>
      </c>
      <c r="J346" s="242">
        <f>+J316</f>
        <v>0.5287000000000001</v>
      </c>
      <c r="K346" s="242"/>
      <c r="L346" s="242">
        <f>+L316</f>
        <v>0.2118</v>
      </c>
      <c r="M346" s="242"/>
      <c r="N346" s="242">
        <f>+N316</f>
        <v>0.0726</v>
      </c>
      <c r="O346" s="242"/>
      <c r="P346" s="242">
        <f>+P316</f>
        <v>0.0434</v>
      </c>
      <c r="Q346" s="242"/>
      <c r="R346" s="242">
        <f>+R316</f>
        <v>0.0283</v>
      </c>
      <c r="S346" s="242"/>
      <c r="T346" s="242">
        <f>+T316</f>
        <v>0.1152</v>
      </c>
      <c r="U346" s="241"/>
      <c r="V346" s="240">
        <f t="shared" si="158"/>
        <v>1</v>
      </c>
      <c r="AD346" s="233">
        <v>18</v>
      </c>
      <c r="AE346" s="266">
        <f>+AE316</f>
        <v>0.43770000000000003</v>
      </c>
      <c r="AF346" s="266">
        <f aca="true" t="shared" si="166" ref="AF346:AQ346">+AF316</f>
        <v>0</v>
      </c>
      <c r="AG346" s="266">
        <f t="shared" si="166"/>
        <v>0.2217</v>
      </c>
      <c r="AH346" s="266">
        <f t="shared" si="166"/>
        <v>0</v>
      </c>
      <c r="AI346" s="266">
        <f t="shared" si="166"/>
        <v>0.0993</v>
      </c>
      <c r="AJ346" s="266">
        <f t="shared" si="166"/>
        <v>0</v>
      </c>
      <c r="AK346" s="266">
        <f t="shared" si="166"/>
        <v>0.058</v>
      </c>
      <c r="AL346" s="266">
        <f t="shared" si="166"/>
        <v>0</v>
      </c>
      <c r="AM346" s="266">
        <f t="shared" si="166"/>
        <v>0.0658</v>
      </c>
      <c r="AN346" s="266">
        <f t="shared" si="166"/>
        <v>0</v>
      </c>
      <c r="AO346" s="266">
        <f t="shared" si="166"/>
        <v>0.0023</v>
      </c>
      <c r="AP346" s="266">
        <f t="shared" si="166"/>
        <v>0</v>
      </c>
      <c r="AQ346" s="266">
        <f t="shared" si="166"/>
        <v>0.1152</v>
      </c>
      <c r="AR346" s="266"/>
      <c r="AS346" s="266">
        <f t="shared" si="156"/>
        <v>0.9999999999999999</v>
      </c>
    </row>
    <row r="347" spans="9:45" ht="12.75">
      <c r="I347" s="233">
        <v>19</v>
      </c>
      <c r="J347" s="242">
        <f>+J318</f>
        <v>0.5574</v>
      </c>
      <c r="K347" s="242"/>
      <c r="L347" s="242">
        <f>+L318</f>
        <v>0.2063</v>
      </c>
      <c r="M347" s="242"/>
      <c r="N347" s="242">
        <f>+N318</f>
        <v>0.0689</v>
      </c>
      <c r="O347" s="242"/>
      <c r="P347" s="242">
        <f>+P318</f>
        <v>0.0416</v>
      </c>
      <c r="Q347" s="242"/>
      <c r="R347" s="242">
        <f>+R318</f>
        <v>0.0259</v>
      </c>
      <c r="S347" s="242"/>
      <c r="T347" s="242">
        <f>+T318</f>
        <v>0.0999</v>
      </c>
      <c r="U347" s="241"/>
      <c r="V347" s="240">
        <f t="shared" si="158"/>
        <v>1</v>
      </c>
      <c r="AD347" s="233">
        <v>19</v>
      </c>
      <c r="AE347" s="266">
        <f>+AE318</f>
        <v>0.43820000000000003</v>
      </c>
      <c r="AF347" s="266">
        <f aca="true" t="shared" si="167" ref="AF347:AQ347">+AF318</f>
        <v>0</v>
      </c>
      <c r="AG347" s="266">
        <f t="shared" si="167"/>
        <v>0.1707</v>
      </c>
      <c r="AH347" s="266">
        <f t="shared" si="167"/>
        <v>0</v>
      </c>
      <c r="AI347" s="266">
        <f t="shared" si="167"/>
        <v>0.108</v>
      </c>
      <c r="AJ347" s="266">
        <f t="shared" si="167"/>
        <v>0</v>
      </c>
      <c r="AK347" s="266">
        <f t="shared" si="167"/>
        <v>0.0586</v>
      </c>
      <c r="AL347" s="266">
        <f t="shared" si="167"/>
        <v>0</v>
      </c>
      <c r="AM347" s="266">
        <f t="shared" si="167"/>
        <v>0.0647</v>
      </c>
      <c r="AN347" s="266">
        <f t="shared" si="167"/>
        <v>0</v>
      </c>
      <c r="AO347" s="266">
        <f t="shared" si="167"/>
        <v>0.0599</v>
      </c>
      <c r="AP347" s="266">
        <f t="shared" si="167"/>
        <v>0</v>
      </c>
      <c r="AQ347" s="266">
        <f t="shared" si="167"/>
        <v>0.0999</v>
      </c>
      <c r="AR347" s="266"/>
      <c r="AS347" s="266">
        <f t="shared" si="156"/>
        <v>0.9999999999999999</v>
      </c>
    </row>
    <row r="348" spans="9:45" ht="12.75">
      <c r="I348" s="233">
        <v>20</v>
      </c>
      <c r="J348" s="242">
        <f>+'F 14-20'!F132</f>
        <v>0.7774</v>
      </c>
      <c r="K348" s="242"/>
      <c r="L348" s="242">
        <f>+'F 14-20'!F133</f>
        <v>0.1788</v>
      </c>
      <c r="M348" s="242"/>
      <c r="N348" s="242">
        <f>+'F 14-20'!F134</f>
        <v>0.0138</v>
      </c>
      <c r="O348" s="242"/>
      <c r="P348" s="242">
        <f>+'F 14-20'!F135</f>
        <v>0.03</v>
      </c>
      <c r="Q348" s="242"/>
      <c r="R348" s="242">
        <f>+'F 14-20'!F136</f>
        <v>0</v>
      </c>
      <c r="S348" s="242"/>
      <c r="T348" s="242">
        <v>0</v>
      </c>
      <c r="U348" s="240"/>
      <c r="V348" s="240">
        <f t="shared" si="158"/>
        <v>1</v>
      </c>
      <c r="AD348" s="233">
        <v>20</v>
      </c>
      <c r="AE348" s="266"/>
      <c r="AF348" s="266"/>
      <c r="AG348" s="266"/>
      <c r="AH348" s="266"/>
      <c r="AI348" s="266"/>
      <c r="AJ348" s="266"/>
      <c r="AK348" s="266">
        <v>1</v>
      </c>
      <c r="AL348" s="266"/>
      <c r="AM348" s="266"/>
      <c r="AN348" s="266"/>
      <c r="AO348" s="266"/>
      <c r="AP348" s="266"/>
      <c r="AQ348" s="266"/>
      <c r="AR348" s="266"/>
      <c r="AS348" s="266">
        <f t="shared" si="156"/>
        <v>1</v>
      </c>
    </row>
    <row r="349" spans="9:45" ht="12.75">
      <c r="I349"/>
      <c r="J349" s="171"/>
      <c r="K349" s="170"/>
      <c r="L349" s="170"/>
      <c r="M349" s="170"/>
      <c r="N349" s="170"/>
      <c r="O349" s="170"/>
      <c r="P349" s="170"/>
      <c r="Q349" s="170"/>
      <c r="R349" s="170"/>
      <c r="S349" s="170"/>
      <c r="T349" s="170"/>
      <c r="U349" s="170"/>
      <c r="V349" s="170"/>
      <c r="AD349" s="267"/>
      <c r="AE349" s="267"/>
      <c r="AF349" s="267"/>
      <c r="AG349" s="267"/>
      <c r="AH349" s="267"/>
      <c r="AI349" s="267"/>
      <c r="AJ349" s="267"/>
      <c r="AK349" s="267"/>
      <c r="AL349" s="267"/>
      <c r="AM349" s="267"/>
      <c r="AN349" s="267"/>
      <c r="AO349" s="267"/>
      <c r="AP349" s="267"/>
      <c r="AQ349" s="267"/>
      <c r="AR349" s="267"/>
      <c r="AS349" s="267"/>
    </row>
    <row r="350" spans="9:22" ht="12.75">
      <c r="I350"/>
      <c r="J350" s="171"/>
      <c r="K350" s="170"/>
      <c r="L350" s="170"/>
      <c r="M350" s="170"/>
      <c r="N350" s="170"/>
      <c r="O350" s="170"/>
      <c r="P350" s="170"/>
      <c r="Q350" s="170"/>
      <c r="R350" s="170"/>
      <c r="S350" s="170"/>
      <c r="T350" s="170"/>
      <c r="U350" s="170"/>
      <c r="V350" s="170"/>
    </row>
    <row r="351" spans="9:22" ht="12.75">
      <c r="I351"/>
      <c r="J351" s="171"/>
      <c r="K351" s="170"/>
      <c r="L351" s="170"/>
      <c r="M351" s="170"/>
      <c r="N351" s="170"/>
      <c r="O351" s="170"/>
      <c r="P351" s="170"/>
      <c r="Q351" s="170"/>
      <c r="R351" s="170"/>
      <c r="S351" s="170"/>
      <c r="T351" s="170"/>
      <c r="U351" s="170"/>
      <c r="V351" s="170"/>
    </row>
    <row r="352" spans="9:22" ht="12.75">
      <c r="I352" s="233"/>
      <c r="J352" s="292"/>
      <c r="K352" s="240"/>
      <c r="L352" s="240"/>
      <c r="M352" s="170"/>
      <c r="N352" s="170"/>
      <c r="O352" s="170"/>
      <c r="P352" s="170"/>
      <c r="Q352" s="170"/>
      <c r="R352" s="170"/>
      <c r="S352" s="170"/>
      <c r="T352" s="170"/>
      <c r="U352" s="170"/>
      <c r="V352" s="170"/>
    </row>
    <row r="353" spans="8:22" ht="12.75">
      <c r="H353" s="233"/>
      <c r="I353" s="233"/>
      <c r="J353" s="292"/>
      <c r="K353" s="240"/>
      <c r="L353" s="240"/>
      <c r="M353" s="170"/>
      <c r="N353" s="170"/>
      <c r="O353" s="170"/>
      <c r="P353" s="170"/>
      <c r="Q353" s="170"/>
      <c r="R353" s="170"/>
      <c r="S353" s="170"/>
      <c r="T353" s="170"/>
      <c r="U353" s="170"/>
      <c r="V353" s="170"/>
    </row>
    <row r="354" spans="8:22" ht="12.75">
      <c r="H354" s="233"/>
      <c r="I354" s="233"/>
      <c r="J354" s="292"/>
      <c r="K354" s="240"/>
      <c r="L354" s="240"/>
      <c r="M354" s="170"/>
      <c r="N354" s="170"/>
      <c r="O354" s="170"/>
      <c r="P354" s="170"/>
      <c r="Q354" s="170"/>
      <c r="R354" s="170"/>
      <c r="S354" s="170"/>
      <c r="T354" s="170"/>
      <c r="U354" s="170"/>
      <c r="V354" s="170"/>
    </row>
    <row r="355" spans="8:22" ht="12.75">
      <c r="H355" s="233"/>
      <c r="I355" s="233"/>
      <c r="J355" s="292"/>
      <c r="K355" s="240"/>
      <c r="L355" s="240"/>
      <c r="M355" s="170"/>
      <c r="N355" s="170"/>
      <c r="O355" s="170"/>
      <c r="P355" s="170"/>
      <c r="Q355" s="170"/>
      <c r="R355" s="170"/>
      <c r="S355" s="170"/>
      <c r="T355" s="170"/>
      <c r="U355" s="170"/>
      <c r="V355" s="170"/>
    </row>
    <row r="356" spans="8:22" ht="12.75">
      <c r="H356" s="233"/>
      <c r="I356" s="233"/>
      <c r="J356" s="292"/>
      <c r="K356" s="240"/>
      <c r="L356" s="240"/>
      <c r="M356" s="170"/>
      <c r="N356" s="170"/>
      <c r="O356" s="170"/>
      <c r="P356" s="170"/>
      <c r="Q356" s="170"/>
      <c r="R356" s="170"/>
      <c r="S356" s="170"/>
      <c r="T356" s="170"/>
      <c r="U356" s="170"/>
      <c r="V356" s="170"/>
    </row>
    <row r="357" spans="8:22" ht="12.75">
      <c r="H357" s="233"/>
      <c r="I357" s="233"/>
      <c r="J357" s="292"/>
      <c r="K357" s="240"/>
      <c r="L357" s="240"/>
      <c r="M357" s="170"/>
      <c r="N357" s="170"/>
      <c r="O357" s="170"/>
      <c r="P357" s="170"/>
      <c r="Q357" s="170"/>
      <c r="R357" s="170"/>
      <c r="S357" s="170"/>
      <c r="T357" s="170"/>
      <c r="U357" s="170"/>
      <c r="V357" s="170"/>
    </row>
    <row r="358" spans="8:22" ht="12.75">
      <c r="H358" s="233"/>
      <c r="I358" s="233"/>
      <c r="J358" s="292"/>
      <c r="K358" s="240"/>
      <c r="L358" s="240"/>
      <c r="M358" s="170"/>
      <c r="N358" s="170"/>
      <c r="O358" s="170"/>
      <c r="P358" s="170"/>
      <c r="Q358" s="170"/>
      <c r="R358" s="170"/>
      <c r="S358" s="170"/>
      <c r="T358" s="170"/>
      <c r="U358" s="170"/>
      <c r="V358" s="170"/>
    </row>
    <row r="359" spans="8:22" ht="12.75">
      <c r="H359" s="298"/>
      <c r="I359" s="299"/>
      <c r="J359" s="298"/>
      <c r="K359" s="299"/>
      <c r="L359" s="299"/>
      <c r="M359" s="168"/>
      <c r="N359" s="168"/>
      <c r="O359" s="168"/>
      <c r="P359" s="168"/>
      <c r="Q359" s="168"/>
      <c r="R359" s="168"/>
      <c r="S359" s="168"/>
      <c r="T359" s="168"/>
      <c r="U359" s="168"/>
      <c r="V359" s="168"/>
    </row>
    <row r="360" spans="23:37" ht="12.75">
      <c r="W360" s="171"/>
      <c r="X360" s="168"/>
      <c r="Y360" s="356"/>
      <c r="Z360" s="168"/>
      <c r="AA360" s="168"/>
      <c r="AB360" s="168"/>
      <c r="AC360" s="168"/>
      <c r="AD360" s="168"/>
      <c r="AE360" s="168"/>
      <c r="AF360" s="168"/>
      <c r="AG360" s="168"/>
      <c r="AH360" s="168"/>
      <c r="AI360" s="168"/>
      <c r="AJ360" s="168"/>
      <c r="AK360" s="168"/>
    </row>
    <row r="361" ht="12.75">
      <c r="W361" s="163"/>
    </row>
    <row r="362" ht="12.75">
      <c r="W362" s="163"/>
    </row>
    <row r="363" ht="12.75">
      <c r="W363" s="163"/>
    </row>
    <row r="364" ht="12.75">
      <c r="W364" s="163"/>
    </row>
    <row r="365" ht="12.75">
      <c r="W365" s="163"/>
    </row>
    <row r="366" ht="12.75">
      <c r="W366" s="163"/>
    </row>
    <row r="367" ht="12.75">
      <c r="W367" s="163"/>
    </row>
    <row r="368" ht="12.75">
      <c r="W368" s="163"/>
    </row>
    <row r="369" ht="12.75">
      <c r="W369" s="163"/>
    </row>
    <row r="370" ht="12.75">
      <c r="W370" s="163"/>
    </row>
    <row r="371" ht="12.75">
      <c r="W371" s="163"/>
    </row>
    <row r="372" ht="12.75">
      <c r="W372" s="163"/>
    </row>
    <row r="373" ht="12.75">
      <c r="W373" s="163"/>
    </row>
    <row r="374" ht="12.75">
      <c r="W374" s="163"/>
    </row>
    <row r="375" ht="12.75">
      <c r="W375" s="163"/>
    </row>
    <row r="376" ht="12.75">
      <c r="W376" s="163"/>
    </row>
    <row r="377" ht="12.75">
      <c r="W377" s="163"/>
    </row>
    <row r="378" ht="12.75">
      <c r="W378" s="163"/>
    </row>
    <row r="379" ht="12.75">
      <c r="W379" s="163"/>
    </row>
    <row r="380" ht="12.75">
      <c r="W380" s="163"/>
    </row>
    <row r="381" ht="12.75">
      <c r="W381" s="159"/>
    </row>
    <row r="382" ht="12.75">
      <c r="W382" s="159"/>
    </row>
    <row r="383" ht="12.75">
      <c r="W383" s="159"/>
    </row>
    <row r="384" ht="12.75">
      <c r="W384" s="159"/>
    </row>
    <row r="385" ht="12.75">
      <c r="W385" s="159"/>
    </row>
    <row r="386" ht="12.75">
      <c r="W386" s="159"/>
    </row>
    <row r="387" ht="12.75">
      <c r="W387" s="159"/>
    </row>
    <row r="388" ht="12.75">
      <c r="W388" s="159"/>
    </row>
    <row r="389" ht="12.75">
      <c r="W389" s="159"/>
    </row>
    <row r="390" ht="12.75">
      <c r="W390" s="159"/>
    </row>
    <row r="391" ht="12.75">
      <c r="W391" s="159"/>
    </row>
    <row r="392" ht="12.75">
      <c r="W392" s="159"/>
    </row>
    <row r="393" ht="12.75">
      <c r="W393" s="159"/>
    </row>
    <row r="394" ht="12.75">
      <c r="W394" s="159"/>
    </row>
    <row r="395" ht="12.75">
      <c r="W395" s="159"/>
    </row>
    <row r="396" ht="12.75">
      <c r="W396" s="159"/>
    </row>
    <row r="397" ht="12.75">
      <c r="W397" s="159"/>
    </row>
    <row r="398" ht="12.75">
      <c r="W398" s="159"/>
    </row>
    <row r="399" ht="12.75">
      <c r="W399" s="159"/>
    </row>
    <row r="400" ht="12.75">
      <c r="W400" s="159"/>
    </row>
    <row r="401" ht="12.75">
      <c r="W401" s="159"/>
    </row>
    <row r="402" ht="12.75">
      <c r="W402" s="159"/>
    </row>
    <row r="403" ht="12.75">
      <c r="W403" s="159"/>
    </row>
    <row r="404" ht="12.75">
      <c r="W404" s="159"/>
    </row>
    <row r="405" ht="12.75">
      <c r="W405" s="159"/>
    </row>
    <row r="406" ht="12.75">
      <c r="W406" s="159"/>
    </row>
    <row r="407" ht="12.75">
      <c r="W407" s="159"/>
    </row>
    <row r="408" ht="12.75">
      <c r="W408" s="159"/>
    </row>
    <row r="409" ht="12.75">
      <c r="W409" s="159"/>
    </row>
    <row r="410" ht="12.75">
      <c r="W410" s="159"/>
    </row>
    <row r="411" ht="12.75">
      <c r="W411" s="159"/>
    </row>
    <row r="412" ht="12.75">
      <c r="W412" s="159"/>
    </row>
    <row r="413" ht="12.75">
      <c r="W413" s="159"/>
    </row>
    <row r="414" ht="12.75">
      <c r="W414" s="159"/>
    </row>
    <row r="415" ht="12.75">
      <c r="W415" s="159"/>
    </row>
    <row r="416" ht="12.75">
      <c r="W416" s="159"/>
    </row>
    <row r="417" ht="12.75">
      <c r="W417" s="159"/>
    </row>
    <row r="418" ht="12.75">
      <c r="W418" s="159"/>
    </row>
    <row r="419" ht="12.75">
      <c r="W419" s="159"/>
    </row>
    <row r="420" ht="12.75">
      <c r="W420" s="159"/>
    </row>
    <row r="421" ht="12.75">
      <c r="W421" s="159"/>
    </row>
    <row r="422" ht="12.75">
      <c r="W422" s="159"/>
    </row>
    <row r="423" ht="12.75">
      <c r="W423" s="159"/>
    </row>
    <row r="424" ht="12.75">
      <c r="W424" s="159"/>
    </row>
    <row r="425" ht="12.75">
      <c r="W425" s="159"/>
    </row>
    <row r="426" ht="12.75">
      <c r="W426" s="159"/>
    </row>
    <row r="427" ht="12.75">
      <c r="W427" s="159"/>
    </row>
    <row r="428" ht="12.75">
      <c r="W428" s="159"/>
    </row>
    <row r="429" ht="12.75">
      <c r="W429" s="159"/>
    </row>
    <row r="430" ht="12.75">
      <c r="W430" s="159"/>
    </row>
    <row r="431" ht="12.75">
      <c r="W431" s="159"/>
    </row>
    <row r="432" ht="12.75">
      <c r="W432" s="159"/>
    </row>
    <row r="433" ht="12.75">
      <c r="W433" s="159"/>
    </row>
    <row r="434" ht="12.75">
      <c r="W434" s="159"/>
    </row>
    <row r="435" ht="12.75">
      <c r="W435" s="159"/>
    </row>
    <row r="436" ht="12.75">
      <c r="W436" s="159"/>
    </row>
    <row r="437" ht="12.75">
      <c r="W437" s="159"/>
    </row>
    <row r="438" ht="12.75">
      <c r="W438" s="159"/>
    </row>
    <row r="439" ht="12.75">
      <c r="W439" s="159"/>
    </row>
    <row r="440" ht="12.75">
      <c r="W440" s="159"/>
    </row>
    <row r="441" ht="12.75">
      <c r="W441" s="159"/>
    </row>
    <row r="442" ht="12.75">
      <c r="W442" s="159"/>
    </row>
    <row r="443" ht="12.75">
      <c r="W443" s="159"/>
    </row>
    <row r="444" ht="12.75">
      <c r="W444" s="159"/>
    </row>
    <row r="445" ht="12.75">
      <c r="W445" s="159"/>
    </row>
    <row r="446" ht="12.75">
      <c r="W446" s="159"/>
    </row>
    <row r="447" ht="12.75">
      <c r="W447" s="159"/>
    </row>
    <row r="448" ht="12.75">
      <c r="W448" s="159"/>
    </row>
    <row r="449" ht="12.75">
      <c r="W449" s="159"/>
    </row>
    <row r="450" ht="12.75">
      <c r="W450" s="159"/>
    </row>
    <row r="451" ht="12.75">
      <c r="W451" s="159"/>
    </row>
    <row r="452" ht="12.75">
      <c r="W452" s="159"/>
    </row>
    <row r="453" ht="12.75">
      <c r="W453" s="159"/>
    </row>
    <row r="454" ht="12.75">
      <c r="W454" s="159"/>
    </row>
    <row r="455" ht="12.75">
      <c r="W455" s="159"/>
    </row>
    <row r="456" ht="12.75">
      <c r="W456" s="159"/>
    </row>
    <row r="457" ht="12.75">
      <c r="W457" s="159"/>
    </row>
    <row r="458" ht="12.75">
      <c r="W458" s="159"/>
    </row>
    <row r="459" ht="12.75">
      <c r="W459" s="159"/>
    </row>
    <row r="460" ht="12.75">
      <c r="W460" s="159"/>
    </row>
    <row r="461" ht="12.75">
      <c r="W461" s="159"/>
    </row>
    <row r="462" ht="12.75">
      <c r="W462" s="159"/>
    </row>
    <row r="463" ht="12.75">
      <c r="W463" s="159"/>
    </row>
    <row r="464" ht="12.75">
      <c r="W464" s="159"/>
    </row>
    <row r="465" ht="12.75">
      <c r="W465" s="159"/>
    </row>
    <row r="466" ht="12.75">
      <c r="W466" s="159"/>
    </row>
    <row r="467" ht="12.75">
      <c r="W467" s="159"/>
    </row>
    <row r="468" ht="12.75">
      <c r="W468" s="159"/>
    </row>
    <row r="469" ht="12.75">
      <c r="W469" s="159"/>
    </row>
    <row r="470" ht="12.75">
      <c r="W470" s="159"/>
    </row>
    <row r="471" ht="12.75">
      <c r="W471" s="159"/>
    </row>
    <row r="472" ht="12.75">
      <c r="W472" s="159"/>
    </row>
    <row r="473" ht="12.75">
      <c r="W473" s="159"/>
    </row>
    <row r="474" ht="12.75">
      <c r="W474" s="159"/>
    </row>
    <row r="475" ht="12.75">
      <c r="W475" s="159"/>
    </row>
    <row r="476" ht="12.75">
      <c r="W476" s="159"/>
    </row>
    <row r="477" ht="12.75">
      <c r="W477" s="159"/>
    </row>
    <row r="478" ht="12.75">
      <c r="W478" s="159"/>
    </row>
    <row r="479" ht="12.75">
      <c r="W479" s="159"/>
    </row>
    <row r="480" ht="12.75">
      <c r="W480" s="159"/>
    </row>
    <row r="481" ht="12.75">
      <c r="W481" s="159"/>
    </row>
    <row r="482" ht="12.75">
      <c r="W482" s="159"/>
    </row>
    <row r="483" ht="12.75">
      <c r="W483" s="159"/>
    </row>
    <row r="484" ht="12.75">
      <c r="W484" s="159"/>
    </row>
    <row r="485" ht="12.75">
      <c r="W485" s="159"/>
    </row>
    <row r="486" ht="12.75">
      <c r="W486" s="159"/>
    </row>
    <row r="487" ht="12.75">
      <c r="W487" s="159"/>
    </row>
    <row r="488" ht="12.75">
      <c r="W488" s="159"/>
    </row>
    <row r="489" ht="12.75">
      <c r="W489" s="159"/>
    </row>
    <row r="490" ht="12.75">
      <c r="W490" s="159"/>
    </row>
    <row r="491" ht="12.75">
      <c r="W491" s="159"/>
    </row>
    <row r="492" ht="12.75">
      <c r="W492" s="159"/>
    </row>
    <row r="493" ht="12.75">
      <c r="W493" s="159"/>
    </row>
    <row r="494" ht="12.75">
      <c r="W494" s="159"/>
    </row>
    <row r="495" ht="12.75">
      <c r="W495" s="159"/>
    </row>
    <row r="496" ht="12.75">
      <c r="W496" s="159"/>
    </row>
    <row r="497" ht="12.75">
      <c r="W497" s="159"/>
    </row>
    <row r="498" ht="12.75">
      <c r="W498" s="159"/>
    </row>
    <row r="499" ht="12.75">
      <c r="W499" s="159"/>
    </row>
    <row r="500" ht="12.75">
      <c r="W500" s="159"/>
    </row>
    <row r="501" ht="12.75">
      <c r="W501" s="159"/>
    </row>
    <row r="502" ht="12.75">
      <c r="W502" s="159"/>
    </row>
    <row r="503" ht="12.75">
      <c r="W503" s="159"/>
    </row>
    <row r="504" ht="12.75">
      <c r="W504" s="159"/>
    </row>
    <row r="505" ht="12.75">
      <c r="W505" s="159"/>
    </row>
    <row r="506" ht="12.75">
      <c r="W506" s="159"/>
    </row>
    <row r="507" ht="12.75">
      <c r="W507" s="159"/>
    </row>
    <row r="508" ht="12.75">
      <c r="W508" s="159"/>
    </row>
    <row r="509" ht="12.75">
      <c r="W509" s="159"/>
    </row>
    <row r="510" ht="12.75">
      <c r="W510" s="159"/>
    </row>
    <row r="511" ht="12.75">
      <c r="W511" s="159"/>
    </row>
    <row r="512" ht="12.75">
      <c r="W512" s="159"/>
    </row>
    <row r="513" ht="12.75">
      <c r="W513" s="159"/>
    </row>
    <row r="514" ht="12.75">
      <c r="W514" s="159"/>
    </row>
    <row r="515" ht="12.75">
      <c r="W515" s="159"/>
    </row>
    <row r="516" ht="12.75">
      <c r="W516" s="159"/>
    </row>
    <row r="517" ht="12.75">
      <c r="W517" s="159"/>
    </row>
    <row r="518" ht="12.75">
      <c r="W518" s="159"/>
    </row>
    <row r="519" ht="12.75">
      <c r="W519" s="159"/>
    </row>
    <row r="520" ht="12.75">
      <c r="W520" s="159"/>
    </row>
    <row r="521" ht="12.75">
      <c r="W521" s="159"/>
    </row>
    <row r="522" ht="12.75">
      <c r="W522" s="159"/>
    </row>
    <row r="523" ht="12.75">
      <c r="W523" s="159"/>
    </row>
    <row r="524" ht="12.75">
      <c r="W524" s="159"/>
    </row>
    <row r="525" ht="12.75">
      <c r="W525" s="159"/>
    </row>
    <row r="526" ht="12.75">
      <c r="W526" s="159"/>
    </row>
    <row r="527" ht="12.75">
      <c r="W527" s="159"/>
    </row>
    <row r="528" ht="12.75">
      <c r="W528" s="159"/>
    </row>
    <row r="529" ht="12.75">
      <c r="W529" s="159"/>
    </row>
    <row r="530" ht="12.75">
      <c r="W530" s="159"/>
    </row>
    <row r="531" ht="12.75">
      <c r="W531" s="159"/>
    </row>
    <row r="532" ht="12.75">
      <c r="W532" s="159"/>
    </row>
    <row r="533" ht="12.75">
      <c r="W533" s="159"/>
    </row>
    <row r="534" ht="12.75">
      <c r="W534" s="159"/>
    </row>
    <row r="535" ht="12.75">
      <c r="W535" s="159"/>
    </row>
    <row r="536" ht="12.75">
      <c r="W536" s="159"/>
    </row>
    <row r="537" ht="12.75">
      <c r="W537" s="159"/>
    </row>
    <row r="538" ht="12.75">
      <c r="W538" s="159"/>
    </row>
    <row r="539" ht="12.75">
      <c r="W539" s="159"/>
    </row>
    <row r="540" ht="12.75">
      <c r="W540" s="159"/>
    </row>
    <row r="541" ht="12.75">
      <c r="W541" s="159"/>
    </row>
    <row r="542" ht="12.75">
      <c r="W542" s="159"/>
    </row>
    <row r="543" ht="12.75">
      <c r="W543" s="159"/>
    </row>
    <row r="544" ht="12.75">
      <c r="W544" s="159"/>
    </row>
    <row r="545" ht="12.75">
      <c r="W545" s="159"/>
    </row>
    <row r="546" ht="12.75">
      <c r="W546" s="159"/>
    </row>
    <row r="547" ht="12.75">
      <c r="W547" s="159"/>
    </row>
    <row r="548" ht="12.75">
      <c r="W548" s="159"/>
    </row>
    <row r="549" ht="12.75">
      <c r="W549" s="159"/>
    </row>
    <row r="550" ht="12.75">
      <c r="W550" s="159"/>
    </row>
    <row r="551" ht="12.75">
      <c r="W551" s="159"/>
    </row>
    <row r="552" ht="12.75">
      <c r="W552" s="159"/>
    </row>
    <row r="553" ht="12.75">
      <c r="W553" s="159"/>
    </row>
    <row r="554" ht="12.75">
      <c r="W554" s="159"/>
    </row>
    <row r="555" ht="12.75">
      <c r="W555" s="159"/>
    </row>
    <row r="556" ht="12.75">
      <c r="W556" s="159"/>
    </row>
    <row r="557" ht="12.75">
      <c r="W557" s="159"/>
    </row>
    <row r="558" ht="12.75">
      <c r="W558" s="159"/>
    </row>
    <row r="559" ht="12.75">
      <c r="W559" s="159"/>
    </row>
    <row r="560" ht="12.75">
      <c r="W560" s="159"/>
    </row>
    <row r="561" ht="12.75">
      <c r="W561" s="159"/>
    </row>
    <row r="562" ht="12.75">
      <c r="W562" s="159"/>
    </row>
    <row r="563" ht="12.75">
      <c r="W563" s="159"/>
    </row>
    <row r="564" ht="12.75">
      <c r="W564" s="159"/>
    </row>
    <row r="565" ht="12.75">
      <c r="W565" s="159"/>
    </row>
    <row r="566" ht="12.75">
      <c r="W566" s="159"/>
    </row>
    <row r="567" ht="12.75">
      <c r="W567" s="159"/>
    </row>
    <row r="568" ht="12.75">
      <c r="W568" s="159"/>
    </row>
    <row r="569" ht="12.75">
      <c r="W569" s="159"/>
    </row>
    <row r="570" ht="12.75">
      <c r="W570" s="159"/>
    </row>
    <row r="571" ht="12.75">
      <c r="W571" s="159"/>
    </row>
    <row r="572" ht="12.75">
      <c r="W572" s="159"/>
    </row>
    <row r="573" ht="12.75">
      <c r="W573" s="159"/>
    </row>
    <row r="574" ht="12.75">
      <c r="W574" s="159"/>
    </row>
    <row r="575" ht="12.75">
      <c r="W575" s="159"/>
    </row>
    <row r="576" ht="12.75">
      <c r="W576" s="159"/>
    </row>
    <row r="577" ht="12.75">
      <c r="W577" s="159"/>
    </row>
    <row r="578" ht="12.75">
      <c r="W578" s="159"/>
    </row>
    <row r="579" ht="12.75">
      <c r="W579" s="159"/>
    </row>
    <row r="580" ht="12.75">
      <c r="W580" s="159"/>
    </row>
    <row r="581" ht="12.75">
      <c r="W581" s="159"/>
    </row>
    <row r="582" ht="12.75">
      <c r="W582" s="159"/>
    </row>
    <row r="583" ht="12.75">
      <c r="W583" s="159"/>
    </row>
    <row r="584" ht="12.75">
      <c r="W584" s="159"/>
    </row>
    <row r="585" ht="12.75">
      <c r="W585" s="159"/>
    </row>
    <row r="586" ht="12.75">
      <c r="W586" s="159"/>
    </row>
    <row r="587" ht="12.75">
      <c r="W587" s="159"/>
    </row>
    <row r="588" ht="12.75">
      <c r="W588" s="159"/>
    </row>
    <row r="589" ht="12.75">
      <c r="W589" s="159"/>
    </row>
    <row r="590" ht="12.75">
      <c r="W590" s="159"/>
    </row>
    <row r="591" ht="12.75">
      <c r="W591" s="159"/>
    </row>
    <row r="592" ht="12.75">
      <c r="W592" s="159"/>
    </row>
    <row r="593" ht="12.75">
      <c r="W593" s="159"/>
    </row>
    <row r="594" ht="12.75">
      <c r="W594" s="159"/>
    </row>
    <row r="595" ht="12.75">
      <c r="W595" s="159"/>
    </row>
    <row r="596" ht="12.75">
      <c r="W596" s="159"/>
    </row>
    <row r="597" ht="12.75">
      <c r="W597" s="159"/>
    </row>
    <row r="598" ht="12.75">
      <c r="W598" s="159"/>
    </row>
    <row r="599" ht="12.75">
      <c r="W599" s="159"/>
    </row>
    <row r="600" ht="12.75">
      <c r="W600" s="159"/>
    </row>
    <row r="601" ht="12.75">
      <c r="W601" s="159"/>
    </row>
    <row r="602" ht="12.75">
      <c r="W602" s="159"/>
    </row>
    <row r="603" ht="12.75">
      <c r="W603" s="159"/>
    </row>
    <row r="604" ht="12.75">
      <c r="W604" s="159"/>
    </row>
    <row r="605" ht="12.75">
      <c r="W605" s="159"/>
    </row>
    <row r="606" ht="12.75">
      <c r="W606" s="159"/>
    </row>
    <row r="607" ht="12.75">
      <c r="W607" s="159"/>
    </row>
    <row r="608" ht="12.75">
      <c r="W608" s="159"/>
    </row>
    <row r="609" ht="12.75">
      <c r="W609" s="159"/>
    </row>
    <row r="610" ht="12.75">
      <c r="W610" s="159"/>
    </row>
    <row r="611" ht="12.75">
      <c r="W611" s="159"/>
    </row>
    <row r="612" ht="12.75">
      <c r="W612" s="159"/>
    </row>
    <row r="613" ht="12.75">
      <c r="W613" s="159"/>
    </row>
    <row r="614" ht="12.75">
      <c r="W614" s="159"/>
    </row>
    <row r="615" ht="12.75">
      <c r="W615" s="159"/>
    </row>
    <row r="616" ht="12.75">
      <c r="W616" s="159"/>
    </row>
    <row r="617" ht="12.75">
      <c r="W617" s="159"/>
    </row>
    <row r="618" ht="12.75">
      <c r="W618" s="159"/>
    </row>
    <row r="619" ht="12.75">
      <c r="W619" s="159"/>
    </row>
    <row r="620" ht="12.75">
      <c r="W620" s="159"/>
    </row>
    <row r="621" ht="12.75">
      <c r="W621" s="159"/>
    </row>
    <row r="622" ht="12.75">
      <c r="W622" s="159"/>
    </row>
    <row r="623" ht="12.75">
      <c r="W623" s="159"/>
    </row>
    <row r="624" ht="12.75">
      <c r="W624" s="159"/>
    </row>
    <row r="625" ht="12.75">
      <c r="W625" s="159"/>
    </row>
    <row r="626" ht="12.75">
      <c r="W626" s="159"/>
    </row>
    <row r="627" ht="12.75">
      <c r="W627" s="159"/>
    </row>
    <row r="628" ht="12.75">
      <c r="W628" s="159"/>
    </row>
    <row r="629" ht="12.75">
      <c r="W629" s="159"/>
    </row>
    <row r="630" ht="12.75">
      <c r="W630" s="159"/>
    </row>
    <row r="631" ht="12.75">
      <c r="W631" s="159"/>
    </row>
    <row r="632" ht="12.75">
      <c r="W632" s="159"/>
    </row>
    <row r="633" ht="12.75">
      <c r="W633" s="159"/>
    </row>
    <row r="634" ht="12.75">
      <c r="W634" s="159"/>
    </row>
    <row r="635" ht="12.75">
      <c r="W635" s="159"/>
    </row>
    <row r="636" ht="12.75">
      <c r="W636" s="159"/>
    </row>
    <row r="637" ht="12.75">
      <c r="W637" s="159"/>
    </row>
    <row r="638" ht="12.75">
      <c r="W638" s="159"/>
    </row>
    <row r="639" ht="12.75">
      <c r="W639" s="159"/>
    </row>
    <row r="640" ht="12.75">
      <c r="W640" s="159"/>
    </row>
    <row r="641" ht="12.75">
      <c r="W641" s="159"/>
    </row>
    <row r="642" ht="12.75">
      <c r="W642" s="159"/>
    </row>
    <row r="643" ht="12.75">
      <c r="W643" s="159"/>
    </row>
    <row r="644" ht="12.75">
      <c r="W644" s="159"/>
    </row>
    <row r="645" ht="12.75">
      <c r="W645" s="159"/>
    </row>
    <row r="646" ht="12.75">
      <c r="W646" s="159"/>
    </row>
    <row r="647" ht="12.75">
      <c r="W647" s="159"/>
    </row>
    <row r="648" ht="12.75">
      <c r="W648" s="159"/>
    </row>
    <row r="649" ht="12.75">
      <c r="W649" s="159"/>
    </row>
    <row r="650" ht="12.75">
      <c r="W650" s="159"/>
    </row>
    <row r="651" ht="12.75">
      <c r="W651" s="159"/>
    </row>
    <row r="652" ht="12.75">
      <c r="W652" s="159"/>
    </row>
    <row r="653" ht="12.75">
      <c r="W653" s="159"/>
    </row>
    <row r="654" ht="12.75">
      <c r="W654" s="159"/>
    </row>
    <row r="655" ht="12.75">
      <c r="W655" s="159"/>
    </row>
    <row r="656" ht="12.75">
      <c r="W656" s="159"/>
    </row>
    <row r="657" ht="12.75">
      <c r="W657" s="159"/>
    </row>
    <row r="658" ht="12.75">
      <c r="W658" s="159"/>
    </row>
    <row r="659" ht="12.75">
      <c r="W659" s="159"/>
    </row>
    <row r="660" ht="12.75">
      <c r="W660" s="159"/>
    </row>
    <row r="661" ht="12.75">
      <c r="W661" s="159"/>
    </row>
    <row r="662" ht="12.75">
      <c r="W662" s="159"/>
    </row>
    <row r="663" ht="12.75">
      <c r="W663" s="159"/>
    </row>
    <row r="664" ht="12.75">
      <c r="W664" s="159"/>
    </row>
    <row r="665" ht="12.75">
      <c r="W665" s="159"/>
    </row>
    <row r="666" ht="12.75">
      <c r="W666" s="159"/>
    </row>
    <row r="667" ht="12.75">
      <c r="W667" s="159"/>
    </row>
    <row r="668" ht="12.75">
      <c r="W668" s="159"/>
    </row>
    <row r="669" ht="12.75">
      <c r="W669" s="159"/>
    </row>
    <row r="670" ht="12.75">
      <c r="W670" s="159"/>
    </row>
    <row r="671" ht="12.75">
      <c r="W671" s="159"/>
    </row>
    <row r="672" ht="12.75">
      <c r="W672" s="159"/>
    </row>
    <row r="673" ht="12.75">
      <c r="W673" s="159"/>
    </row>
    <row r="674" ht="12.75">
      <c r="W674" s="159"/>
    </row>
    <row r="675" ht="12.75">
      <c r="W675" s="159"/>
    </row>
    <row r="676" ht="12.75">
      <c r="W676" s="159"/>
    </row>
    <row r="677" ht="12.75">
      <c r="W677" s="159"/>
    </row>
    <row r="678" ht="12.75">
      <c r="W678" s="159"/>
    </row>
    <row r="679" ht="12.75">
      <c r="W679" s="159"/>
    </row>
    <row r="680" ht="12.75">
      <c r="W680" s="159"/>
    </row>
    <row r="681" ht="12.75">
      <c r="W681" s="159"/>
    </row>
    <row r="682" ht="12.75">
      <c r="W682" s="159"/>
    </row>
    <row r="683" ht="12.75">
      <c r="W683" s="159"/>
    </row>
    <row r="684" ht="12.75">
      <c r="W684" s="159"/>
    </row>
    <row r="685" ht="12.75">
      <c r="W685" s="159"/>
    </row>
    <row r="686" ht="12.75">
      <c r="W686" s="159"/>
    </row>
    <row r="687" ht="12.75">
      <c r="W687" s="159"/>
    </row>
    <row r="688" ht="12.75">
      <c r="W688" s="159"/>
    </row>
    <row r="689" ht="12.75">
      <c r="W689" s="159"/>
    </row>
    <row r="690" ht="12.75">
      <c r="W690" s="159"/>
    </row>
    <row r="691" ht="12.75">
      <c r="W691" s="159"/>
    </row>
    <row r="692" ht="12.75">
      <c r="W692" s="159"/>
    </row>
    <row r="693" ht="12.75">
      <c r="W693" s="159"/>
    </row>
    <row r="694" ht="12.75">
      <c r="W694" s="159"/>
    </row>
    <row r="695" ht="12.75">
      <c r="W695" s="159"/>
    </row>
    <row r="696" ht="12.75">
      <c r="W696" s="159"/>
    </row>
    <row r="697" ht="12.75">
      <c r="W697" s="159"/>
    </row>
    <row r="698" ht="12.75">
      <c r="W698" s="159"/>
    </row>
    <row r="699" ht="12.75">
      <c r="W699" s="159"/>
    </row>
    <row r="700" ht="12.75">
      <c r="W700" s="159"/>
    </row>
    <row r="701" ht="12.75">
      <c r="W701" s="159"/>
    </row>
    <row r="702" ht="12.75">
      <c r="W702" s="159"/>
    </row>
    <row r="703" ht="12.75">
      <c r="W703" s="159"/>
    </row>
    <row r="704" ht="12.75">
      <c r="W704" s="159"/>
    </row>
    <row r="705" ht="12.75">
      <c r="W705" s="159"/>
    </row>
    <row r="706" ht="12.75">
      <c r="W706" s="159"/>
    </row>
    <row r="707" ht="12.75">
      <c r="W707" s="159"/>
    </row>
    <row r="708" ht="12.75">
      <c r="W708" s="159"/>
    </row>
    <row r="709" ht="12.75">
      <c r="W709" s="159"/>
    </row>
    <row r="710" ht="12.75">
      <c r="W710" s="159"/>
    </row>
    <row r="711" ht="12.75">
      <c r="W711" s="159"/>
    </row>
    <row r="712" ht="12.75">
      <c r="W712" s="159"/>
    </row>
    <row r="713" ht="12.75">
      <c r="W713" s="159"/>
    </row>
    <row r="714" ht="12.75">
      <c r="W714" s="159"/>
    </row>
    <row r="715" ht="12.75">
      <c r="W715" s="159"/>
    </row>
    <row r="716" ht="12.75">
      <c r="W716" s="159"/>
    </row>
    <row r="717" ht="12.75">
      <c r="W717" s="159"/>
    </row>
    <row r="718" ht="12.75">
      <c r="W718" s="159"/>
    </row>
    <row r="719" ht="12.75">
      <c r="W719" s="159"/>
    </row>
    <row r="720" ht="12.75">
      <c r="W720" s="159"/>
    </row>
    <row r="721" ht="12.75">
      <c r="W721" s="159"/>
    </row>
    <row r="722" ht="12.75">
      <c r="W722" s="159"/>
    </row>
    <row r="723" ht="12.75">
      <c r="W723" s="159"/>
    </row>
    <row r="724" ht="12.75">
      <c r="W724" s="159"/>
    </row>
    <row r="725" ht="12.75">
      <c r="W725" s="159"/>
    </row>
    <row r="726" ht="12.75">
      <c r="W726" s="159"/>
    </row>
    <row r="727" ht="12.75">
      <c r="W727" s="159"/>
    </row>
    <row r="728" ht="12.75">
      <c r="W728" s="159"/>
    </row>
    <row r="729" ht="12.75">
      <c r="W729" s="159"/>
    </row>
    <row r="730" ht="12.75">
      <c r="W730" s="159"/>
    </row>
    <row r="731" ht="12.75">
      <c r="W731" s="159"/>
    </row>
    <row r="732" ht="12.75">
      <c r="W732" s="159"/>
    </row>
    <row r="733" ht="12.75">
      <c r="W733" s="159"/>
    </row>
    <row r="734" ht="12.75">
      <c r="W734" s="159"/>
    </row>
    <row r="735" ht="12.75">
      <c r="W735" s="159"/>
    </row>
    <row r="736" ht="12.75">
      <c r="W736" s="159"/>
    </row>
    <row r="737" ht="12.75">
      <c r="W737" s="159"/>
    </row>
    <row r="738" ht="12.75">
      <c r="W738" s="159"/>
    </row>
    <row r="739" ht="12.75">
      <c r="W739" s="159"/>
    </row>
    <row r="740" ht="12.75">
      <c r="W740" s="159"/>
    </row>
    <row r="741" ht="12.75">
      <c r="W741" s="159"/>
    </row>
    <row r="742" ht="12.75">
      <c r="W742" s="159"/>
    </row>
    <row r="743" ht="12.75">
      <c r="W743" s="159"/>
    </row>
    <row r="744" ht="12.75">
      <c r="W744" s="159"/>
    </row>
    <row r="745" ht="12.75">
      <c r="W745" s="159"/>
    </row>
    <row r="746" ht="12.75">
      <c r="W746" s="159"/>
    </row>
    <row r="747" ht="12.75">
      <c r="W747" s="159"/>
    </row>
    <row r="748" ht="12.75">
      <c r="W748" s="159"/>
    </row>
    <row r="749" ht="12.75">
      <c r="W749" s="159"/>
    </row>
    <row r="750" ht="12.75">
      <c r="W750" s="159"/>
    </row>
    <row r="751" ht="12.75">
      <c r="W751" s="159"/>
    </row>
    <row r="752" ht="12.75">
      <c r="W752" s="159"/>
    </row>
    <row r="753" ht="12.75">
      <c r="W753" s="159"/>
    </row>
    <row r="754" ht="12.75">
      <c r="W754" s="159"/>
    </row>
    <row r="755" ht="12.75">
      <c r="W755" s="159"/>
    </row>
    <row r="756" ht="12.75">
      <c r="W756" s="159"/>
    </row>
    <row r="757" ht="12.75">
      <c r="W757" s="159"/>
    </row>
    <row r="758" ht="12.75">
      <c r="W758" s="159"/>
    </row>
    <row r="759" ht="12.75">
      <c r="W759" s="159"/>
    </row>
    <row r="760" ht="12.75">
      <c r="W760" s="159"/>
    </row>
    <row r="761" ht="12.75">
      <c r="W761" s="159"/>
    </row>
    <row r="762" ht="12.75">
      <c r="W762" s="159"/>
    </row>
    <row r="763" ht="12.75">
      <c r="W763" s="159"/>
    </row>
    <row r="764" ht="12.75">
      <c r="W764" s="159"/>
    </row>
    <row r="765" ht="12.75">
      <c r="W765" s="159"/>
    </row>
    <row r="766" ht="12.75">
      <c r="W766" s="159"/>
    </row>
    <row r="767" ht="12.75">
      <c r="W767" s="159"/>
    </row>
    <row r="768" ht="12.75">
      <c r="W768" s="159"/>
    </row>
    <row r="769" ht="12.75">
      <c r="W769" s="191"/>
    </row>
    <row r="770" ht="12.75">
      <c r="W770" s="191"/>
    </row>
    <row r="771" ht="12.75">
      <c r="W771" s="191"/>
    </row>
    <row r="772" ht="12.75">
      <c r="W772" s="191"/>
    </row>
    <row r="773" ht="12.75">
      <c r="W773" s="191"/>
    </row>
    <row r="774" ht="12.75">
      <c r="W774" s="191"/>
    </row>
    <row r="775" ht="12.75">
      <c r="W775" s="191"/>
    </row>
    <row r="776" ht="12.75">
      <c r="W776" s="191"/>
    </row>
    <row r="777" ht="12.75">
      <c r="W777" s="191"/>
    </row>
    <row r="778" ht="12.75">
      <c r="W778" s="191"/>
    </row>
    <row r="779" ht="12.75">
      <c r="W779" s="191"/>
    </row>
    <row r="780" ht="12.75">
      <c r="W780" s="191"/>
    </row>
    <row r="781" ht="12.75">
      <c r="W781" s="191"/>
    </row>
    <row r="782" ht="12.75">
      <c r="W782" s="191"/>
    </row>
    <row r="783" ht="12.75">
      <c r="W783" s="191"/>
    </row>
    <row r="784" ht="12.75">
      <c r="W784" s="191"/>
    </row>
    <row r="785" ht="12.75">
      <c r="W785" s="191"/>
    </row>
    <row r="786" ht="12.75">
      <c r="W786" s="191"/>
    </row>
    <row r="787" ht="12.75">
      <c r="W787" s="191"/>
    </row>
    <row r="788" ht="12.75">
      <c r="W788" s="191"/>
    </row>
    <row r="789" ht="12.75">
      <c r="W789" s="191"/>
    </row>
    <row r="790" ht="12.75">
      <c r="W790" s="191"/>
    </row>
    <row r="791" ht="12.75">
      <c r="W791" s="191"/>
    </row>
    <row r="792" ht="12.75">
      <c r="W792" s="191"/>
    </row>
    <row r="793" ht="12.75">
      <c r="W793" s="191"/>
    </row>
    <row r="794" ht="12.75">
      <c r="W794" s="191"/>
    </row>
    <row r="795" ht="12.75">
      <c r="W795" s="191"/>
    </row>
    <row r="796" ht="12.75">
      <c r="W796" s="191"/>
    </row>
    <row r="797" ht="12.75">
      <c r="W797" s="191"/>
    </row>
    <row r="798" ht="12.75">
      <c r="W798" s="191"/>
    </row>
    <row r="799" ht="12.75">
      <c r="W799" s="191"/>
    </row>
    <row r="800" ht="12.75">
      <c r="W800" s="191"/>
    </row>
    <row r="801" ht="12.75">
      <c r="W801" s="191"/>
    </row>
    <row r="802" ht="12.75">
      <c r="W802" s="191"/>
    </row>
    <row r="803" ht="12.75">
      <c r="W803" s="191"/>
    </row>
    <row r="804" ht="12.75">
      <c r="W804" s="191"/>
    </row>
    <row r="805" ht="12.75">
      <c r="W805" s="191"/>
    </row>
    <row r="806" ht="12.75">
      <c r="W806" s="191"/>
    </row>
    <row r="807" ht="12.75">
      <c r="W807" s="191"/>
    </row>
    <row r="808" ht="12.75">
      <c r="W808" s="191"/>
    </row>
    <row r="809" ht="12.75">
      <c r="W809" s="191"/>
    </row>
    <row r="810" ht="12.75">
      <c r="W810" s="191"/>
    </row>
    <row r="811" ht="12.75">
      <c r="W811" s="191"/>
    </row>
    <row r="812" ht="12.75">
      <c r="W812" s="191"/>
    </row>
    <row r="813" ht="12.75">
      <c r="W813" s="191"/>
    </row>
    <row r="814" ht="12.75">
      <c r="W814" s="191"/>
    </row>
    <row r="815" ht="12.75">
      <c r="W815" s="191"/>
    </row>
    <row r="816" ht="12.75">
      <c r="W816" s="191"/>
    </row>
    <row r="817" ht="12.75">
      <c r="W817" s="191"/>
    </row>
    <row r="818" ht="12.75">
      <c r="W818" s="191"/>
    </row>
    <row r="819" ht="12.75">
      <c r="W819" s="191"/>
    </row>
    <row r="820" ht="12.75">
      <c r="W820" s="191"/>
    </row>
    <row r="821" ht="12.75">
      <c r="W821" s="191"/>
    </row>
    <row r="822" ht="12.75">
      <c r="W822" s="191"/>
    </row>
    <row r="823" ht="12.75">
      <c r="W823" s="191"/>
    </row>
    <row r="824" ht="12.75">
      <c r="W824" s="191"/>
    </row>
    <row r="825" ht="12.75">
      <c r="W825" s="191"/>
    </row>
    <row r="826" ht="12.75">
      <c r="W826" s="191"/>
    </row>
    <row r="827" ht="12.75">
      <c r="W827" s="191"/>
    </row>
    <row r="828" ht="12.75">
      <c r="W828" s="191"/>
    </row>
    <row r="829" ht="12.75">
      <c r="W829" s="191"/>
    </row>
    <row r="830" ht="12.75">
      <c r="W830" s="191"/>
    </row>
    <row r="831" ht="12.75">
      <c r="W831" s="191"/>
    </row>
  </sheetData>
  <mergeCells count="6">
    <mergeCell ref="D1:T1"/>
    <mergeCell ref="D3:T3"/>
    <mergeCell ref="D2:T2"/>
    <mergeCell ref="Y1:AQ1"/>
    <mergeCell ref="Y2:AQ2"/>
    <mergeCell ref="Y3:AQ3"/>
  </mergeCells>
  <printOptions horizontalCentered="1"/>
  <pageMargins left="0.5" right="0.5" top="1" bottom="0.5" header="0.5" footer="0.5"/>
  <pageSetup fitToHeight="0" horizontalDpi="600" verticalDpi="600" orientation="landscape" scale="70" r:id="rId3"/>
  <rowBreaks count="13" manualBreakCount="13">
    <brk id="57" min="1" max="21" man="1"/>
    <brk id="104" min="1" max="21" man="1"/>
    <brk id="104" min="22" max="42" man="1"/>
    <brk id="130" min="1" max="21" man="1"/>
    <brk id="130" min="22" max="42" man="1"/>
    <brk id="175" min="1" max="21" man="1"/>
    <brk id="175" min="22" max="42" man="1"/>
    <brk id="213" min="1" max="21" man="1"/>
    <brk id="215" min="22" max="42" man="1"/>
    <brk id="219" min="22" max="42" man="1"/>
    <brk id="221" min="1" max="21" man="1"/>
    <brk id="261" min="1" max="21" man="1"/>
    <brk id="261" min="22" max="42" man="1"/>
  </row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T194"/>
  <sheetViews>
    <sheetView workbookViewId="0" topLeftCell="A1">
      <selection activeCell="W30" sqref="W30"/>
    </sheetView>
  </sheetViews>
  <sheetFormatPr defaultColWidth="8.88671875" defaultRowHeight="12.75"/>
  <cols>
    <col min="1" max="1" width="6.77734375" style="312" customWidth="1"/>
    <col min="2" max="2" width="1.77734375" style="312" customWidth="1"/>
    <col min="3" max="3" width="7.77734375" style="312" customWidth="1"/>
    <col min="4" max="4" width="1.77734375" style="312" customWidth="1"/>
    <col min="5" max="5" width="7.77734375" style="312" customWidth="1"/>
    <col min="6" max="6" width="1.77734375" style="312" customWidth="1"/>
    <col min="7" max="7" width="8.77734375" style="312" customWidth="1"/>
    <col min="8" max="8" width="1.77734375" style="312" customWidth="1"/>
    <col min="9" max="9" width="7.77734375" style="312" customWidth="1"/>
    <col min="10" max="10" width="1.77734375" style="312" customWidth="1"/>
    <col min="11" max="11" width="7.77734375" style="312" customWidth="1"/>
    <col min="12" max="12" width="1.77734375" style="312" customWidth="1"/>
    <col min="13" max="13" width="7.77734375" style="312" customWidth="1"/>
    <col min="14" max="14" width="1.77734375" style="312" customWidth="1"/>
    <col min="15" max="15" width="7.77734375" style="312" customWidth="1"/>
    <col min="16" max="16" width="1.77734375" style="312" customWidth="1"/>
    <col min="17" max="17" width="7.77734375" style="312" customWidth="1"/>
    <col min="18" max="18" width="1.77734375" style="312" customWidth="1"/>
    <col min="19" max="19" width="7.77734375" style="312" customWidth="1"/>
    <col min="20" max="20" width="1.77734375" style="312" customWidth="1"/>
    <col min="21" max="21" width="7.77734375" style="312" customWidth="1"/>
    <col min="22" max="22" width="1.77734375" style="312" customWidth="1"/>
    <col min="23" max="23" width="7.77734375" style="312" customWidth="1"/>
    <col min="24" max="24" width="1.77734375" style="312" customWidth="1"/>
    <col min="25" max="25" width="7.77734375" style="312" customWidth="1"/>
    <col min="26" max="26" width="1.77734375" style="312" customWidth="1"/>
    <col min="27" max="27" width="7.77734375" style="312" customWidth="1"/>
    <col min="28" max="28" width="1.77734375" style="312" customWidth="1"/>
    <col min="29" max="29" width="7.77734375" style="312" customWidth="1"/>
    <col min="30" max="30" width="1.77734375" style="312" customWidth="1"/>
    <col min="31" max="31" width="8.77734375" style="312" customWidth="1"/>
    <col min="32" max="16384" width="9.77734375" style="312" customWidth="1"/>
  </cols>
  <sheetData>
    <row r="1" spans="1:31" ht="15">
      <c r="A1" s="488" t="s">
        <v>369</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311"/>
      <c r="AC1" s="311"/>
      <c r="AD1" s="311"/>
      <c r="AE1" s="311"/>
    </row>
    <row r="2" spans="1:31" ht="15">
      <c r="A2" s="505"/>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311"/>
      <c r="AC2" s="311"/>
      <c r="AD2" s="311"/>
      <c r="AE2" s="311"/>
    </row>
    <row r="3" spans="1:31" ht="15">
      <c r="A3" s="135"/>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row>
    <row r="4" spans="1:31" ht="15">
      <c r="A4" s="489" t="s">
        <v>257</v>
      </c>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311"/>
      <c r="AC4" s="311"/>
      <c r="AD4" s="311"/>
      <c r="AE4" s="311"/>
    </row>
    <row r="5" spans="1:31" ht="15">
      <c r="A5" s="313"/>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row>
    <row r="6" spans="1:31" ht="15">
      <c r="A6" s="313"/>
      <c r="B6" s="313"/>
      <c r="C6" s="313"/>
      <c r="D6" s="313"/>
      <c r="F6" s="313"/>
      <c r="G6" s="313"/>
      <c r="H6" s="313"/>
      <c r="J6" s="313"/>
      <c r="K6" s="313"/>
      <c r="L6" s="313"/>
      <c r="N6" s="313"/>
      <c r="O6" s="313"/>
      <c r="P6" s="313"/>
      <c r="R6" s="313"/>
      <c r="S6" s="313"/>
      <c r="T6" s="313"/>
      <c r="V6" s="313"/>
      <c r="W6" s="313"/>
      <c r="X6" s="313"/>
      <c r="Z6" s="313"/>
      <c r="AA6" s="313"/>
      <c r="AB6" s="313"/>
      <c r="AD6" s="313"/>
      <c r="AE6" s="313"/>
    </row>
    <row r="7" spans="1:28" ht="15">
      <c r="A7" s="314"/>
      <c r="B7" s="314"/>
      <c r="C7" s="314" t="s">
        <v>258</v>
      </c>
      <c r="D7" s="314"/>
      <c r="E7" s="311" t="s">
        <v>61</v>
      </c>
      <c r="F7" s="311"/>
      <c r="G7" s="311"/>
      <c r="H7" s="314"/>
      <c r="I7" s="311" t="s">
        <v>194</v>
      </c>
      <c r="J7" s="311"/>
      <c r="K7" s="311"/>
      <c r="L7" s="314"/>
      <c r="M7" s="311" t="s">
        <v>63</v>
      </c>
      <c r="N7" s="311"/>
      <c r="O7" s="311"/>
      <c r="P7" s="314"/>
      <c r="Q7" s="311" t="s">
        <v>64</v>
      </c>
      <c r="R7" s="311"/>
      <c r="S7" s="311"/>
      <c r="T7" s="314"/>
      <c r="U7" s="507" t="s">
        <v>427</v>
      </c>
      <c r="V7" s="507"/>
      <c r="W7" s="507"/>
      <c r="X7" s="314"/>
      <c r="Y7" s="311" t="s">
        <v>184</v>
      </c>
      <c r="Z7" s="311"/>
      <c r="AA7" s="311"/>
      <c r="AB7" s="314"/>
    </row>
    <row r="8" spans="1:28" ht="15">
      <c r="A8" s="314" t="s">
        <v>259</v>
      </c>
      <c r="B8" s="314"/>
      <c r="C8" s="314" t="s">
        <v>186</v>
      </c>
      <c r="D8" s="314"/>
      <c r="E8" s="315" t="s">
        <v>169</v>
      </c>
      <c r="F8" s="315"/>
      <c r="G8" s="315"/>
      <c r="H8" s="314"/>
      <c r="I8" s="315" t="s">
        <v>169</v>
      </c>
      <c r="J8" s="315"/>
      <c r="K8" s="315"/>
      <c r="L8" s="314"/>
      <c r="M8" s="315" t="s">
        <v>169</v>
      </c>
      <c r="N8" s="315"/>
      <c r="O8" s="315"/>
      <c r="P8" s="314"/>
      <c r="Q8" s="315" t="s">
        <v>169</v>
      </c>
      <c r="R8" s="315"/>
      <c r="S8" s="315"/>
      <c r="T8" s="314"/>
      <c r="U8" s="315" t="s">
        <v>169</v>
      </c>
      <c r="V8" s="315"/>
      <c r="W8" s="315"/>
      <c r="X8" s="314"/>
      <c r="Y8" s="315" t="s">
        <v>169</v>
      </c>
      <c r="Z8" s="315"/>
      <c r="AA8" s="315"/>
      <c r="AB8" s="314"/>
    </row>
    <row r="9" spans="1:28" ht="15">
      <c r="A9" s="314" t="s">
        <v>187</v>
      </c>
      <c r="B9" s="314"/>
      <c r="C9" s="314" t="s">
        <v>188</v>
      </c>
      <c r="D9" s="314"/>
      <c r="E9" s="314" t="s">
        <v>260</v>
      </c>
      <c r="F9" s="314"/>
      <c r="G9" s="314" t="s">
        <v>190</v>
      </c>
      <c r="H9" s="314"/>
      <c r="I9" s="314" t="s">
        <v>260</v>
      </c>
      <c r="J9" s="314"/>
      <c r="K9" s="314" t="s">
        <v>190</v>
      </c>
      <c r="L9" s="314"/>
      <c r="M9" s="314" t="s">
        <v>260</v>
      </c>
      <c r="N9" s="314"/>
      <c r="O9" s="314" t="s">
        <v>190</v>
      </c>
      <c r="P9" s="314"/>
      <c r="Q9" s="314" t="s">
        <v>260</v>
      </c>
      <c r="R9" s="314"/>
      <c r="S9" s="314" t="s">
        <v>190</v>
      </c>
      <c r="T9" s="314"/>
      <c r="U9" s="314" t="s">
        <v>260</v>
      </c>
      <c r="V9" s="314"/>
      <c r="W9" s="314" t="s">
        <v>190</v>
      </c>
      <c r="X9" s="314"/>
      <c r="Y9" s="314" t="s">
        <v>260</v>
      </c>
      <c r="Z9" s="314"/>
      <c r="AA9" s="314" t="s">
        <v>190</v>
      </c>
      <c r="AB9" s="314"/>
    </row>
    <row r="10" spans="1:28" ht="15">
      <c r="A10" s="316">
        <v>-1</v>
      </c>
      <c r="B10" s="317"/>
      <c r="C10" s="316">
        <v>-2</v>
      </c>
      <c r="D10" s="317"/>
      <c r="E10" s="316">
        <v>-3</v>
      </c>
      <c r="F10" s="318"/>
      <c r="G10" s="319" t="s">
        <v>191</v>
      </c>
      <c r="H10" s="318"/>
      <c r="I10" s="316">
        <v>-5</v>
      </c>
      <c r="J10" s="317"/>
      <c r="K10" s="316" t="s">
        <v>192</v>
      </c>
      <c r="L10" s="317"/>
      <c r="M10" s="316">
        <v>-7</v>
      </c>
      <c r="N10" s="317"/>
      <c r="O10" s="316" t="s">
        <v>195</v>
      </c>
      <c r="P10" s="317"/>
      <c r="Q10" s="316">
        <v>-9</v>
      </c>
      <c r="R10" s="317"/>
      <c r="S10" s="316" t="s">
        <v>196</v>
      </c>
      <c r="T10" s="317"/>
      <c r="U10" s="316">
        <v>-11</v>
      </c>
      <c r="V10" s="317"/>
      <c r="W10" s="316" t="s">
        <v>218</v>
      </c>
      <c r="X10" s="317"/>
      <c r="Y10" s="316">
        <v>-13</v>
      </c>
      <c r="Z10" s="317"/>
      <c r="AA10" s="316">
        <v>-14</v>
      </c>
      <c r="AB10" s="317"/>
    </row>
    <row r="11" spans="1:40" ht="15">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H11" s="160"/>
      <c r="AI11" s="290"/>
      <c r="AJ11" s="290"/>
      <c r="AK11" s="290"/>
      <c r="AL11" s="290"/>
      <c r="AM11" s="290"/>
      <c r="AN11" s="321"/>
    </row>
    <row r="12" spans="1:40" ht="15">
      <c r="A12" s="314" t="s">
        <v>261</v>
      </c>
      <c r="B12" s="313"/>
      <c r="C12" s="468">
        <v>1</v>
      </c>
      <c r="D12" s="313"/>
      <c r="E12" s="320">
        <v>78362</v>
      </c>
      <c r="F12" s="313"/>
      <c r="G12" s="320">
        <f>ROUND(+E12*$C12,0)</f>
        <v>78362</v>
      </c>
      <c r="H12" s="313"/>
      <c r="I12" s="320">
        <v>3708</v>
      </c>
      <c r="J12" s="313"/>
      <c r="K12" s="320">
        <f>ROUND(+I12*$C12,0)</f>
        <v>3708</v>
      </c>
      <c r="L12" s="313"/>
      <c r="M12" s="320">
        <v>16</v>
      </c>
      <c r="N12" s="313"/>
      <c r="O12" s="320">
        <f>ROUND(+M12*$C12,0)</f>
        <v>16</v>
      </c>
      <c r="P12" s="313"/>
      <c r="Q12" s="320">
        <v>181</v>
      </c>
      <c r="R12" s="313"/>
      <c r="S12" s="320">
        <f>ROUND(+Q12*$C12,0)</f>
        <v>181</v>
      </c>
      <c r="T12" s="313"/>
      <c r="U12" s="320"/>
      <c r="V12" s="313"/>
      <c r="W12" s="320">
        <f>ROUND(+U12*$C12,0)</f>
        <v>0</v>
      </c>
      <c r="X12" s="313"/>
      <c r="Y12" s="320">
        <f>E12+I12+M12+Q12+U12</f>
        <v>82267</v>
      </c>
      <c r="Z12" s="313"/>
      <c r="AA12" s="320">
        <f>G12+K12+O12+S12+W12</f>
        <v>82267</v>
      </c>
      <c r="AB12" s="313"/>
      <c r="AH12" s="160"/>
      <c r="AI12" s="413"/>
      <c r="AJ12" s="413"/>
      <c r="AK12" s="330"/>
      <c r="AL12" s="413"/>
      <c r="AM12" s="330"/>
      <c r="AN12" s="321"/>
    </row>
    <row r="13" spans="1:40" ht="15">
      <c r="A13" s="314"/>
      <c r="B13" s="313"/>
      <c r="C13" s="468"/>
      <c r="D13" s="313"/>
      <c r="E13" s="313"/>
      <c r="F13" s="313"/>
      <c r="G13" s="320"/>
      <c r="H13" s="313"/>
      <c r="I13" s="313"/>
      <c r="J13" s="313"/>
      <c r="K13" s="320"/>
      <c r="L13" s="313"/>
      <c r="M13" s="313"/>
      <c r="N13" s="313"/>
      <c r="O13" s="320"/>
      <c r="P13" s="313"/>
      <c r="Q13" s="313"/>
      <c r="R13" s="313"/>
      <c r="S13" s="320"/>
      <c r="T13" s="313"/>
      <c r="U13" s="313"/>
      <c r="V13" s="313"/>
      <c r="W13" s="320"/>
      <c r="X13" s="313"/>
      <c r="Y13" s="320"/>
      <c r="Z13" s="313"/>
      <c r="AA13" s="320"/>
      <c r="AB13" s="313"/>
      <c r="AH13" s="160"/>
      <c r="AI13" s="290"/>
      <c r="AJ13" s="290"/>
      <c r="AK13" s="290"/>
      <c r="AL13" s="290"/>
      <c r="AM13" s="290"/>
      <c r="AN13" s="321"/>
    </row>
    <row r="14" spans="1:40" ht="15">
      <c r="A14" s="314" t="s">
        <v>262</v>
      </c>
      <c r="B14" s="313"/>
      <c r="C14" s="468">
        <v>1.1</v>
      </c>
      <c r="D14" s="313"/>
      <c r="E14" s="320"/>
      <c r="F14" s="313"/>
      <c r="G14" s="320">
        <f>ROUND(+E14*$C14,0)</f>
        <v>0</v>
      </c>
      <c r="H14" s="313"/>
      <c r="I14" s="320"/>
      <c r="J14" s="313"/>
      <c r="K14" s="320">
        <f>ROUND(+I14*$C14,0)</f>
        <v>0</v>
      </c>
      <c r="L14" s="313"/>
      <c r="M14" s="320"/>
      <c r="N14" s="313"/>
      <c r="O14" s="320">
        <f>ROUND(+M14*$C14,0)</f>
        <v>0</v>
      </c>
      <c r="P14" s="313"/>
      <c r="Q14" s="320"/>
      <c r="R14" s="313"/>
      <c r="S14" s="320">
        <f>ROUND(+Q14*$C14,0)</f>
        <v>0</v>
      </c>
      <c r="T14" s="313"/>
      <c r="U14" s="320"/>
      <c r="V14" s="313"/>
      <c r="W14" s="320">
        <f>ROUND(+U14*$C14,0)</f>
        <v>0</v>
      </c>
      <c r="X14" s="313"/>
      <c r="Y14" s="320">
        <f>E14+I14+M14+Q14+U14</f>
        <v>0</v>
      </c>
      <c r="Z14" s="313"/>
      <c r="AA14" s="320">
        <f>G14+K14+O14+S14+W14</f>
        <v>0</v>
      </c>
      <c r="AB14" s="313"/>
      <c r="AH14" s="160"/>
      <c r="AI14" s="290"/>
      <c r="AJ14" s="290"/>
      <c r="AK14" s="290"/>
      <c r="AL14" s="290"/>
      <c r="AM14" s="290"/>
      <c r="AN14" s="321"/>
    </row>
    <row r="15" spans="1:40" ht="15">
      <c r="A15" s="314"/>
      <c r="B15" s="313"/>
      <c r="C15" s="468"/>
      <c r="D15" s="313"/>
      <c r="E15" s="320"/>
      <c r="F15" s="313"/>
      <c r="G15" s="313"/>
      <c r="H15" s="313"/>
      <c r="I15" s="320"/>
      <c r="J15" s="313"/>
      <c r="K15" s="313"/>
      <c r="L15" s="313"/>
      <c r="M15" s="320"/>
      <c r="N15" s="313"/>
      <c r="O15" s="313"/>
      <c r="P15" s="313"/>
      <c r="Q15" s="320"/>
      <c r="R15" s="313"/>
      <c r="S15" s="313"/>
      <c r="T15" s="313"/>
      <c r="U15" s="320"/>
      <c r="V15" s="313"/>
      <c r="W15" s="313"/>
      <c r="X15" s="313"/>
      <c r="Y15" s="320"/>
      <c r="Z15" s="313"/>
      <c r="AA15" s="320"/>
      <c r="AB15" s="313"/>
      <c r="AH15" s="160"/>
      <c r="AI15" s="290"/>
      <c r="AJ15" s="290"/>
      <c r="AK15" s="290"/>
      <c r="AL15" s="290"/>
      <c r="AM15" s="290"/>
      <c r="AN15" s="321"/>
    </row>
    <row r="16" spans="1:40" ht="15">
      <c r="A16" s="314" t="s">
        <v>263</v>
      </c>
      <c r="B16" s="313"/>
      <c r="C16" s="468">
        <v>1.8</v>
      </c>
      <c r="D16" s="313"/>
      <c r="E16" s="320">
        <v>538</v>
      </c>
      <c r="F16" s="313"/>
      <c r="G16" s="320">
        <f>ROUND(+E16*$C16,0)</f>
        <v>968</v>
      </c>
      <c r="H16" s="313"/>
      <c r="I16" s="320">
        <v>1018</v>
      </c>
      <c r="J16" s="313"/>
      <c r="K16" s="320">
        <f>ROUND(+I16*$C16,0)</f>
        <v>1832</v>
      </c>
      <c r="L16" s="313"/>
      <c r="M16" s="320">
        <v>8.8</v>
      </c>
      <c r="N16" s="313"/>
      <c r="O16" s="320">
        <f>ROUND(+M16*$C16,0)</f>
        <v>16</v>
      </c>
      <c r="P16" s="313"/>
      <c r="Q16" s="320">
        <v>66</v>
      </c>
      <c r="R16" s="313"/>
      <c r="S16" s="320">
        <f>ROUND(+Q16*$C16,0)</f>
        <v>119</v>
      </c>
      <c r="T16" s="313"/>
      <c r="U16" s="320"/>
      <c r="V16" s="313"/>
      <c r="W16" s="320">
        <f>ROUND(+U16*$C16,0)</f>
        <v>0</v>
      </c>
      <c r="X16" s="313"/>
      <c r="Y16" s="320">
        <f>E16+I16+M16+Q16+U16</f>
        <v>1630.8</v>
      </c>
      <c r="Z16" s="313"/>
      <c r="AA16" s="320">
        <f>G16+K16+O16+S16+W16</f>
        <v>2935</v>
      </c>
      <c r="AB16" s="313"/>
      <c r="AH16" s="160"/>
      <c r="AI16" s="290"/>
      <c r="AJ16" s="290"/>
      <c r="AK16" s="290"/>
      <c r="AL16" s="290"/>
      <c r="AM16" s="290"/>
      <c r="AN16" s="321"/>
    </row>
    <row r="17" spans="1:40" ht="15">
      <c r="A17" s="314"/>
      <c r="B17" s="313"/>
      <c r="C17" s="468"/>
      <c r="D17" s="313"/>
      <c r="E17" s="320"/>
      <c r="F17" s="313"/>
      <c r="G17" s="313"/>
      <c r="H17" s="313"/>
      <c r="I17" s="320"/>
      <c r="J17" s="313"/>
      <c r="K17" s="313"/>
      <c r="L17" s="313"/>
      <c r="M17" s="320"/>
      <c r="N17" s="313"/>
      <c r="O17" s="313"/>
      <c r="P17" s="313"/>
      <c r="Q17" s="320"/>
      <c r="R17" s="313"/>
      <c r="S17" s="313"/>
      <c r="T17" s="313"/>
      <c r="U17" s="320"/>
      <c r="V17" s="313"/>
      <c r="W17" s="313"/>
      <c r="X17" s="313"/>
      <c r="Y17" s="320"/>
      <c r="Z17" s="313"/>
      <c r="AA17" s="320"/>
      <c r="AB17" s="313"/>
      <c r="AH17" s="160"/>
      <c r="AI17" s="290"/>
      <c r="AJ17" s="290"/>
      <c r="AK17" s="290"/>
      <c r="AL17" s="290"/>
      <c r="AM17" s="290"/>
      <c r="AN17" s="321"/>
    </row>
    <row r="18" spans="1:40" ht="15">
      <c r="A18" s="314" t="s">
        <v>264</v>
      </c>
      <c r="B18" s="313"/>
      <c r="C18" s="468">
        <v>3.7</v>
      </c>
      <c r="D18" s="313"/>
      <c r="E18" s="320">
        <v>24</v>
      </c>
      <c r="F18" s="313"/>
      <c r="G18" s="320">
        <f>ROUND(+E18*$C18,0)</f>
        <v>89</v>
      </c>
      <c r="H18" s="313"/>
      <c r="I18" s="320">
        <v>728</v>
      </c>
      <c r="J18" s="313"/>
      <c r="K18" s="320">
        <f>ROUND(+I18*$C18,0)</f>
        <v>2694</v>
      </c>
      <c r="L18" s="313"/>
      <c r="M18" s="320">
        <v>13</v>
      </c>
      <c r="N18" s="313"/>
      <c r="O18" s="320">
        <f>ROUND(+M18*$C18,0)</f>
        <v>48</v>
      </c>
      <c r="P18" s="313"/>
      <c r="Q18" s="320">
        <v>42</v>
      </c>
      <c r="R18" s="313"/>
      <c r="S18" s="320">
        <f>ROUND(+Q18*$C18,0)</f>
        <v>155</v>
      </c>
      <c r="T18" s="313"/>
      <c r="U18" s="320"/>
      <c r="V18" s="313"/>
      <c r="W18" s="320">
        <f>ROUND(+U18*$C18,0)</f>
        <v>0</v>
      </c>
      <c r="X18" s="313"/>
      <c r="Y18" s="320">
        <f>E18+I18+M18+Q18+U18</f>
        <v>807</v>
      </c>
      <c r="Z18" s="313"/>
      <c r="AA18" s="320">
        <f>G18+K18+O18+S18+W18</f>
        <v>2986</v>
      </c>
      <c r="AB18" s="313"/>
      <c r="AH18" s="160"/>
      <c r="AI18" s="290"/>
      <c r="AJ18" s="290"/>
      <c r="AK18" s="290"/>
      <c r="AL18" s="290"/>
      <c r="AM18" s="290"/>
      <c r="AN18" s="321"/>
    </row>
    <row r="19" spans="1:40" ht="15">
      <c r="A19" s="314"/>
      <c r="B19" s="313"/>
      <c r="C19" s="468"/>
      <c r="D19" s="313"/>
      <c r="E19" s="320"/>
      <c r="F19" s="313"/>
      <c r="G19" s="313"/>
      <c r="H19" s="313"/>
      <c r="I19" s="320"/>
      <c r="J19" s="313"/>
      <c r="K19" s="313"/>
      <c r="L19" s="313"/>
      <c r="M19" s="320"/>
      <c r="N19" s="313"/>
      <c r="O19" s="313"/>
      <c r="P19" s="313"/>
      <c r="Q19" s="320"/>
      <c r="R19" s="313"/>
      <c r="S19" s="313"/>
      <c r="T19" s="313"/>
      <c r="U19" s="320"/>
      <c r="V19" s="313"/>
      <c r="W19" s="313"/>
      <c r="X19" s="313"/>
      <c r="Y19" s="320"/>
      <c r="Z19" s="313"/>
      <c r="AA19" s="320"/>
      <c r="AB19" s="313"/>
      <c r="AH19" s="160"/>
      <c r="AI19" s="290"/>
      <c r="AJ19" s="290"/>
      <c r="AK19" s="290"/>
      <c r="AL19" s="290"/>
      <c r="AM19" s="290"/>
      <c r="AN19" s="321"/>
    </row>
    <row r="20" spans="1:40" ht="15">
      <c r="A20" s="314" t="s">
        <v>265</v>
      </c>
      <c r="B20" s="313"/>
      <c r="C20" s="468">
        <v>4.3</v>
      </c>
      <c r="D20" s="313"/>
      <c r="E20" s="320">
        <v>5</v>
      </c>
      <c r="F20" s="313"/>
      <c r="G20" s="320">
        <f>ROUND(+E20*$C20,0)</f>
        <v>22</v>
      </c>
      <c r="H20" s="313"/>
      <c r="I20" s="320">
        <v>676</v>
      </c>
      <c r="J20" s="313"/>
      <c r="K20" s="320">
        <f>ROUND(+I20*$C20,0)</f>
        <v>2907</v>
      </c>
      <c r="L20" s="313"/>
      <c r="M20" s="320">
        <v>45</v>
      </c>
      <c r="N20" s="313"/>
      <c r="O20" s="320">
        <f>ROUND(+M20*$C20,0)</f>
        <v>194</v>
      </c>
      <c r="P20" s="313"/>
      <c r="Q20" s="320">
        <v>148</v>
      </c>
      <c r="R20" s="313"/>
      <c r="S20" s="320">
        <f>ROUND(+Q20*$C20,0)</f>
        <v>636</v>
      </c>
      <c r="T20" s="313"/>
      <c r="U20" s="320"/>
      <c r="V20" s="313"/>
      <c r="W20" s="320">
        <f>ROUND(+U20*$C20,0)</f>
        <v>0</v>
      </c>
      <c r="X20" s="313"/>
      <c r="Y20" s="320">
        <f>E20+I20+M20+Q20+U20</f>
        <v>874</v>
      </c>
      <c r="Z20" s="313"/>
      <c r="AA20" s="320">
        <f>G20+K20+O20+S20+W20</f>
        <v>3759</v>
      </c>
      <c r="AB20" s="313"/>
      <c r="AH20" s="160"/>
      <c r="AI20" s="290"/>
      <c r="AJ20" s="290"/>
      <c r="AK20" s="290"/>
      <c r="AL20" s="290"/>
      <c r="AM20" s="290"/>
      <c r="AN20" s="321"/>
    </row>
    <row r="21" spans="1:40" ht="15">
      <c r="A21" s="314"/>
      <c r="B21" s="313"/>
      <c r="C21" s="468"/>
      <c r="D21" s="313"/>
      <c r="E21" s="320"/>
      <c r="F21" s="313"/>
      <c r="G21" s="313"/>
      <c r="H21" s="313"/>
      <c r="I21" s="320"/>
      <c r="J21" s="313"/>
      <c r="K21" s="313"/>
      <c r="L21" s="313"/>
      <c r="M21" s="320"/>
      <c r="N21" s="313"/>
      <c r="O21" s="313"/>
      <c r="P21" s="313"/>
      <c r="Q21" s="320"/>
      <c r="R21" s="313"/>
      <c r="S21" s="313"/>
      <c r="T21" s="313"/>
      <c r="U21" s="320"/>
      <c r="V21" s="313"/>
      <c r="W21" s="313"/>
      <c r="X21" s="313"/>
      <c r="Y21" s="320"/>
      <c r="Z21" s="313"/>
      <c r="AA21" s="320"/>
      <c r="AB21" s="313"/>
      <c r="AH21" s="160"/>
      <c r="AI21" s="290"/>
      <c r="AJ21" s="290"/>
      <c r="AK21" s="290"/>
      <c r="AL21" s="290"/>
      <c r="AM21" s="290"/>
      <c r="AN21" s="321"/>
    </row>
    <row r="22" spans="1:39" ht="15">
      <c r="A22" s="314" t="s">
        <v>266</v>
      </c>
      <c r="B22" s="313"/>
      <c r="C22" s="468">
        <v>10.6</v>
      </c>
      <c r="D22" s="313"/>
      <c r="E22" s="320"/>
      <c r="F22" s="313"/>
      <c r="G22" s="320">
        <f>ROUND(+E22*$C22,0)</f>
        <v>0</v>
      </c>
      <c r="H22" s="313"/>
      <c r="I22" s="320">
        <v>98</v>
      </c>
      <c r="J22" s="313"/>
      <c r="K22" s="320">
        <f>ROUND(+I22*$C22,0)</f>
        <v>1039</v>
      </c>
      <c r="L22" s="313"/>
      <c r="M22" s="320">
        <v>16</v>
      </c>
      <c r="N22" s="313"/>
      <c r="O22" s="320">
        <f>ROUND(+M22*$C22,0)</f>
        <v>170</v>
      </c>
      <c r="P22" s="313"/>
      <c r="Q22" s="320">
        <v>57</v>
      </c>
      <c r="R22" s="313"/>
      <c r="S22" s="320">
        <f>ROUND(+Q22*$C22,0)</f>
        <v>604</v>
      </c>
      <c r="T22" s="313"/>
      <c r="U22" s="320"/>
      <c r="V22" s="313"/>
      <c r="W22" s="320">
        <f>ROUND(+U22*$C22,0)</f>
        <v>0</v>
      </c>
      <c r="X22" s="313"/>
      <c r="Y22" s="320">
        <f>E22+I22+M22+Q22+U22</f>
        <v>171</v>
      </c>
      <c r="Z22" s="313"/>
      <c r="AA22" s="320">
        <f>G22+K22+O22+S22+W22</f>
        <v>1813</v>
      </c>
      <c r="AB22" s="313"/>
      <c r="AH22" s="160"/>
      <c r="AI22" s="290"/>
      <c r="AJ22" s="290"/>
      <c r="AK22" s="290"/>
      <c r="AL22" s="290"/>
      <c r="AM22" s="290"/>
    </row>
    <row r="23" spans="1:40" ht="15">
      <c r="A23" s="314"/>
      <c r="B23" s="313"/>
      <c r="C23" s="468"/>
      <c r="D23" s="313"/>
      <c r="E23" s="320"/>
      <c r="F23" s="313"/>
      <c r="G23" s="313"/>
      <c r="H23" s="313"/>
      <c r="I23" s="320"/>
      <c r="J23" s="313"/>
      <c r="K23" s="313"/>
      <c r="L23" s="313"/>
      <c r="M23" s="320"/>
      <c r="N23" s="313"/>
      <c r="O23" s="313"/>
      <c r="P23" s="313"/>
      <c r="Q23" s="320"/>
      <c r="R23" s="313"/>
      <c r="S23" s="313"/>
      <c r="T23" s="313"/>
      <c r="U23" s="320"/>
      <c r="V23" s="313"/>
      <c r="W23" s="313"/>
      <c r="X23" s="313"/>
      <c r="Y23" s="320"/>
      <c r="Z23" s="313"/>
      <c r="AA23" s="320"/>
      <c r="AB23" s="313"/>
      <c r="AH23" s="160"/>
      <c r="AI23" s="413"/>
      <c r="AJ23" s="413"/>
      <c r="AK23" s="413"/>
      <c r="AL23" s="413"/>
      <c r="AM23" s="413"/>
      <c r="AN23" s="321"/>
    </row>
    <row r="24" spans="1:40" ht="15">
      <c r="A24" s="314" t="s">
        <v>267</v>
      </c>
      <c r="B24" s="313"/>
      <c r="C24" s="468">
        <v>14.9</v>
      </c>
      <c r="D24" s="313"/>
      <c r="E24" s="320"/>
      <c r="F24" s="313"/>
      <c r="G24" s="320">
        <f>ROUND(+E24*$C24,0)</f>
        <v>0</v>
      </c>
      <c r="H24" s="313"/>
      <c r="I24" s="320">
        <v>72</v>
      </c>
      <c r="J24" s="313"/>
      <c r="K24" s="320">
        <f>ROUND(+I24*$C24,0)</f>
        <v>1073</v>
      </c>
      <c r="L24" s="313"/>
      <c r="M24" s="320">
        <v>13</v>
      </c>
      <c r="N24" s="313"/>
      <c r="O24" s="320">
        <f>ROUND(+M24*$C24,0)</f>
        <v>194</v>
      </c>
      <c r="P24" s="313"/>
      <c r="Q24" s="320">
        <v>35</v>
      </c>
      <c r="R24" s="313"/>
      <c r="S24" s="320">
        <f>ROUND(+Q24*$C24,0)</f>
        <v>522</v>
      </c>
      <c r="T24" s="313"/>
      <c r="U24" s="320">
        <v>2</v>
      </c>
      <c r="V24" s="313"/>
      <c r="W24" s="320">
        <f>ROUND(+U24*$C24,0)</f>
        <v>30</v>
      </c>
      <c r="X24" s="313"/>
      <c r="Y24" s="320">
        <f>E24+I24+M24+Q24+U24</f>
        <v>122</v>
      </c>
      <c r="Z24" s="313"/>
      <c r="AA24" s="320">
        <f>G24+K24+O24+S24+W24</f>
        <v>1819</v>
      </c>
      <c r="AB24" s="313"/>
      <c r="AH24" s="160"/>
      <c r="AI24" s="330"/>
      <c r="AJ24" s="413"/>
      <c r="AK24" s="413"/>
      <c r="AL24" s="413"/>
      <c r="AM24" s="413"/>
      <c r="AN24" s="321"/>
    </row>
    <row r="25" spans="1:40" ht="15">
      <c r="A25" s="314"/>
      <c r="B25" s="313"/>
      <c r="C25" s="468"/>
      <c r="D25" s="313"/>
      <c r="E25" s="320"/>
      <c r="F25" s="313"/>
      <c r="G25" s="313"/>
      <c r="H25" s="313"/>
      <c r="I25" s="320"/>
      <c r="J25" s="313"/>
      <c r="K25" s="313"/>
      <c r="L25" s="313"/>
      <c r="M25" s="320"/>
      <c r="N25" s="313"/>
      <c r="O25" s="313"/>
      <c r="P25" s="313"/>
      <c r="Q25" s="320"/>
      <c r="R25" s="313"/>
      <c r="S25" s="313"/>
      <c r="T25" s="313"/>
      <c r="U25" s="320"/>
      <c r="V25" s="313"/>
      <c r="W25" s="313"/>
      <c r="X25" s="313"/>
      <c r="Y25" s="320"/>
      <c r="Z25" s="313"/>
      <c r="AA25" s="320"/>
      <c r="AB25" s="313"/>
      <c r="AH25" s="160"/>
      <c r="AI25" s="330"/>
      <c r="AJ25" s="413"/>
      <c r="AK25" s="413"/>
      <c r="AL25" s="413"/>
      <c r="AM25" s="330"/>
      <c r="AN25" s="321"/>
    </row>
    <row r="26" spans="1:39" ht="15">
      <c r="A26" s="314" t="s">
        <v>268</v>
      </c>
      <c r="B26" s="313"/>
      <c r="C26" s="468">
        <v>27.9</v>
      </c>
      <c r="D26" s="313"/>
      <c r="E26" s="320"/>
      <c r="F26" s="313"/>
      <c r="G26" s="320">
        <f>ROUND(+E26*$C26,0)</f>
        <v>0</v>
      </c>
      <c r="H26" s="313"/>
      <c r="I26" s="320">
        <v>87</v>
      </c>
      <c r="J26" s="313"/>
      <c r="K26" s="320">
        <f>ROUND(+I26*$C26,0)</f>
        <v>2427</v>
      </c>
      <c r="L26" s="313"/>
      <c r="M26" s="320">
        <v>9</v>
      </c>
      <c r="N26" s="313"/>
      <c r="O26" s="320">
        <f>ROUND(+M26*$C26,0)</f>
        <v>251</v>
      </c>
      <c r="P26" s="313"/>
      <c r="Q26" s="320">
        <v>14</v>
      </c>
      <c r="R26" s="313"/>
      <c r="S26" s="320">
        <f>ROUND(+Q26*$C26,0)</f>
        <v>391</v>
      </c>
      <c r="T26" s="313"/>
      <c r="U26" s="320">
        <v>2</v>
      </c>
      <c r="V26" s="313"/>
      <c r="W26" s="320">
        <f>ROUND(+U26*$C26,0)</f>
        <v>56</v>
      </c>
      <c r="X26" s="313"/>
      <c r="Y26" s="320">
        <f>E26+I26+M26+Q26+U26</f>
        <v>112</v>
      </c>
      <c r="Z26" s="313"/>
      <c r="AA26" s="320">
        <f>G26+K26+O26+S26+W26</f>
        <v>3125</v>
      </c>
      <c r="AB26" s="313"/>
      <c r="AH26" s="160"/>
      <c r="AI26" s="330"/>
      <c r="AJ26" s="330"/>
      <c r="AK26" s="330"/>
      <c r="AL26" s="413"/>
      <c r="AM26" s="330"/>
    </row>
    <row r="27" spans="1:39" ht="15">
      <c r="A27" s="314"/>
      <c r="B27" s="313"/>
      <c r="C27" s="468"/>
      <c r="D27" s="313"/>
      <c r="E27" s="320"/>
      <c r="F27" s="313"/>
      <c r="G27" s="327"/>
      <c r="H27" s="313"/>
      <c r="I27" s="320"/>
      <c r="J27" s="313"/>
      <c r="K27" s="313"/>
      <c r="L27" s="313"/>
      <c r="M27" s="320"/>
      <c r="N27" s="313"/>
      <c r="O27" s="313"/>
      <c r="P27" s="313"/>
      <c r="Q27" s="320"/>
      <c r="R27" s="313"/>
      <c r="S27" s="313"/>
      <c r="T27" s="313"/>
      <c r="U27" s="320"/>
      <c r="V27" s="313"/>
      <c r="W27" s="313"/>
      <c r="X27" s="313"/>
      <c r="Y27" s="320"/>
      <c r="Z27" s="313"/>
      <c r="AA27" s="320"/>
      <c r="AB27" s="313"/>
      <c r="AH27" s="160"/>
      <c r="AI27" s="330"/>
      <c r="AJ27" s="413"/>
      <c r="AK27" s="330"/>
      <c r="AL27" s="413"/>
      <c r="AM27" s="330"/>
    </row>
    <row r="28" spans="1:39" ht="15">
      <c r="A28" s="314" t="s">
        <v>269</v>
      </c>
      <c r="B28" s="313"/>
      <c r="C28" s="468">
        <v>57.5</v>
      </c>
      <c r="D28" s="313"/>
      <c r="E28" s="320"/>
      <c r="F28" s="313"/>
      <c r="G28" s="326">
        <f>ROUND(+E28*$C28,0)</f>
        <v>0</v>
      </c>
      <c r="H28" s="313"/>
      <c r="I28" s="320">
        <v>44</v>
      </c>
      <c r="J28" s="313"/>
      <c r="K28" s="320">
        <f>ROUND(+I28*$C28,0)</f>
        <v>2530</v>
      </c>
      <c r="L28" s="313"/>
      <c r="M28" s="320">
        <v>5</v>
      </c>
      <c r="N28" s="313"/>
      <c r="O28" s="320">
        <f>ROUND(+M28*$C28,0)</f>
        <v>288</v>
      </c>
      <c r="P28" s="313"/>
      <c r="Q28" s="320">
        <v>5</v>
      </c>
      <c r="R28" s="313"/>
      <c r="S28" s="320">
        <f>ROUND(+Q28*$C28,0)</f>
        <v>288</v>
      </c>
      <c r="T28" s="313"/>
      <c r="U28" s="320"/>
      <c r="V28" s="313"/>
      <c r="W28" s="320">
        <f>ROUND(+U28*$C28,0)</f>
        <v>0</v>
      </c>
      <c r="X28" s="313"/>
      <c r="Y28" s="320">
        <f>E28+I28+M28+Q28+U28</f>
        <v>54</v>
      </c>
      <c r="Z28" s="313"/>
      <c r="AA28" s="320">
        <f>G28+K28+O28+S28+W28</f>
        <v>3106</v>
      </c>
      <c r="AB28" s="313"/>
      <c r="AH28" s="160"/>
      <c r="AI28" s="330"/>
      <c r="AJ28" s="413"/>
      <c r="AK28" s="413"/>
      <c r="AL28" s="413"/>
      <c r="AM28" s="330"/>
    </row>
    <row r="29" spans="1:39" ht="15">
      <c r="A29" s="314"/>
      <c r="B29" s="313"/>
      <c r="C29" s="468"/>
      <c r="D29" s="313"/>
      <c r="E29" s="320"/>
      <c r="F29" s="313"/>
      <c r="G29" s="327"/>
      <c r="H29" s="313"/>
      <c r="I29" s="320"/>
      <c r="J29" s="313"/>
      <c r="K29" s="313"/>
      <c r="L29" s="313"/>
      <c r="M29" s="320"/>
      <c r="N29" s="313"/>
      <c r="O29" s="313"/>
      <c r="P29" s="313"/>
      <c r="Q29" s="320"/>
      <c r="R29" s="313"/>
      <c r="S29" s="313"/>
      <c r="T29" s="313"/>
      <c r="U29" s="320"/>
      <c r="V29" s="313"/>
      <c r="W29" s="320"/>
      <c r="X29" s="313"/>
      <c r="Y29" s="320"/>
      <c r="Z29" s="313"/>
      <c r="AA29" s="320"/>
      <c r="AB29" s="313"/>
      <c r="AH29" s="160"/>
      <c r="AI29" s="330"/>
      <c r="AJ29" s="413"/>
      <c r="AK29" s="413"/>
      <c r="AL29" s="330"/>
      <c r="AM29" s="330"/>
    </row>
    <row r="30" spans="1:39" ht="15">
      <c r="A30" s="314">
        <v>10</v>
      </c>
      <c r="B30" s="313"/>
      <c r="C30" s="468">
        <f>+C28</f>
        <v>57.5</v>
      </c>
      <c r="D30" s="313"/>
      <c r="E30" s="320"/>
      <c r="F30" s="313"/>
      <c r="G30" s="414">
        <f>ROUND(+E30*$C30,0)</f>
        <v>0</v>
      </c>
      <c r="H30" s="313"/>
      <c r="I30" s="320">
        <v>1</v>
      </c>
      <c r="J30" s="313"/>
      <c r="K30" s="320">
        <f>ROUND(+I30*$C30,0)</f>
        <v>58</v>
      </c>
      <c r="L30" s="313"/>
      <c r="M30" s="320">
        <v>4</v>
      </c>
      <c r="N30" s="313"/>
      <c r="O30" s="320">
        <f>ROUND(+M30*$C30,0)</f>
        <v>230</v>
      </c>
      <c r="P30" s="313"/>
      <c r="Q30" s="320">
        <v>3</v>
      </c>
      <c r="R30" s="313"/>
      <c r="S30" s="320">
        <f>ROUND(+Q30*$C30,0)</f>
        <v>173</v>
      </c>
      <c r="T30" s="313"/>
      <c r="U30" s="320"/>
      <c r="V30" s="313"/>
      <c r="W30" s="320"/>
      <c r="X30" s="313"/>
      <c r="Y30" s="320">
        <f>E30+I30+M30+Q30+U30</f>
        <v>8</v>
      </c>
      <c r="Z30" s="313"/>
      <c r="AA30" s="320">
        <f>G30+K30+O30+S30+W30</f>
        <v>461</v>
      </c>
      <c r="AB30" s="313"/>
      <c r="AH30" s="160"/>
      <c r="AI30" s="330"/>
      <c r="AJ30" s="413"/>
      <c r="AK30" s="413"/>
      <c r="AL30" s="330"/>
      <c r="AM30" s="330"/>
    </row>
    <row r="31" spans="1:39" ht="15.75" customHeight="1">
      <c r="A31" s="313"/>
      <c r="B31" s="313"/>
      <c r="C31" s="313"/>
      <c r="D31" s="313"/>
      <c r="E31" s="322"/>
      <c r="F31" s="313"/>
      <c r="G31" s="327"/>
      <c r="H31" s="313"/>
      <c r="I31" s="322"/>
      <c r="J31" s="313"/>
      <c r="K31" s="322"/>
      <c r="L31" s="313"/>
      <c r="M31" s="322"/>
      <c r="N31" s="313"/>
      <c r="O31" s="322"/>
      <c r="P31" s="313"/>
      <c r="Q31" s="322"/>
      <c r="R31" s="313"/>
      <c r="S31" s="322"/>
      <c r="T31" s="313"/>
      <c r="U31" s="322"/>
      <c r="V31" s="313"/>
      <c r="W31" s="322"/>
      <c r="X31" s="313"/>
      <c r="Y31" s="322"/>
      <c r="Z31" s="313"/>
      <c r="AA31" s="322"/>
      <c r="AB31" s="313"/>
      <c r="AI31" s="330"/>
      <c r="AJ31" s="330"/>
      <c r="AK31" s="330"/>
      <c r="AL31" s="330"/>
      <c r="AM31" s="330"/>
    </row>
    <row r="32" spans="1:46" ht="15.75" thickBot="1">
      <c r="A32" s="313" t="s">
        <v>184</v>
      </c>
      <c r="B32" s="313"/>
      <c r="C32" s="313"/>
      <c r="D32" s="313"/>
      <c r="E32" s="323">
        <f>SUM(E12:E30)</f>
        <v>78929</v>
      </c>
      <c r="F32" s="313"/>
      <c r="G32" s="323">
        <f>SUM(G12:G30)</f>
        <v>79441</v>
      </c>
      <c r="H32" s="313"/>
      <c r="I32" s="323">
        <f>SUM(I12:I30)</f>
        <v>6432</v>
      </c>
      <c r="J32" s="313"/>
      <c r="K32" s="323">
        <f>SUM(K12:K30)</f>
        <v>18268</v>
      </c>
      <c r="L32" s="313"/>
      <c r="M32" s="323">
        <f>SUM(M12:M30)</f>
        <v>129.8</v>
      </c>
      <c r="N32" s="313"/>
      <c r="O32" s="323">
        <f>SUM(O12:O30)</f>
        <v>1407</v>
      </c>
      <c r="P32" s="313"/>
      <c r="Q32" s="323">
        <f>SUM(Q12:Q30)</f>
        <v>551</v>
      </c>
      <c r="R32" s="313"/>
      <c r="S32" s="323">
        <f>SUM(S12:S30)</f>
        <v>3069</v>
      </c>
      <c r="T32" s="313"/>
      <c r="U32" s="323">
        <f>SUM(U12:U30)</f>
        <v>4</v>
      </c>
      <c r="V32" s="313"/>
      <c r="W32" s="323">
        <f>SUM(W12:W30)</f>
        <v>86</v>
      </c>
      <c r="X32" s="313"/>
      <c r="Y32" s="323">
        <f>SUM(Y12:Y30)</f>
        <v>86045.8</v>
      </c>
      <c r="Z32" s="313"/>
      <c r="AA32" s="323">
        <f>SUM(AA12:AA30)</f>
        <v>102271</v>
      </c>
      <c r="AB32" s="313"/>
      <c r="AC32" s="324"/>
      <c r="AD32" s="324"/>
      <c r="AE32" s="324"/>
      <c r="AH32" s="413">
        <f>+SUM(AI32:AN32)</f>
        <v>0</v>
      </c>
      <c r="AI32" s="413">
        <f>SUM(AI11:AI31)</f>
        <v>0</v>
      </c>
      <c r="AJ32" s="413">
        <f aca="true" t="shared" si="0" ref="AJ32:AT32">SUM(AJ11:AJ31)</f>
        <v>0</v>
      </c>
      <c r="AK32" s="413">
        <f t="shared" si="0"/>
        <v>0</v>
      </c>
      <c r="AL32" s="413">
        <f t="shared" si="0"/>
        <v>0</v>
      </c>
      <c r="AM32" s="413">
        <f t="shared" si="0"/>
        <v>0</v>
      </c>
      <c r="AN32" s="413">
        <f t="shared" si="0"/>
        <v>0</v>
      </c>
      <c r="AO32" s="413">
        <f t="shared" si="0"/>
        <v>0</v>
      </c>
      <c r="AP32" s="413">
        <f t="shared" si="0"/>
        <v>0</v>
      </c>
      <c r="AQ32" s="413">
        <f t="shared" si="0"/>
        <v>0</v>
      </c>
      <c r="AR32" s="413">
        <f t="shared" si="0"/>
        <v>0</v>
      </c>
      <c r="AS32" s="413">
        <f t="shared" si="0"/>
        <v>0</v>
      </c>
      <c r="AT32" s="413">
        <f t="shared" si="0"/>
        <v>0</v>
      </c>
    </row>
    <row r="33" spans="1:31" ht="15.75" thickTop="1">
      <c r="A33" s="313"/>
      <c r="B33" s="313"/>
      <c r="C33" s="313"/>
      <c r="D33" s="313"/>
      <c r="E33" s="325"/>
      <c r="F33" s="313"/>
      <c r="G33" s="325"/>
      <c r="H33" s="313"/>
      <c r="I33" s="325"/>
      <c r="J33" s="313"/>
      <c r="K33" s="326"/>
      <c r="L33" s="313"/>
      <c r="M33" s="325"/>
      <c r="N33" s="313"/>
      <c r="O33" s="325"/>
      <c r="P33" s="313"/>
      <c r="Q33" s="325"/>
      <c r="R33" s="313"/>
      <c r="S33" s="325"/>
      <c r="T33" s="313"/>
      <c r="U33" s="325"/>
      <c r="V33" s="313"/>
      <c r="W33" s="325"/>
      <c r="X33" s="313"/>
      <c r="Y33" s="325"/>
      <c r="Z33" s="313"/>
      <c r="AA33" s="325"/>
      <c r="AB33" s="313"/>
      <c r="AC33" s="326"/>
      <c r="AD33" s="327"/>
      <c r="AE33" s="326"/>
    </row>
    <row r="34" spans="1:40" ht="15">
      <c r="A34" s="328" t="s">
        <v>369</v>
      </c>
      <c r="B34" s="311"/>
      <c r="C34" s="311"/>
      <c r="D34" s="311"/>
      <c r="E34" s="311"/>
      <c r="F34" s="311"/>
      <c r="G34" s="311"/>
      <c r="H34" s="311"/>
      <c r="I34" s="311"/>
      <c r="J34" s="311"/>
      <c r="K34" s="311"/>
      <c r="L34" s="311"/>
      <c r="M34" s="328"/>
      <c r="N34" s="311"/>
      <c r="O34" s="311"/>
      <c r="P34" s="311"/>
      <c r="Q34" s="311"/>
      <c r="R34" s="311"/>
      <c r="S34" s="311"/>
      <c r="T34" s="311"/>
      <c r="U34" s="311"/>
      <c r="V34" s="311"/>
      <c r="W34" s="311"/>
      <c r="X34" s="311"/>
      <c r="Y34" s="311"/>
      <c r="Z34" s="311"/>
      <c r="AA34" s="311"/>
      <c r="AB34" s="311"/>
      <c r="AC34" s="311"/>
      <c r="AD34" s="311"/>
      <c r="AE34" s="311"/>
      <c r="AI34" s="312">
        <f>+AI11/4+AI12/12+AI13/4+AI14/12+AI15/4+AI16/12+AI17/4+AI18/12</f>
        <v>0</v>
      </c>
      <c r="AJ34" s="312">
        <f>+AJ11/4+AJ12/12+AJ13/4+AJ14/12+AJ15/4+AJ16/12+AJ17/4+AJ18/12+AJ19/4+AJ20/12+AJ21/4+AJ22/12+AJ23/4+AJ24/12+AJ25/4+AJ26/12+AJ27/4+AJ28/12</f>
        <v>0</v>
      </c>
      <c r="AK34" s="312">
        <f>+AK11/4+AK12/12+AK13/4+AK14/12+AK15/4+AK16/12+AK17/4+AK18/12+AK19/4+AK20/12+AK21/4+AK22/12+AK23/4+AK24/12+AK25/4+AK26/12+AK27/4+AK28/12</f>
        <v>0</v>
      </c>
      <c r="AL34" s="312">
        <f>+AL11/4+AL12/12+AL13/4+AL14/12+AL15/4+AL16/12+AL17/4+AL18/12+AL19/4+AL20/12+AL21/4+AL22/12+AL23/4+AL24/12+AL25/4+AL26/12+AL27/4+AL28/12</f>
        <v>0</v>
      </c>
      <c r="AM34" s="312">
        <f>+AM11/4+AM12/12+AM13/4+AM14/12+AM15/4+AM16/12+AM17/4+AM18/12+AM19/4+AM20/12+AM21/4+AM22/12+AM23/4+AM24/12+AM25/4+AM26/12+AM27/4+AM28/12</f>
        <v>0</v>
      </c>
      <c r="AN34" s="312">
        <f>+AN11/4+AN12/12+AN13/4+AN14/12+AN15/4+AN16/12+AN17/4+AN18/12+AN19/4+AN20/12+AN21/4+AN22/12+AN23/4+AN24/12+AN25/4+AN26/12+AN27/4+AN28/12</f>
        <v>0</v>
      </c>
    </row>
    <row r="35" spans="1:36" ht="15">
      <c r="A35" s="328"/>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11"/>
      <c r="AC35" s="311"/>
      <c r="AD35" s="311"/>
      <c r="AE35" s="311"/>
      <c r="AJ35" s="312">
        <f>+AJ34+AN34</f>
        <v>0</v>
      </c>
    </row>
    <row r="36" spans="1:31" ht="11.25" customHeight="1">
      <c r="A36" s="311"/>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row>
    <row r="37" spans="1:31" ht="15">
      <c r="A37" s="311" t="s">
        <v>179</v>
      </c>
      <c r="B37" s="311"/>
      <c r="C37" s="311"/>
      <c r="D37" s="311"/>
      <c r="E37" s="311"/>
      <c r="F37" s="311"/>
      <c r="G37" s="311"/>
      <c r="H37" s="311"/>
      <c r="I37" s="311"/>
      <c r="J37" s="311"/>
      <c r="K37" s="328"/>
      <c r="L37" s="311"/>
      <c r="M37" s="311"/>
      <c r="N37" s="311"/>
      <c r="O37" s="311"/>
      <c r="P37" s="311"/>
      <c r="Q37" s="311"/>
      <c r="R37" s="311"/>
      <c r="S37" s="311"/>
      <c r="T37" s="311"/>
      <c r="U37" s="311"/>
      <c r="V37" s="311"/>
      <c r="W37" s="311"/>
      <c r="X37" s="311"/>
      <c r="Y37" s="311"/>
      <c r="Z37" s="311"/>
      <c r="AA37" s="311"/>
      <c r="AB37" s="311"/>
      <c r="AC37" s="311"/>
      <c r="AD37" s="311"/>
      <c r="AE37" s="311"/>
    </row>
    <row r="38" spans="1:27" ht="15">
      <c r="A38" s="313"/>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row>
    <row r="39" spans="1:27" ht="15">
      <c r="A39" s="314"/>
      <c r="B39" s="314"/>
      <c r="C39" s="314" t="s">
        <v>180</v>
      </c>
      <c r="D39" s="314"/>
      <c r="E39" s="311" t="s">
        <v>61</v>
      </c>
      <c r="F39" s="311"/>
      <c r="G39" s="311"/>
      <c r="H39" s="314"/>
      <c r="I39" s="311" t="s">
        <v>194</v>
      </c>
      <c r="J39" s="311"/>
      <c r="K39" s="311"/>
      <c r="L39" s="314"/>
      <c r="M39" s="311" t="s">
        <v>63</v>
      </c>
      <c r="N39" s="311"/>
      <c r="O39" s="311"/>
      <c r="P39" s="314"/>
      <c r="Q39" s="311" t="s">
        <v>64</v>
      </c>
      <c r="R39" s="311"/>
      <c r="S39" s="311"/>
      <c r="T39" s="314"/>
      <c r="U39" s="507" t="s">
        <v>427</v>
      </c>
      <c r="V39" s="507"/>
      <c r="W39" s="507"/>
      <c r="X39" s="314"/>
      <c r="Y39" s="311" t="s">
        <v>184</v>
      </c>
      <c r="Z39" s="311"/>
      <c r="AA39" s="311"/>
    </row>
    <row r="40" spans="1:27" ht="15">
      <c r="A40" s="314" t="s">
        <v>185</v>
      </c>
      <c r="B40" s="314"/>
      <c r="C40" s="314" t="s">
        <v>186</v>
      </c>
      <c r="D40" s="314"/>
      <c r="E40" s="315" t="s">
        <v>169</v>
      </c>
      <c r="F40" s="315"/>
      <c r="G40" s="315"/>
      <c r="H40" s="314"/>
      <c r="I40" s="315" t="s">
        <v>169</v>
      </c>
      <c r="J40" s="315"/>
      <c r="K40" s="315"/>
      <c r="L40" s="314"/>
      <c r="M40" s="315" t="s">
        <v>169</v>
      </c>
      <c r="N40" s="315"/>
      <c r="O40" s="315"/>
      <c r="P40" s="314"/>
      <c r="Q40" s="315" t="s">
        <v>169</v>
      </c>
      <c r="R40" s="315"/>
      <c r="S40" s="315"/>
      <c r="T40" s="314"/>
      <c r="U40" s="315" t="s">
        <v>169</v>
      </c>
      <c r="V40" s="315"/>
      <c r="W40" s="315"/>
      <c r="X40" s="314"/>
      <c r="Y40" s="315" t="s">
        <v>169</v>
      </c>
      <c r="Z40" s="315"/>
      <c r="AA40" s="315"/>
    </row>
    <row r="41" spans="1:27" ht="15">
      <c r="A41" s="314" t="s">
        <v>187</v>
      </c>
      <c r="B41" s="314"/>
      <c r="C41" s="314" t="s">
        <v>188</v>
      </c>
      <c r="D41" s="314"/>
      <c r="E41" s="314" t="s">
        <v>189</v>
      </c>
      <c r="F41" s="314"/>
      <c r="G41" s="314" t="s">
        <v>190</v>
      </c>
      <c r="H41" s="314"/>
      <c r="I41" s="314" t="s">
        <v>189</v>
      </c>
      <c r="J41" s="314"/>
      <c r="K41" s="314" t="s">
        <v>190</v>
      </c>
      <c r="L41" s="314"/>
      <c r="M41" s="314" t="s">
        <v>189</v>
      </c>
      <c r="N41" s="314"/>
      <c r="O41" s="314" t="s">
        <v>190</v>
      </c>
      <c r="P41" s="314"/>
      <c r="Q41" s="314" t="s">
        <v>189</v>
      </c>
      <c r="R41" s="314"/>
      <c r="S41" s="314" t="s">
        <v>190</v>
      </c>
      <c r="T41" s="314"/>
      <c r="U41" s="314" t="s">
        <v>189</v>
      </c>
      <c r="V41" s="314"/>
      <c r="W41" s="314" t="s">
        <v>190</v>
      </c>
      <c r="X41" s="314"/>
      <c r="Y41" s="314" t="s">
        <v>189</v>
      </c>
      <c r="Z41" s="314"/>
      <c r="AA41" s="314" t="s">
        <v>190</v>
      </c>
    </row>
    <row r="42" spans="1:27" ht="15">
      <c r="A42" s="316">
        <v>-1</v>
      </c>
      <c r="B42" s="317"/>
      <c r="C42" s="316">
        <v>-2</v>
      </c>
      <c r="D42" s="317"/>
      <c r="E42" s="316">
        <v>-3</v>
      </c>
      <c r="F42" s="317"/>
      <c r="G42" s="316" t="s">
        <v>191</v>
      </c>
      <c r="H42" s="317"/>
      <c r="I42" s="316">
        <v>-5</v>
      </c>
      <c r="J42" s="317"/>
      <c r="K42" s="316" t="s">
        <v>192</v>
      </c>
      <c r="L42" s="317"/>
      <c r="M42" s="316">
        <v>-7</v>
      </c>
      <c r="N42" s="317"/>
      <c r="O42" s="316" t="s">
        <v>195</v>
      </c>
      <c r="P42" s="317"/>
      <c r="Q42" s="316">
        <v>-9</v>
      </c>
      <c r="R42" s="317"/>
      <c r="S42" s="316" t="s">
        <v>196</v>
      </c>
      <c r="T42" s="317"/>
      <c r="U42" s="316">
        <v>-11</v>
      </c>
      <c r="V42" s="317"/>
      <c r="W42" s="316" t="s">
        <v>218</v>
      </c>
      <c r="X42" s="317"/>
      <c r="Y42" s="316">
        <v>-15</v>
      </c>
      <c r="Z42" s="317"/>
      <c r="AA42" s="316">
        <v>-16</v>
      </c>
    </row>
    <row r="43" spans="1:27" ht="15">
      <c r="A43" s="313"/>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row>
    <row r="44" spans="1:27" ht="15">
      <c r="A44" s="329" t="s">
        <v>262</v>
      </c>
      <c r="B44" s="313"/>
      <c r="C44" s="469">
        <v>1</v>
      </c>
      <c r="D44" s="313"/>
      <c r="E44" s="320">
        <f>E12+E14</f>
        <v>78362</v>
      </c>
      <c r="F44" s="313"/>
      <c r="G44" s="320">
        <f>ROUND(+E44*$C44,0)</f>
        <v>78362</v>
      </c>
      <c r="H44" s="313"/>
      <c r="I44" s="320">
        <f>I12+I14</f>
        <v>3708</v>
      </c>
      <c r="J44" s="313"/>
      <c r="K44" s="320">
        <f>ROUND(+I44*$C44,0)</f>
        <v>3708</v>
      </c>
      <c r="L44" s="313"/>
      <c r="M44" s="320">
        <f>M12+M14</f>
        <v>16</v>
      </c>
      <c r="N44" s="313"/>
      <c r="O44" s="320">
        <f>ROUND(+M44*$C44,0)</f>
        <v>16</v>
      </c>
      <c r="P44" s="313"/>
      <c r="Q44" s="320">
        <f>Q12+Q14</f>
        <v>181</v>
      </c>
      <c r="R44" s="313"/>
      <c r="S44" s="320">
        <f>ROUND(+Q44*$C44,0)</f>
        <v>181</v>
      </c>
      <c r="T44" s="313"/>
      <c r="U44" s="320">
        <f>U12+U14</f>
        <v>0</v>
      </c>
      <c r="V44" s="313"/>
      <c r="W44" s="320">
        <f>ROUND(+U44*$C44,0)</f>
        <v>0</v>
      </c>
      <c r="X44" s="313"/>
      <c r="Y44" s="320">
        <f>E44+I44+M44+Q44+U44</f>
        <v>82267</v>
      </c>
      <c r="Z44" s="313"/>
      <c r="AA44" s="320">
        <f>G44+K44+O44+S44+W44</f>
        <v>82267</v>
      </c>
    </row>
    <row r="45" spans="1:27" ht="15">
      <c r="A45" s="329"/>
      <c r="B45" s="313"/>
      <c r="C45" s="469"/>
      <c r="D45" s="313"/>
      <c r="E45" s="313"/>
      <c r="F45" s="313"/>
      <c r="G45" s="320"/>
      <c r="H45" s="313"/>
      <c r="I45" s="313"/>
      <c r="J45" s="313"/>
      <c r="K45" s="320"/>
      <c r="L45" s="313"/>
      <c r="M45" s="313"/>
      <c r="N45" s="313"/>
      <c r="O45" s="320"/>
      <c r="P45" s="313"/>
      <c r="Q45" s="313"/>
      <c r="R45" s="313"/>
      <c r="S45" s="320"/>
      <c r="T45" s="313"/>
      <c r="U45" s="313"/>
      <c r="V45" s="313"/>
      <c r="W45" s="320"/>
      <c r="X45" s="313"/>
      <c r="Y45" s="313"/>
      <c r="Z45" s="313"/>
      <c r="AA45" s="313"/>
    </row>
    <row r="46" spans="1:27" ht="15">
      <c r="A46" s="329" t="s">
        <v>263</v>
      </c>
      <c r="B46" s="313"/>
      <c r="C46" s="469">
        <v>1.2458565985379757</v>
      </c>
      <c r="D46" s="313"/>
      <c r="E46" s="320">
        <f>E16</f>
        <v>538</v>
      </c>
      <c r="F46" s="313"/>
      <c r="G46" s="320">
        <f>ROUND(+E46*$C46,0)</f>
        <v>670</v>
      </c>
      <c r="H46" s="313"/>
      <c r="I46" s="320">
        <f>I16</f>
        <v>1018</v>
      </c>
      <c r="J46" s="313"/>
      <c r="K46" s="320">
        <f>ROUND(+I46*$C46,0)</f>
        <v>1268</v>
      </c>
      <c r="L46" s="313"/>
      <c r="M46" s="320">
        <f>M16</f>
        <v>8.8</v>
      </c>
      <c r="N46" s="313"/>
      <c r="O46" s="320">
        <f>ROUND(+M46*$C46,0)</f>
        <v>11</v>
      </c>
      <c r="P46" s="313"/>
      <c r="Q46" s="320">
        <f>Q16</f>
        <v>66</v>
      </c>
      <c r="R46" s="313"/>
      <c r="S46" s="320">
        <f>ROUND(+Q46*$C46,0)</f>
        <v>82</v>
      </c>
      <c r="T46" s="313"/>
      <c r="U46" s="320">
        <f>U16</f>
        <v>0</v>
      </c>
      <c r="V46" s="313"/>
      <c r="W46" s="320">
        <f>ROUND(+U46*$C46,0)</f>
        <v>0</v>
      </c>
      <c r="X46" s="313"/>
      <c r="Y46" s="320">
        <f>E46+I46+M46+Q46+U46</f>
        <v>1630.8</v>
      </c>
      <c r="Z46" s="313"/>
      <c r="AA46" s="320">
        <f>G46+K46+O46+S46+W46</f>
        <v>2031</v>
      </c>
    </row>
    <row r="47" spans="1:27" ht="15">
      <c r="A47" s="329"/>
      <c r="B47" s="313"/>
      <c r="C47" s="469"/>
      <c r="D47" s="313"/>
      <c r="E47" s="320"/>
      <c r="F47" s="313"/>
      <c r="G47" s="320"/>
      <c r="H47" s="313"/>
      <c r="I47" s="320"/>
      <c r="J47" s="313"/>
      <c r="K47" s="320"/>
      <c r="L47" s="313"/>
      <c r="M47" s="320"/>
      <c r="N47" s="313"/>
      <c r="O47" s="320"/>
      <c r="P47" s="313"/>
      <c r="Q47" s="320"/>
      <c r="R47" s="313"/>
      <c r="S47" s="320"/>
      <c r="T47" s="313"/>
      <c r="U47" s="320"/>
      <c r="V47" s="313"/>
      <c r="W47" s="320"/>
      <c r="X47" s="313"/>
      <c r="Y47" s="313"/>
      <c r="Z47" s="313"/>
      <c r="AA47" s="313"/>
    </row>
    <row r="48" spans="1:27" ht="15">
      <c r="A48" s="329" t="s">
        <v>264</v>
      </c>
      <c r="B48" s="313"/>
      <c r="C48" s="469">
        <v>3.624393322571139</v>
      </c>
      <c r="D48" s="313"/>
      <c r="E48" s="320">
        <f>E18</f>
        <v>24</v>
      </c>
      <c r="F48" s="313"/>
      <c r="G48" s="320">
        <f>ROUND(+E48*$C48,0)</f>
        <v>87</v>
      </c>
      <c r="H48" s="313"/>
      <c r="I48" s="320">
        <f>I18</f>
        <v>728</v>
      </c>
      <c r="J48" s="313"/>
      <c r="K48" s="320">
        <f>ROUND(+I48*$C48,0)</f>
        <v>2639</v>
      </c>
      <c r="L48" s="313"/>
      <c r="M48" s="320">
        <f>M18</f>
        <v>13</v>
      </c>
      <c r="N48" s="313"/>
      <c r="O48" s="320">
        <f>ROUND(+M48*$C48,0)</f>
        <v>47</v>
      </c>
      <c r="P48" s="313"/>
      <c r="Q48" s="320">
        <f>Q18</f>
        <v>42</v>
      </c>
      <c r="R48" s="313"/>
      <c r="S48" s="320">
        <f>ROUND(+Q48*$C48,0)</f>
        <v>152</v>
      </c>
      <c r="T48" s="313"/>
      <c r="U48" s="320">
        <f>U18</f>
        <v>0</v>
      </c>
      <c r="V48" s="313"/>
      <c r="W48" s="320">
        <f>ROUND(+U48*$C48,0)</f>
        <v>0</v>
      </c>
      <c r="X48" s="313"/>
      <c r="Y48" s="320">
        <f>E48+I48+M48+Q48+U48</f>
        <v>807</v>
      </c>
      <c r="Z48" s="313"/>
      <c r="AA48" s="320">
        <f>G48+K48+O48+S48+W48</f>
        <v>2925</v>
      </c>
    </row>
    <row r="49" spans="1:27" ht="15">
      <c r="A49" s="329"/>
      <c r="B49" s="313"/>
      <c r="C49" s="469"/>
      <c r="D49" s="313"/>
      <c r="E49" s="320"/>
      <c r="F49" s="313"/>
      <c r="G49" s="320"/>
      <c r="H49" s="313"/>
      <c r="I49" s="320"/>
      <c r="J49" s="313"/>
      <c r="K49" s="320"/>
      <c r="L49" s="313"/>
      <c r="M49" s="320"/>
      <c r="N49" s="313"/>
      <c r="O49" s="320"/>
      <c r="P49" s="313"/>
      <c r="Q49" s="320"/>
      <c r="R49" s="313"/>
      <c r="S49" s="320"/>
      <c r="T49" s="313"/>
      <c r="U49" s="320"/>
      <c r="V49" s="313"/>
      <c r="W49" s="320"/>
      <c r="X49" s="313"/>
      <c r="Y49" s="313"/>
      <c r="Z49" s="313"/>
      <c r="AA49" s="313"/>
    </row>
    <row r="50" spans="1:27" ht="15">
      <c r="A50" s="329" t="s">
        <v>265</v>
      </c>
      <c r="B50" s="313"/>
      <c r="C50" s="469">
        <v>4.507846578743536</v>
      </c>
      <c r="D50" s="313"/>
      <c r="E50" s="320">
        <f>E20</f>
        <v>5</v>
      </c>
      <c r="F50" s="313"/>
      <c r="G50" s="320">
        <f>ROUND(+E50*$C50,0)</f>
        <v>23</v>
      </c>
      <c r="H50" s="313"/>
      <c r="I50" s="320">
        <f>I20</f>
        <v>676</v>
      </c>
      <c r="J50" s="313"/>
      <c r="K50" s="320">
        <f>ROUND(+I50*$C50,0)</f>
        <v>3047</v>
      </c>
      <c r="L50" s="313"/>
      <c r="M50" s="320">
        <f>M20</f>
        <v>45</v>
      </c>
      <c r="N50" s="313"/>
      <c r="O50" s="320">
        <f>ROUND(+M50*$C50,0)</f>
        <v>203</v>
      </c>
      <c r="P50" s="313"/>
      <c r="Q50" s="320">
        <f>Q20</f>
        <v>148</v>
      </c>
      <c r="R50" s="313"/>
      <c r="S50" s="320">
        <f>ROUND(+Q50*$C50,0)</f>
        <v>667</v>
      </c>
      <c r="T50" s="313"/>
      <c r="U50" s="320">
        <f>U20</f>
        <v>0</v>
      </c>
      <c r="V50" s="313"/>
      <c r="W50" s="320">
        <f>ROUND(+U50*$C50,0)</f>
        <v>0</v>
      </c>
      <c r="X50" s="313"/>
      <c r="Y50" s="320">
        <f>E50+I50+M50+Q50+U50</f>
        <v>874</v>
      </c>
      <c r="Z50" s="313"/>
      <c r="AA50" s="320">
        <f>G50+K50+O50+S50+W50</f>
        <v>3940</v>
      </c>
    </row>
    <row r="51" spans="1:27" ht="15">
      <c r="A51" s="329"/>
      <c r="B51" s="313"/>
      <c r="C51" s="469"/>
      <c r="D51" s="313"/>
      <c r="E51" s="320"/>
      <c r="F51" s="313"/>
      <c r="G51" s="320"/>
      <c r="H51" s="313"/>
      <c r="I51" s="320"/>
      <c r="J51" s="313"/>
      <c r="K51" s="320"/>
      <c r="L51" s="313"/>
      <c r="M51" s="320"/>
      <c r="N51" s="313"/>
      <c r="O51" s="320"/>
      <c r="P51" s="313"/>
      <c r="Q51" s="320"/>
      <c r="R51" s="313"/>
      <c r="S51" s="320"/>
      <c r="T51" s="313"/>
      <c r="U51" s="320"/>
      <c r="V51" s="313"/>
      <c r="W51" s="320"/>
      <c r="X51" s="313"/>
      <c r="Y51" s="313"/>
      <c r="Z51" s="313"/>
      <c r="AA51" s="313"/>
    </row>
    <row r="52" spans="1:27" ht="15">
      <c r="A52" s="329">
        <v>3</v>
      </c>
      <c r="B52" s="313"/>
      <c r="C52" s="469">
        <v>5.540894753038929</v>
      </c>
      <c r="D52" s="313"/>
      <c r="E52" s="320">
        <f>E22</f>
        <v>0</v>
      </c>
      <c r="F52" s="320"/>
      <c r="G52" s="320">
        <f>ROUND(+E52*$C52,0)</f>
        <v>0</v>
      </c>
      <c r="H52" s="320"/>
      <c r="I52" s="320">
        <f>I22</f>
        <v>98</v>
      </c>
      <c r="J52" s="320"/>
      <c r="K52" s="320">
        <f>ROUND(+I52*$C52,0)</f>
        <v>543</v>
      </c>
      <c r="L52" s="320"/>
      <c r="M52" s="320">
        <f>M22</f>
        <v>16</v>
      </c>
      <c r="N52" s="320"/>
      <c r="O52" s="320">
        <f>ROUND(+M52*$C52,0)</f>
        <v>89</v>
      </c>
      <c r="P52" s="320"/>
      <c r="Q52" s="320">
        <f>Q22</f>
        <v>57</v>
      </c>
      <c r="R52" s="320"/>
      <c r="S52" s="320">
        <f>ROUND(+Q52*$C52,0)</f>
        <v>316</v>
      </c>
      <c r="T52" s="320"/>
      <c r="U52" s="320">
        <f>U22</f>
        <v>0</v>
      </c>
      <c r="V52" s="320"/>
      <c r="W52" s="320">
        <f>ROUND(+U52*$C52,0)</f>
        <v>0</v>
      </c>
      <c r="X52" s="313"/>
      <c r="Y52" s="320">
        <f>E52+I52+M52+Q52+U52</f>
        <v>171</v>
      </c>
      <c r="Z52" s="313"/>
      <c r="AA52" s="320">
        <f>G52+K52+O52+S52+W52</f>
        <v>948</v>
      </c>
    </row>
    <row r="53" spans="1:27" ht="15">
      <c r="A53" s="329"/>
      <c r="B53" s="313"/>
      <c r="C53" s="469"/>
      <c r="D53" s="313"/>
      <c r="E53" s="320"/>
      <c r="F53" s="313"/>
      <c r="G53" s="320"/>
      <c r="H53" s="313"/>
      <c r="I53" s="320"/>
      <c r="J53" s="313"/>
      <c r="K53" s="320"/>
      <c r="L53" s="313"/>
      <c r="M53" s="320"/>
      <c r="N53" s="313"/>
      <c r="O53" s="320"/>
      <c r="P53" s="313"/>
      <c r="Q53" s="320"/>
      <c r="R53" s="313"/>
      <c r="S53" s="320"/>
      <c r="T53" s="313"/>
      <c r="U53" s="320"/>
      <c r="V53" s="313"/>
      <c r="W53" s="320"/>
      <c r="X53" s="313"/>
      <c r="Y53" s="313"/>
      <c r="Z53" s="313"/>
      <c r="AA53" s="313"/>
    </row>
    <row r="54" spans="1:27" ht="15">
      <c r="A54" s="329" t="s">
        <v>267</v>
      </c>
      <c r="B54" s="313"/>
      <c r="C54" s="469">
        <v>6.573942927334323</v>
      </c>
      <c r="D54" s="313"/>
      <c r="E54" s="320">
        <f>E24</f>
        <v>0</v>
      </c>
      <c r="F54" s="313"/>
      <c r="G54" s="320">
        <f>ROUND(+E54*$C54,0)</f>
        <v>0</v>
      </c>
      <c r="H54" s="313"/>
      <c r="I54" s="320">
        <f>I24</f>
        <v>72</v>
      </c>
      <c r="J54" s="313"/>
      <c r="K54" s="320">
        <f>ROUND(+I54*$C54,0)</f>
        <v>473</v>
      </c>
      <c r="L54" s="313"/>
      <c r="M54" s="320">
        <f>M24</f>
        <v>13</v>
      </c>
      <c r="N54" s="313"/>
      <c r="O54" s="320">
        <f>ROUND(+M54*$C54,0)</f>
        <v>85</v>
      </c>
      <c r="P54" s="313"/>
      <c r="Q54" s="320">
        <f>Q24</f>
        <v>35</v>
      </c>
      <c r="R54" s="313"/>
      <c r="S54" s="320">
        <f>ROUND(+Q54*$C54,0)</f>
        <v>230</v>
      </c>
      <c r="T54" s="313"/>
      <c r="U54" s="320">
        <f>U24</f>
        <v>2</v>
      </c>
      <c r="V54" s="313"/>
      <c r="W54" s="320">
        <f>ROUND(+U54*$C54,0)</f>
        <v>13</v>
      </c>
      <c r="X54" s="313"/>
      <c r="Y54" s="320">
        <f>E54+I54+M54+Q54+U54</f>
        <v>122</v>
      </c>
      <c r="Z54" s="313"/>
      <c r="AA54" s="320">
        <f>G54+K54+O54+S54+W54</f>
        <v>801</v>
      </c>
    </row>
    <row r="55" spans="1:27" ht="15">
      <c r="A55" s="329"/>
      <c r="B55" s="313"/>
      <c r="C55" s="469"/>
      <c r="D55" s="313"/>
      <c r="E55" s="320"/>
      <c r="F55" s="313"/>
      <c r="G55" s="320"/>
      <c r="H55" s="313"/>
      <c r="I55" s="320"/>
      <c r="J55" s="313"/>
      <c r="K55" s="320"/>
      <c r="L55" s="313"/>
      <c r="M55" s="320"/>
      <c r="N55" s="313"/>
      <c r="O55" s="320"/>
      <c r="P55" s="313"/>
      <c r="Q55" s="320"/>
      <c r="R55" s="313"/>
      <c r="S55" s="320"/>
      <c r="T55" s="313"/>
      <c r="U55" s="320"/>
      <c r="V55" s="313"/>
      <c r="W55" s="320"/>
      <c r="X55" s="313"/>
      <c r="Y55" s="313"/>
      <c r="Z55" s="313"/>
      <c r="AA55" s="313"/>
    </row>
    <row r="56" spans="1:27" ht="15">
      <c r="A56" s="329" t="s">
        <v>268</v>
      </c>
      <c r="B56" s="313"/>
      <c r="C56" s="469">
        <v>7.513077631239226</v>
      </c>
      <c r="D56" s="313"/>
      <c r="E56" s="320">
        <f>E26</f>
        <v>0</v>
      </c>
      <c r="F56" s="313"/>
      <c r="G56" s="320">
        <f>ROUND(+E56*$C56,0)</f>
        <v>0</v>
      </c>
      <c r="H56" s="313"/>
      <c r="I56" s="320">
        <f>I26</f>
        <v>87</v>
      </c>
      <c r="J56" s="313"/>
      <c r="K56" s="320">
        <f>ROUND(+I56*$C56,0)</f>
        <v>654</v>
      </c>
      <c r="L56" s="313"/>
      <c r="M56" s="320">
        <f>M26</f>
        <v>9</v>
      </c>
      <c r="N56" s="313"/>
      <c r="O56" s="320">
        <f>ROUND(+M56*$C56,0)</f>
        <v>68</v>
      </c>
      <c r="P56" s="313"/>
      <c r="Q56" s="320">
        <f>Q26</f>
        <v>14</v>
      </c>
      <c r="R56" s="313"/>
      <c r="S56" s="320">
        <f>ROUND(+Q56*$C56,0)</f>
        <v>105</v>
      </c>
      <c r="T56" s="313"/>
      <c r="U56" s="320">
        <f>U26</f>
        <v>2</v>
      </c>
      <c r="V56" s="313"/>
      <c r="W56" s="320">
        <f>ROUND(+U56*$C56,0)</f>
        <v>15</v>
      </c>
      <c r="X56" s="313"/>
      <c r="Y56" s="320">
        <f>E56+I56+M56+Q56+U56</f>
        <v>112</v>
      </c>
      <c r="Z56" s="313"/>
      <c r="AA56" s="320">
        <f>G56+K56+O56+S56+W56</f>
        <v>842</v>
      </c>
    </row>
    <row r="57" spans="1:27" ht="15">
      <c r="A57" s="329"/>
      <c r="B57" s="313"/>
      <c r="C57" s="469"/>
      <c r="D57" s="313"/>
      <c r="E57" s="320"/>
      <c r="F57" s="313"/>
      <c r="G57" s="320"/>
      <c r="H57" s="313"/>
      <c r="I57" s="320"/>
      <c r="J57" s="313"/>
      <c r="K57" s="320"/>
      <c r="L57" s="313"/>
      <c r="M57" s="320"/>
      <c r="N57" s="313"/>
      <c r="O57" s="320"/>
      <c r="P57" s="313"/>
      <c r="Q57" s="320"/>
      <c r="R57" s="313"/>
      <c r="S57" s="320"/>
      <c r="T57" s="313"/>
      <c r="U57" s="320"/>
      <c r="V57" s="313"/>
      <c r="W57" s="320"/>
      <c r="X57" s="313"/>
      <c r="Y57" s="313"/>
      <c r="Z57" s="313"/>
      <c r="AA57" s="313"/>
    </row>
    <row r="58" spans="1:27" ht="15">
      <c r="A58" s="329" t="s">
        <v>269</v>
      </c>
      <c r="B58" s="313"/>
      <c r="C58" s="469">
        <v>9.579173979830012</v>
      </c>
      <c r="D58" s="313"/>
      <c r="E58" s="320">
        <f>E28</f>
        <v>0</v>
      </c>
      <c r="F58" s="313"/>
      <c r="G58" s="320">
        <f>ROUND(+E58*$C58,0)</f>
        <v>0</v>
      </c>
      <c r="H58" s="313"/>
      <c r="I58" s="320">
        <f>I28</f>
        <v>44</v>
      </c>
      <c r="J58" s="313"/>
      <c r="K58" s="320">
        <f>ROUND(+I58*$C58,0)</f>
        <v>421</v>
      </c>
      <c r="L58" s="313"/>
      <c r="M58" s="320">
        <f>M28</f>
        <v>5</v>
      </c>
      <c r="N58" s="313"/>
      <c r="O58" s="320">
        <f>ROUND(+M58*$C58,0)</f>
        <v>48</v>
      </c>
      <c r="P58" s="313"/>
      <c r="Q58" s="320">
        <f>Q28</f>
        <v>5</v>
      </c>
      <c r="R58" s="313"/>
      <c r="S58" s="320">
        <f>ROUND(+Q58*$C58,0)</f>
        <v>48</v>
      </c>
      <c r="T58" s="313"/>
      <c r="U58" s="320">
        <f>U28</f>
        <v>0</v>
      </c>
      <c r="V58" s="313"/>
      <c r="W58" s="320">
        <f>ROUND(+U58*$C58,0)</f>
        <v>0</v>
      </c>
      <c r="X58" s="313"/>
      <c r="Y58" s="320">
        <f>E58+I58+M58+Q58+U58</f>
        <v>54</v>
      </c>
      <c r="Z58" s="313"/>
      <c r="AA58" s="320">
        <f>G58+K58+O58+S58+W58</f>
        <v>517</v>
      </c>
    </row>
    <row r="59" spans="1:27" ht="15">
      <c r="A59" s="329"/>
      <c r="B59" s="313"/>
      <c r="C59" s="469"/>
      <c r="D59" s="313"/>
      <c r="E59" s="320"/>
      <c r="F59" s="313"/>
      <c r="G59" s="320"/>
      <c r="H59" s="313"/>
      <c r="I59" s="320"/>
      <c r="J59" s="313"/>
      <c r="K59" s="320"/>
      <c r="L59" s="313"/>
      <c r="M59" s="320"/>
      <c r="N59" s="313"/>
      <c r="O59" s="320"/>
      <c r="P59" s="313"/>
      <c r="Q59" s="320"/>
      <c r="R59" s="313"/>
      <c r="S59" s="320"/>
      <c r="T59" s="313"/>
      <c r="U59" s="320"/>
      <c r="V59" s="313"/>
      <c r="W59" s="320"/>
      <c r="X59" s="313"/>
      <c r="Y59" s="313"/>
      <c r="Z59" s="313"/>
      <c r="AA59" s="313"/>
    </row>
    <row r="60" spans="1:27" ht="15">
      <c r="A60" s="329">
        <v>10</v>
      </c>
      <c r="B60" s="313"/>
      <c r="C60" s="469">
        <v>16.716597729507278</v>
      </c>
      <c r="D60" s="313"/>
      <c r="E60" s="320">
        <v>0</v>
      </c>
      <c r="F60" s="313"/>
      <c r="G60" s="320">
        <v>0</v>
      </c>
      <c r="H60" s="313"/>
      <c r="I60" s="320">
        <f>+I30</f>
        <v>1</v>
      </c>
      <c r="J60" s="313"/>
      <c r="K60" s="320">
        <f>ROUND(+I60*$C60,0)</f>
        <v>17</v>
      </c>
      <c r="L60" s="313"/>
      <c r="M60" s="320">
        <f>+M30</f>
        <v>4</v>
      </c>
      <c r="N60" s="313"/>
      <c r="O60" s="320">
        <f>ROUND(+M60*$C60,0)</f>
        <v>67</v>
      </c>
      <c r="P60" s="313"/>
      <c r="Q60" s="320">
        <f>+Q30</f>
        <v>3</v>
      </c>
      <c r="R60" s="313"/>
      <c r="S60" s="320">
        <f>ROUND(+Q60*$C60,0)</f>
        <v>50</v>
      </c>
      <c r="T60" s="313"/>
      <c r="U60" s="320">
        <v>0</v>
      </c>
      <c r="V60" s="313"/>
      <c r="W60" s="320">
        <v>0</v>
      </c>
      <c r="X60" s="313"/>
      <c r="Y60" s="320">
        <f>E60+I60+M60+Q60+U60</f>
        <v>8</v>
      </c>
      <c r="Z60" s="313"/>
      <c r="AA60" s="320">
        <f>G60+K60+O60+S60+W60</f>
        <v>134</v>
      </c>
    </row>
    <row r="61" spans="1:27" ht="15" hidden="1">
      <c r="A61" s="329"/>
      <c r="B61" s="313"/>
      <c r="C61" s="469"/>
      <c r="D61" s="313"/>
      <c r="E61" s="320"/>
      <c r="F61" s="313"/>
      <c r="G61" s="320"/>
      <c r="H61" s="313"/>
      <c r="I61" s="320"/>
      <c r="J61" s="313"/>
      <c r="K61" s="320"/>
      <c r="L61" s="313"/>
      <c r="M61" s="320"/>
      <c r="N61" s="313"/>
      <c r="O61" s="320"/>
      <c r="P61" s="313"/>
      <c r="Q61" s="320"/>
      <c r="R61" s="313"/>
      <c r="S61" s="320"/>
      <c r="T61" s="313"/>
      <c r="U61" s="320"/>
      <c r="V61" s="313"/>
      <c r="W61" s="320"/>
      <c r="X61" s="313"/>
      <c r="Y61" s="313"/>
      <c r="Z61" s="313"/>
      <c r="AA61" s="313"/>
    </row>
    <row r="62" spans="1:27" ht="15" hidden="1">
      <c r="A62" s="329">
        <v>12</v>
      </c>
      <c r="B62" s="313"/>
      <c r="C62" s="469">
        <f>+C60</f>
        <v>16.716597729507278</v>
      </c>
      <c r="D62" s="313"/>
      <c r="E62" s="320">
        <v>0</v>
      </c>
      <c r="F62" s="313"/>
      <c r="G62" s="320">
        <v>0</v>
      </c>
      <c r="H62" s="313"/>
      <c r="I62" s="320">
        <v>0</v>
      </c>
      <c r="J62" s="313"/>
      <c r="K62" s="320">
        <v>0</v>
      </c>
      <c r="L62" s="313"/>
      <c r="M62" s="320">
        <v>0</v>
      </c>
      <c r="N62" s="313"/>
      <c r="O62" s="320">
        <v>0</v>
      </c>
      <c r="P62" s="313"/>
      <c r="Q62" s="320">
        <v>0</v>
      </c>
      <c r="R62" s="313"/>
      <c r="S62" s="320">
        <v>0</v>
      </c>
      <c r="T62" s="313"/>
      <c r="U62" s="320">
        <v>0</v>
      </c>
      <c r="V62" s="313"/>
      <c r="W62" s="320">
        <v>0</v>
      </c>
      <c r="X62" s="313"/>
      <c r="Y62" s="320">
        <f>E62+I62+M62+Q62+U62</f>
        <v>0</v>
      </c>
      <c r="Z62" s="313"/>
      <c r="AA62" s="320">
        <f>G62+K62+O62+S62+W62</f>
        <v>0</v>
      </c>
    </row>
    <row r="63" spans="1:27" ht="15">
      <c r="A63" s="313"/>
      <c r="B63" s="313"/>
      <c r="C63" s="313"/>
      <c r="D63" s="313"/>
      <c r="E63" s="322"/>
      <c r="F63" s="313"/>
      <c r="G63" s="322"/>
      <c r="H63" s="313"/>
      <c r="I63" s="322"/>
      <c r="J63" s="313"/>
      <c r="K63" s="322"/>
      <c r="L63" s="313"/>
      <c r="M63" s="322"/>
      <c r="N63" s="313"/>
      <c r="O63" s="322"/>
      <c r="P63" s="313"/>
      <c r="Q63" s="322"/>
      <c r="R63" s="313"/>
      <c r="S63" s="322"/>
      <c r="T63" s="313"/>
      <c r="U63" s="322"/>
      <c r="V63" s="313"/>
      <c r="W63" s="322"/>
      <c r="X63" s="313"/>
      <c r="Y63" s="322"/>
      <c r="Z63" s="313"/>
      <c r="AA63" s="322"/>
    </row>
    <row r="64" spans="1:27" ht="15.75" thickBot="1">
      <c r="A64" s="313" t="s">
        <v>184</v>
      </c>
      <c r="B64" s="313"/>
      <c r="C64" s="313"/>
      <c r="D64" s="313"/>
      <c r="E64" s="323">
        <f>SUM(E44:E62)</f>
        <v>78929</v>
      </c>
      <c r="F64" s="313"/>
      <c r="G64" s="323">
        <f aca="true" t="shared" si="1" ref="G64:AA64">SUM(G44:G62)</f>
        <v>79142</v>
      </c>
      <c r="H64" s="313"/>
      <c r="I64" s="323">
        <f t="shared" si="1"/>
        <v>6432</v>
      </c>
      <c r="J64" s="313"/>
      <c r="K64" s="323">
        <f t="shared" si="1"/>
        <v>12770</v>
      </c>
      <c r="L64" s="313"/>
      <c r="M64" s="323">
        <f t="shared" si="1"/>
        <v>129.8</v>
      </c>
      <c r="N64" s="313"/>
      <c r="O64" s="323">
        <f t="shared" si="1"/>
        <v>634</v>
      </c>
      <c r="P64" s="313"/>
      <c r="Q64" s="323">
        <f t="shared" si="1"/>
        <v>551</v>
      </c>
      <c r="R64" s="313"/>
      <c r="S64" s="323">
        <f t="shared" si="1"/>
        <v>1831</v>
      </c>
      <c r="T64" s="313"/>
      <c r="U64" s="323">
        <f t="shared" si="1"/>
        <v>4</v>
      </c>
      <c r="V64" s="313"/>
      <c r="W64" s="323">
        <f t="shared" si="1"/>
        <v>28</v>
      </c>
      <c r="X64" s="313"/>
      <c r="Y64" s="323">
        <f t="shared" si="1"/>
        <v>86045.8</v>
      </c>
      <c r="Z64" s="313"/>
      <c r="AA64" s="323">
        <f t="shared" si="1"/>
        <v>94405</v>
      </c>
    </row>
    <row r="65" spans="1:27" ht="15.75" thickTop="1">
      <c r="A65" s="330"/>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1"/>
      <c r="AA65" s="331"/>
    </row>
    <row r="66" spans="1:29" ht="15">
      <c r="A66" s="330"/>
      <c r="B66" s="330"/>
      <c r="C66" s="330"/>
      <c r="D66" s="330"/>
      <c r="E66" s="330"/>
      <c r="F66" s="330"/>
      <c r="G66" s="330"/>
      <c r="H66" s="330"/>
      <c r="I66" s="330"/>
      <c r="J66" s="330"/>
      <c r="K66" s="313"/>
      <c r="L66" s="330"/>
      <c r="M66" s="330"/>
      <c r="N66" s="330"/>
      <c r="O66" s="330"/>
      <c r="P66" s="330"/>
      <c r="Q66" s="330"/>
      <c r="R66" s="330"/>
      <c r="S66" s="330"/>
      <c r="T66" s="330"/>
      <c r="U66" s="330"/>
      <c r="V66" s="330"/>
      <c r="W66" s="330"/>
      <c r="X66" s="330"/>
      <c r="Y66" s="330"/>
      <c r="Z66" s="330"/>
      <c r="AA66" s="330"/>
      <c r="AB66" s="330"/>
      <c r="AC66" s="330"/>
    </row>
    <row r="67" spans="1:29" ht="15">
      <c r="A67" s="330"/>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row>
    <row r="68" spans="1:29" ht="15">
      <c r="A68" s="330"/>
      <c r="B68" s="330"/>
      <c r="C68" s="330"/>
      <c r="D68" s="330"/>
      <c r="E68" s="415"/>
      <c r="F68" s="415"/>
      <c r="G68" s="415"/>
      <c r="H68" s="415"/>
      <c r="I68" s="415"/>
      <c r="J68" s="415"/>
      <c r="K68" s="415"/>
      <c r="L68" s="415"/>
      <c r="M68" s="415"/>
      <c r="N68" s="415"/>
      <c r="O68" s="415"/>
      <c r="P68" s="415"/>
      <c r="Q68" s="415"/>
      <c r="R68" s="415"/>
      <c r="S68" s="415"/>
      <c r="T68" s="415"/>
      <c r="U68" s="415"/>
      <c r="V68" s="415"/>
      <c r="W68" s="415"/>
      <c r="X68" s="330"/>
      <c r="Y68" s="330"/>
      <c r="Z68" s="330"/>
      <c r="AA68" s="330"/>
      <c r="AB68" s="330"/>
      <c r="AC68" s="330"/>
    </row>
    <row r="69" spans="1:29" ht="15">
      <c r="A69" s="330"/>
      <c r="B69" s="330"/>
      <c r="C69" s="330"/>
      <c r="D69" s="330"/>
      <c r="E69" s="416"/>
      <c r="F69" s="416"/>
      <c r="G69" s="416"/>
      <c r="H69" s="415"/>
      <c r="I69" s="417"/>
      <c r="J69" s="418"/>
      <c r="K69" s="417"/>
      <c r="L69" s="415"/>
      <c r="M69" s="415"/>
      <c r="N69" s="415"/>
      <c r="O69" s="415"/>
      <c r="P69" s="415"/>
      <c r="Q69" s="415"/>
      <c r="R69" s="415"/>
      <c r="S69" s="415"/>
      <c r="T69" s="415"/>
      <c r="U69" s="415"/>
      <c r="V69" s="415"/>
      <c r="W69" s="415"/>
      <c r="X69" s="330"/>
      <c r="Y69" s="330"/>
      <c r="Z69" s="330"/>
      <c r="AA69" s="330"/>
      <c r="AB69" s="330"/>
      <c r="AC69" s="330"/>
    </row>
    <row r="70" spans="1:29" ht="15">
      <c r="A70" s="330"/>
      <c r="B70" s="330"/>
      <c r="C70" s="330"/>
      <c r="D70" s="330"/>
      <c r="E70" s="416"/>
      <c r="F70" s="416"/>
      <c r="G70" s="416"/>
      <c r="H70" s="415"/>
      <c r="I70" s="417"/>
      <c r="J70" s="418"/>
      <c r="K70" s="417"/>
      <c r="L70" s="415"/>
      <c r="M70" s="415"/>
      <c r="N70" s="415"/>
      <c r="O70" s="415"/>
      <c r="P70" s="415"/>
      <c r="Q70" s="415"/>
      <c r="R70" s="415"/>
      <c r="S70" s="415"/>
      <c r="T70" s="415"/>
      <c r="U70" s="415"/>
      <c r="V70" s="415"/>
      <c r="W70" s="415"/>
      <c r="X70" s="330"/>
      <c r="Y70" s="330"/>
      <c r="Z70" s="330"/>
      <c r="AA70" s="330"/>
      <c r="AB70" s="330"/>
      <c r="AC70" s="330"/>
    </row>
    <row r="71" spans="1:29" ht="15">
      <c r="A71" s="330"/>
      <c r="B71" s="330"/>
      <c r="C71" s="330"/>
      <c r="D71" s="330"/>
      <c r="E71" s="415"/>
      <c r="F71" s="415"/>
      <c r="G71" s="415"/>
      <c r="H71" s="415"/>
      <c r="I71" s="415"/>
      <c r="J71" s="415"/>
      <c r="K71" s="415"/>
      <c r="L71" s="415"/>
      <c r="M71" s="415"/>
      <c r="N71" s="415"/>
      <c r="O71" s="415"/>
      <c r="P71" s="415"/>
      <c r="Q71" s="415"/>
      <c r="R71" s="415"/>
      <c r="S71" s="415"/>
      <c r="T71" s="415"/>
      <c r="U71" s="415"/>
      <c r="V71" s="415"/>
      <c r="W71" s="415"/>
      <c r="X71" s="330"/>
      <c r="Y71" s="330"/>
      <c r="Z71" s="330"/>
      <c r="AA71" s="330"/>
      <c r="AB71" s="330"/>
      <c r="AC71" s="330"/>
    </row>
    <row r="72" spans="1:29" ht="15">
      <c r="A72" s="330"/>
      <c r="B72" s="330"/>
      <c r="C72" s="330"/>
      <c r="D72" s="330"/>
      <c r="E72" s="417"/>
      <c r="F72" s="415"/>
      <c r="G72" s="327"/>
      <c r="H72" s="415"/>
      <c r="I72" s="419"/>
      <c r="J72" s="415"/>
      <c r="K72" s="420"/>
      <c r="L72" s="415"/>
      <c r="M72" s="415"/>
      <c r="N72" s="415"/>
      <c r="O72" s="327"/>
      <c r="P72" s="415"/>
      <c r="Q72" s="415"/>
      <c r="R72" s="415"/>
      <c r="S72" s="415"/>
      <c r="T72" s="415"/>
      <c r="U72" s="415"/>
      <c r="V72" s="415"/>
      <c r="W72" s="415"/>
      <c r="X72" s="330"/>
      <c r="Y72" s="330"/>
      <c r="Z72" s="330"/>
      <c r="AA72" s="330"/>
      <c r="AB72" s="330"/>
      <c r="AC72" s="330"/>
    </row>
    <row r="73" spans="1:29" ht="15">
      <c r="A73" s="330"/>
      <c r="B73" s="330"/>
      <c r="C73" s="330"/>
      <c r="D73" s="330"/>
      <c r="E73" s="417"/>
      <c r="F73" s="415"/>
      <c r="G73" s="327"/>
      <c r="H73" s="415"/>
      <c r="I73" s="419"/>
      <c r="J73" s="415"/>
      <c r="K73" s="420"/>
      <c r="L73" s="415"/>
      <c r="M73" s="415"/>
      <c r="N73" s="415"/>
      <c r="O73" s="327"/>
      <c r="P73" s="415"/>
      <c r="Q73" s="415"/>
      <c r="R73" s="415"/>
      <c r="S73" s="415"/>
      <c r="T73" s="415"/>
      <c r="U73" s="415"/>
      <c r="V73" s="415"/>
      <c r="W73" s="415"/>
      <c r="X73" s="330"/>
      <c r="Y73" s="330"/>
      <c r="Z73" s="330"/>
      <c r="AA73" s="330"/>
      <c r="AB73" s="330"/>
      <c r="AC73" s="330"/>
    </row>
    <row r="74" spans="1:29" ht="15">
      <c r="A74" s="330"/>
      <c r="B74" s="330"/>
      <c r="C74" s="330"/>
      <c r="D74" s="330"/>
      <c r="E74" s="417"/>
      <c r="F74" s="415"/>
      <c r="G74" s="327"/>
      <c r="H74" s="415"/>
      <c r="I74" s="419"/>
      <c r="J74" s="415"/>
      <c r="K74" s="420"/>
      <c r="L74" s="415"/>
      <c r="M74" s="415"/>
      <c r="N74" s="415"/>
      <c r="O74" s="327"/>
      <c r="P74" s="415"/>
      <c r="Q74" s="415"/>
      <c r="R74" s="415"/>
      <c r="S74" s="415"/>
      <c r="T74" s="415"/>
      <c r="U74" s="415"/>
      <c r="V74" s="415"/>
      <c r="W74" s="415"/>
      <c r="X74" s="330"/>
      <c r="Y74" s="330"/>
      <c r="Z74" s="330"/>
      <c r="AA74" s="330"/>
      <c r="AB74" s="330"/>
      <c r="AC74" s="330"/>
    </row>
    <row r="75" spans="1:29" ht="15">
      <c r="A75" s="330"/>
      <c r="B75" s="330"/>
      <c r="C75" s="330"/>
      <c r="D75" s="330"/>
      <c r="E75" s="417"/>
      <c r="F75" s="415"/>
      <c r="G75" s="327"/>
      <c r="H75" s="415"/>
      <c r="I75" s="419"/>
      <c r="J75" s="415"/>
      <c r="K75" s="420"/>
      <c r="L75" s="415"/>
      <c r="M75" s="415"/>
      <c r="N75" s="415"/>
      <c r="O75" s="327"/>
      <c r="P75" s="415"/>
      <c r="Q75" s="415"/>
      <c r="R75" s="415"/>
      <c r="S75" s="415"/>
      <c r="T75" s="415"/>
      <c r="U75" s="415"/>
      <c r="V75" s="415"/>
      <c r="W75" s="415"/>
      <c r="X75" s="330"/>
      <c r="Y75" s="330"/>
      <c r="Z75" s="330"/>
      <c r="AA75" s="330"/>
      <c r="AB75" s="330"/>
      <c r="AC75" s="330"/>
    </row>
    <row r="76" spans="1:29" ht="15">
      <c r="A76" s="330"/>
      <c r="B76" s="330"/>
      <c r="C76" s="330"/>
      <c r="D76" s="330"/>
      <c r="E76" s="417"/>
      <c r="F76" s="415"/>
      <c r="G76" s="327"/>
      <c r="H76" s="415"/>
      <c r="I76" s="419"/>
      <c r="J76" s="415"/>
      <c r="K76" s="420"/>
      <c r="L76" s="415"/>
      <c r="M76" s="415"/>
      <c r="N76" s="415"/>
      <c r="O76" s="327"/>
      <c r="P76" s="415"/>
      <c r="Q76" s="415"/>
      <c r="R76" s="415"/>
      <c r="S76" s="415"/>
      <c r="T76" s="415"/>
      <c r="U76" s="415"/>
      <c r="V76" s="415"/>
      <c r="W76" s="415"/>
      <c r="X76" s="330"/>
      <c r="Y76" s="330"/>
      <c r="Z76" s="330"/>
      <c r="AA76" s="330"/>
      <c r="AB76" s="330"/>
      <c r="AC76" s="330"/>
    </row>
    <row r="77" spans="1:29" ht="15">
      <c r="A77" s="330"/>
      <c r="B77" s="330"/>
      <c r="C77" s="330"/>
      <c r="D77" s="330"/>
      <c r="E77" s="417"/>
      <c r="F77" s="415"/>
      <c r="G77" s="327"/>
      <c r="H77" s="415"/>
      <c r="I77" s="419"/>
      <c r="J77" s="415"/>
      <c r="K77" s="420"/>
      <c r="L77" s="415"/>
      <c r="M77" s="415"/>
      <c r="N77" s="415"/>
      <c r="O77" s="327"/>
      <c r="P77" s="415"/>
      <c r="Q77" s="415"/>
      <c r="R77" s="415"/>
      <c r="S77" s="415"/>
      <c r="T77" s="415"/>
      <c r="U77" s="415"/>
      <c r="V77" s="415"/>
      <c r="W77" s="415"/>
      <c r="X77" s="330"/>
      <c r="Y77" s="330"/>
      <c r="Z77" s="330"/>
      <c r="AA77" s="330"/>
      <c r="AB77" s="330"/>
      <c r="AC77" s="330"/>
    </row>
    <row r="78" spans="1:29" ht="15">
      <c r="A78" s="330"/>
      <c r="B78" s="330"/>
      <c r="C78" s="330"/>
      <c r="D78" s="330"/>
      <c r="E78" s="417"/>
      <c r="F78" s="415"/>
      <c r="G78" s="327"/>
      <c r="H78" s="415"/>
      <c r="I78" s="419"/>
      <c r="J78" s="415"/>
      <c r="K78" s="420"/>
      <c r="L78" s="415"/>
      <c r="M78" s="415"/>
      <c r="N78" s="415"/>
      <c r="O78" s="327"/>
      <c r="P78" s="415"/>
      <c r="Q78" s="415"/>
      <c r="R78" s="415"/>
      <c r="S78" s="415"/>
      <c r="T78" s="415"/>
      <c r="U78" s="415"/>
      <c r="V78" s="415"/>
      <c r="W78" s="415"/>
      <c r="X78" s="330"/>
      <c r="Y78" s="330"/>
      <c r="Z78" s="330"/>
      <c r="AA78" s="330"/>
      <c r="AB78" s="330"/>
      <c r="AC78" s="330"/>
    </row>
    <row r="79" spans="1:29" ht="15">
      <c r="A79" s="330"/>
      <c r="B79" s="330"/>
      <c r="C79" s="330"/>
      <c r="D79" s="330"/>
      <c r="E79" s="417"/>
      <c r="F79" s="415"/>
      <c r="G79" s="327"/>
      <c r="H79" s="415"/>
      <c r="I79" s="419"/>
      <c r="J79" s="415"/>
      <c r="K79" s="420"/>
      <c r="L79" s="415"/>
      <c r="M79" s="415"/>
      <c r="N79" s="415"/>
      <c r="O79" s="327"/>
      <c r="P79" s="415"/>
      <c r="Q79" s="415"/>
      <c r="R79" s="415"/>
      <c r="S79" s="415"/>
      <c r="T79" s="415"/>
      <c r="U79" s="415"/>
      <c r="V79" s="415"/>
      <c r="W79" s="415"/>
      <c r="X79" s="330"/>
      <c r="Y79" s="330"/>
      <c r="Z79" s="330"/>
      <c r="AA79" s="330"/>
      <c r="AB79" s="330"/>
      <c r="AC79" s="330"/>
    </row>
    <row r="80" spans="1:29" ht="15">
      <c r="A80" s="330"/>
      <c r="B80" s="330"/>
      <c r="C80" s="330"/>
      <c r="D80" s="330"/>
      <c r="E80" s="417"/>
      <c r="F80" s="415"/>
      <c r="G80" s="327"/>
      <c r="H80" s="415"/>
      <c r="I80" s="419"/>
      <c r="J80" s="415"/>
      <c r="K80" s="420"/>
      <c r="L80" s="415"/>
      <c r="M80" s="415"/>
      <c r="N80" s="415"/>
      <c r="O80" s="327"/>
      <c r="P80" s="415"/>
      <c r="Q80" s="415"/>
      <c r="R80" s="415"/>
      <c r="S80" s="415"/>
      <c r="T80" s="415"/>
      <c r="U80" s="415"/>
      <c r="V80" s="415"/>
      <c r="W80" s="415"/>
      <c r="X80" s="330"/>
      <c r="Y80" s="330"/>
      <c r="Z80" s="330"/>
      <c r="AA80" s="330"/>
      <c r="AB80" s="330"/>
      <c r="AC80" s="330"/>
    </row>
    <row r="81" spans="1:29" ht="15">
      <c r="A81" s="330"/>
      <c r="B81" s="330"/>
      <c r="C81" s="330"/>
      <c r="D81" s="330"/>
      <c r="E81" s="417"/>
      <c r="F81" s="415"/>
      <c r="G81" s="327"/>
      <c r="H81" s="415"/>
      <c r="I81" s="419"/>
      <c r="J81" s="415"/>
      <c r="K81" s="420"/>
      <c r="L81" s="415"/>
      <c r="M81" s="415"/>
      <c r="N81" s="415"/>
      <c r="O81" s="327"/>
      <c r="P81" s="415"/>
      <c r="Q81" s="415"/>
      <c r="R81" s="415"/>
      <c r="S81" s="415"/>
      <c r="T81" s="415"/>
      <c r="U81" s="415"/>
      <c r="V81" s="415"/>
      <c r="W81" s="415"/>
      <c r="X81" s="330"/>
      <c r="Y81" s="330"/>
      <c r="Z81" s="330"/>
      <c r="AA81" s="330"/>
      <c r="AB81" s="330"/>
      <c r="AC81" s="330"/>
    </row>
    <row r="82" spans="1:29" ht="15">
      <c r="A82" s="330"/>
      <c r="B82" s="330"/>
      <c r="C82" s="330"/>
      <c r="D82" s="330"/>
      <c r="E82" s="417"/>
      <c r="F82" s="415"/>
      <c r="G82" s="327"/>
      <c r="H82" s="415"/>
      <c r="I82" s="421"/>
      <c r="J82" s="415"/>
      <c r="K82" s="420"/>
      <c r="L82" s="415"/>
      <c r="M82" s="415"/>
      <c r="N82" s="415"/>
      <c r="O82" s="415"/>
      <c r="P82" s="415"/>
      <c r="Q82" s="415"/>
      <c r="R82" s="415"/>
      <c r="S82" s="415"/>
      <c r="T82" s="415"/>
      <c r="U82" s="415"/>
      <c r="V82" s="415"/>
      <c r="W82" s="415"/>
      <c r="X82" s="330"/>
      <c r="Y82" s="330"/>
      <c r="Z82" s="330"/>
      <c r="AA82" s="330"/>
      <c r="AB82" s="330"/>
      <c r="AC82" s="330"/>
    </row>
    <row r="83" spans="1:29" ht="15">
      <c r="A83" s="330"/>
      <c r="B83" s="330"/>
      <c r="C83" s="330"/>
      <c r="D83" s="330"/>
      <c r="E83" s="415"/>
      <c r="F83" s="415"/>
      <c r="G83" s="415"/>
      <c r="H83" s="415"/>
      <c r="I83" s="415"/>
      <c r="J83" s="415"/>
      <c r="K83" s="415"/>
      <c r="L83" s="415"/>
      <c r="M83" s="415"/>
      <c r="N83" s="415"/>
      <c r="O83" s="415"/>
      <c r="P83" s="415"/>
      <c r="Q83" s="415"/>
      <c r="R83" s="415"/>
      <c r="S83" s="415"/>
      <c r="T83" s="415"/>
      <c r="U83" s="415"/>
      <c r="V83" s="415"/>
      <c r="W83" s="415"/>
      <c r="X83" s="330"/>
      <c r="Y83" s="330"/>
      <c r="Z83" s="330"/>
      <c r="AA83" s="330"/>
      <c r="AB83" s="330"/>
      <c r="AC83" s="330"/>
    </row>
    <row r="84" spans="1:29" ht="15">
      <c r="A84" s="330"/>
      <c r="B84" s="330"/>
      <c r="C84" s="330"/>
      <c r="D84" s="330"/>
      <c r="E84" s="415"/>
      <c r="F84" s="415"/>
      <c r="G84" s="415"/>
      <c r="H84" s="415"/>
      <c r="I84" s="415"/>
      <c r="J84" s="415"/>
      <c r="K84" s="415"/>
      <c r="L84" s="415"/>
      <c r="M84" s="415"/>
      <c r="N84" s="415"/>
      <c r="O84" s="417"/>
      <c r="P84" s="415"/>
      <c r="Q84" s="415"/>
      <c r="R84" s="415"/>
      <c r="S84" s="415"/>
      <c r="T84" s="415"/>
      <c r="U84" s="415"/>
      <c r="V84" s="415"/>
      <c r="W84" s="415"/>
      <c r="X84" s="330"/>
      <c r="Y84" s="330"/>
      <c r="Z84" s="330"/>
      <c r="AA84" s="330"/>
      <c r="AB84" s="330"/>
      <c r="AC84" s="330"/>
    </row>
    <row r="85" spans="1:29" ht="15">
      <c r="A85" s="330"/>
      <c r="B85" s="330"/>
      <c r="C85" s="330"/>
      <c r="D85" s="330"/>
      <c r="E85" s="415"/>
      <c r="F85" s="415"/>
      <c r="G85" s="506"/>
      <c r="H85" s="506"/>
      <c r="I85" s="506"/>
      <c r="J85" s="415"/>
      <c r="K85" s="506"/>
      <c r="L85" s="506"/>
      <c r="M85" s="506"/>
      <c r="N85" s="415"/>
      <c r="O85" s="418"/>
      <c r="P85" s="415"/>
      <c r="Q85" s="415"/>
      <c r="R85" s="415"/>
      <c r="S85" s="415"/>
      <c r="T85" s="415"/>
      <c r="U85" s="415"/>
      <c r="V85" s="415"/>
      <c r="W85" s="415"/>
      <c r="X85" s="330"/>
      <c r="Y85" s="330"/>
      <c r="Z85" s="330"/>
      <c r="AA85" s="330"/>
      <c r="AB85" s="330"/>
      <c r="AC85" s="330"/>
    </row>
    <row r="86" spans="1:29" ht="15">
      <c r="A86" s="330"/>
      <c r="B86" s="330"/>
      <c r="C86" s="330"/>
      <c r="D86" s="330"/>
      <c r="E86" s="418"/>
      <c r="F86" s="415"/>
      <c r="G86" s="418"/>
      <c r="H86" s="418"/>
      <c r="I86" s="418"/>
      <c r="J86" s="415"/>
      <c r="K86" s="418"/>
      <c r="L86" s="418"/>
      <c r="M86" s="418"/>
      <c r="N86" s="415"/>
      <c r="O86" s="417"/>
      <c r="P86" s="415"/>
      <c r="Q86" s="418"/>
      <c r="R86" s="415"/>
      <c r="S86" s="415"/>
      <c r="T86" s="415"/>
      <c r="U86" s="415"/>
      <c r="V86" s="415"/>
      <c r="W86" s="415"/>
      <c r="X86" s="330"/>
      <c r="Y86" s="330"/>
      <c r="Z86" s="330"/>
      <c r="AA86" s="330"/>
      <c r="AB86" s="330"/>
      <c r="AC86" s="330"/>
    </row>
    <row r="87" spans="1:29" ht="15">
      <c r="A87" s="330"/>
      <c r="B87" s="330"/>
      <c r="C87" s="330"/>
      <c r="D87" s="330"/>
      <c r="E87" s="415"/>
      <c r="F87" s="415"/>
      <c r="G87" s="415"/>
      <c r="H87" s="415"/>
      <c r="I87" s="415"/>
      <c r="J87" s="415"/>
      <c r="K87" s="415"/>
      <c r="L87" s="415"/>
      <c r="M87" s="415"/>
      <c r="N87" s="415"/>
      <c r="O87" s="415"/>
      <c r="P87" s="415"/>
      <c r="Q87" s="415"/>
      <c r="R87" s="415"/>
      <c r="S87" s="415"/>
      <c r="T87" s="415"/>
      <c r="U87" s="415"/>
      <c r="V87" s="415"/>
      <c r="W87" s="415"/>
      <c r="X87" s="330"/>
      <c r="Y87" s="330"/>
      <c r="Z87" s="330"/>
      <c r="AA87" s="330"/>
      <c r="AB87" s="330"/>
      <c r="AC87" s="330"/>
    </row>
    <row r="88" spans="1:29" ht="15">
      <c r="A88" s="330"/>
      <c r="B88" s="330"/>
      <c r="C88" s="330"/>
      <c r="D88" s="330"/>
      <c r="E88" s="417"/>
      <c r="F88" s="417"/>
      <c r="G88" s="422"/>
      <c r="H88" s="415"/>
      <c r="I88" s="423"/>
      <c r="J88" s="419"/>
      <c r="K88" s="420"/>
      <c r="L88" s="415"/>
      <c r="M88" s="423"/>
      <c r="N88" s="415"/>
      <c r="O88" s="423"/>
      <c r="P88" s="415"/>
      <c r="Q88" s="424"/>
      <c r="R88" s="415"/>
      <c r="S88" s="419"/>
      <c r="T88" s="415"/>
      <c r="U88" s="415"/>
      <c r="V88" s="415"/>
      <c r="W88" s="415"/>
      <c r="X88" s="330"/>
      <c r="Y88" s="330"/>
      <c r="Z88" s="330"/>
      <c r="AA88" s="330"/>
      <c r="AB88" s="330"/>
      <c r="AC88" s="330"/>
    </row>
    <row r="89" spans="1:29" ht="15">
      <c r="A89" s="330"/>
      <c r="B89" s="330"/>
      <c r="C89" s="330"/>
      <c r="D89" s="330"/>
      <c r="E89" s="417"/>
      <c r="F89" s="417"/>
      <c r="G89" s="422"/>
      <c r="H89" s="415"/>
      <c r="I89" s="415"/>
      <c r="J89" s="415"/>
      <c r="K89" s="420"/>
      <c r="L89" s="415"/>
      <c r="M89" s="415"/>
      <c r="N89" s="415"/>
      <c r="O89" s="415"/>
      <c r="P89" s="415"/>
      <c r="Q89" s="424"/>
      <c r="R89" s="415"/>
      <c r="S89" s="419"/>
      <c r="T89" s="415"/>
      <c r="U89" s="415"/>
      <c r="V89" s="415"/>
      <c r="W89" s="415"/>
      <c r="X89" s="330"/>
      <c r="Y89" s="330"/>
      <c r="Z89" s="330"/>
      <c r="AA89" s="330"/>
      <c r="AB89" s="330"/>
      <c r="AC89" s="330"/>
    </row>
    <row r="90" spans="1:29" ht="15">
      <c r="A90" s="330"/>
      <c r="B90" s="330"/>
      <c r="C90" s="330"/>
      <c r="D90" s="330"/>
      <c r="E90" s="417"/>
      <c r="F90" s="417"/>
      <c r="G90" s="422"/>
      <c r="H90" s="415"/>
      <c r="I90" s="419"/>
      <c r="J90" s="415"/>
      <c r="K90" s="420"/>
      <c r="L90" s="415"/>
      <c r="M90" s="419"/>
      <c r="N90" s="415"/>
      <c r="O90" s="425"/>
      <c r="P90" s="415"/>
      <c r="Q90" s="425"/>
      <c r="R90" s="415"/>
      <c r="S90" s="419"/>
      <c r="T90" s="415"/>
      <c r="U90" s="415"/>
      <c r="V90" s="415"/>
      <c r="W90" s="415"/>
      <c r="X90" s="330"/>
      <c r="Y90" s="330"/>
      <c r="Z90" s="330"/>
      <c r="AA90" s="330"/>
      <c r="AB90" s="330"/>
      <c r="AC90" s="330"/>
    </row>
    <row r="91" spans="1:29" ht="15">
      <c r="A91" s="330"/>
      <c r="B91" s="330"/>
      <c r="C91" s="330"/>
      <c r="D91" s="330"/>
      <c r="E91" s="417"/>
      <c r="F91" s="417"/>
      <c r="G91" s="422"/>
      <c r="H91" s="415"/>
      <c r="I91" s="419"/>
      <c r="J91" s="415"/>
      <c r="K91" s="324"/>
      <c r="L91" s="415"/>
      <c r="M91" s="419"/>
      <c r="N91" s="415"/>
      <c r="O91" s="425"/>
      <c r="P91" s="415"/>
      <c r="Q91" s="425"/>
      <c r="R91" s="415"/>
      <c r="S91" s="419"/>
      <c r="T91" s="415"/>
      <c r="U91" s="415"/>
      <c r="V91" s="415"/>
      <c r="W91" s="415"/>
      <c r="X91" s="330"/>
      <c r="Y91" s="330"/>
      <c r="Z91" s="330"/>
      <c r="AA91" s="330"/>
      <c r="AB91" s="330"/>
      <c r="AC91" s="330"/>
    </row>
    <row r="92" spans="1:29" ht="15">
      <c r="A92" s="330"/>
      <c r="B92" s="330"/>
      <c r="C92" s="330"/>
      <c r="D92" s="330"/>
      <c r="E92" s="417"/>
      <c r="F92" s="417"/>
      <c r="G92" s="422"/>
      <c r="H92" s="415"/>
      <c r="I92" s="419"/>
      <c r="J92" s="415"/>
      <c r="K92" s="420"/>
      <c r="L92" s="415"/>
      <c r="M92" s="419"/>
      <c r="N92" s="415"/>
      <c r="O92" s="425"/>
      <c r="P92" s="415"/>
      <c r="Q92" s="425"/>
      <c r="R92" s="415"/>
      <c r="S92" s="419"/>
      <c r="T92" s="415"/>
      <c r="U92" s="415"/>
      <c r="V92" s="415"/>
      <c r="W92" s="415"/>
      <c r="X92" s="330"/>
      <c r="Y92" s="330"/>
      <c r="Z92" s="330"/>
      <c r="AA92" s="330"/>
      <c r="AB92" s="330"/>
      <c r="AC92" s="330"/>
    </row>
    <row r="93" spans="5:23" ht="15">
      <c r="E93" s="417"/>
      <c r="F93" s="417"/>
      <c r="G93" s="422"/>
      <c r="H93" s="324"/>
      <c r="I93" s="419"/>
      <c r="J93" s="324"/>
      <c r="K93" s="420"/>
      <c r="L93" s="324"/>
      <c r="M93" s="419"/>
      <c r="N93" s="324"/>
      <c r="O93" s="425"/>
      <c r="P93" s="324"/>
      <c r="Q93" s="425"/>
      <c r="R93" s="324"/>
      <c r="S93" s="419"/>
      <c r="T93" s="324"/>
      <c r="U93" s="324"/>
      <c r="V93" s="324"/>
      <c r="W93" s="324"/>
    </row>
    <row r="94" spans="5:23" ht="15">
      <c r="E94" s="417"/>
      <c r="F94" s="417"/>
      <c r="G94" s="422"/>
      <c r="H94" s="324"/>
      <c r="I94" s="419"/>
      <c r="J94" s="324"/>
      <c r="K94" s="420"/>
      <c r="L94" s="324"/>
      <c r="M94" s="419"/>
      <c r="N94" s="324"/>
      <c r="O94" s="425"/>
      <c r="P94" s="324"/>
      <c r="Q94" s="425"/>
      <c r="R94" s="324"/>
      <c r="S94" s="419"/>
      <c r="T94" s="324"/>
      <c r="U94" s="324"/>
      <c r="V94" s="324"/>
      <c r="W94" s="324"/>
    </row>
    <row r="95" spans="5:23" ht="15">
      <c r="E95" s="417"/>
      <c r="F95" s="417"/>
      <c r="G95" s="422"/>
      <c r="H95" s="324"/>
      <c r="I95" s="419"/>
      <c r="J95" s="324"/>
      <c r="K95" s="420"/>
      <c r="L95" s="324"/>
      <c r="M95" s="419"/>
      <c r="N95" s="324"/>
      <c r="O95" s="425"/>
      <c r="P95" s="324"/>
      <c r="Q95" s="425"/>
      <c r="R95" s="324"/>
      <c r="S95" s="419"/>
      <c r="T95" s="324"/>
      <c r="U95" s="324"/>
      <c r="V95" s="324"/>
      <c r="W95" s="324"/>
    </row>
    <row r="96" spans="5:23" ht="15">
      <c r="E96" s="417"/>
      <c r="F96" s="417"/>
      <c r="G96" s="422"/>
      <c r="H96" s="324"/>
      <c r="I96" s="419"/>
      <c r="J96" s="324"/>
      <c r="K96" s="420"/>
      <c r="L96" s="324"/>
      <c r="M96" s="419"/>
      <c r="N96" s="324"/>
      <c r="O96" s="425"/>
      <c r="P96" s="324"/>
      <c r="Q96" s="425"/>
      <c r="R96" s="324"/>
      <c r="S96" s="419"/>
      <c r="T96" s="324"/>
      <c r="U96" s="324"/>
      <c r="V96" s="324"/>
      <c r="W96" s="324"/>
    </row>
    <row r="97" spans="5:23" ht="15">
      <c r="E97" s="417"/>
      <c r="F97" s="417"/>
      <c r="G97" s="422"/>
      <c r="H97" s="324"/>
      <c r="I97" s="419"/>
      <c r="J97" s="324"/>
      <c r="K97" s="420"/>
      <c r="L97" s="324"/>
      <c r="M97" s="419"/>
      <c r="N97" s="324"/>
      <c r="O97" s="425"/>
      <c r="P97" s="324"/>
      <c r="Q97" s="425"/>
      <c r="R97" s="324"/>
      <c r="S97" s="419"/>
      <c r="T97" s="324"/>
      <c r="U97" s="324"/>
      <c r="V97" s="324"/>
      <c r="W97" s="324"/>
    </row>
    <row r="98" spans="5:23" ht="15">
      <c r="E98" s="417"/>
      <c r="F98" s="417"/>
      <c r="G98" s="422"/>
      <c r="H98" s="324"/>
      <c r="I98" s="419"/>
      <c r="J98" s="324"/>
      <c r="K98" s="420"/>
      <c r="L98" s="324"/>
      <c r="M98" s="419"/>
      <c r="N98" s="324"/>
      <c r="O98" s="425"/>
      <c r="P98" s="324"/>
      <c r="Q98" s="425"/>
      <c r="R98" s="324"/>
      <c r="S98" s="419"/>
      <c r="T98" s="324"/>
      <c r="U98" s="324"/>
      <c r="V98" s="324"/>
      <c r="W98" s="324"/>
    </row>
    <row r="99" spans="5:23" ht="15">
      <c r="E99" s="417"/>
      <c r="F99" s="417"/>
      <c r="G99" s="422"/>
      <c r="H99" s="324"/>
      <c r="I99" s="419"/>
      <c r="J99" s="324"/>
      <c r="K99" s="420"/>
      <c r="L99" s="324"/>
      <c r="M99" s="419"/>
      <c r="N99" s="324"/>
      <c r="O99" s="425"/>
      <c r="P99" s="324"/>
      <c r="Q99" s="425"/>
      <c r="R99" s="324"/>
      <c r="S99" s="419"/>
      <c r="T99" s="324"/>
      <c r="U99" s="324"/>
      <c r="V99" s="324"/>
      <c r="W99" s="324"/>
    </row>
    <row r="100" spans="5:23" ht="15">
      <c r="E100" s="417"/>
      <c r="F100" s="417"/>
      <c r="G100" s="422"/>
      <c r="H100" s="324"/>
      <c r="I100" s="419"/>
      <c r="J100" s="324"/>
      <c r="K100" s="420"/>
      <c r="L100" s="324"/>
      <c r="M100" s="419"/>
      <c r="N100" s="324"/>
      <c r="O100" s="425"/>
      <c r="P100" s="324"/>
      <c r="Q100" s="425"/>
      <c r="R100" s="324"/>
      <c r="S100" s="419"/>
      <c r="T100" s="324"/>
      <c r="U100" s="324"/>
      <c r="V100" s="324"/>
      <c r="W100" s="324"/>
    </row>
    <row r="101" spans="5:23" ht="15">
      <c r="E101" s="417"/>
      <c r="F101" s="417"/>
      <c r="G101" s="422"/>
      <c r="H101" s="324"/>
      <c r="I101" s="419"/>
      <c r="J101" s="324"/>
      <c r="K101" s="420"/>
      <c r="L101" s="324"/>
      <c r="M101" s="419"/>
      <c r="N101" s="324"/>
      <c r="O101" s="425"/>
      <c r="P101" s="324"/>
      <c r="Q101" s="425"/>
      <c r="R101" s="324"/>
      <c r="S101" s="419"/>
      <c r="T101" s="324"/>
      <c r="U101" s="324"/>
      <c r="V101" s="324"/>
      <c r="W101" s="324"/>
    </row>
    <row r="102" spans="5:23" ht="15">
      <c r="E102" s="417"/>
      <c r="F102" s="417"/>
      <c r="G102" s="422"/>
      <c r="H102" s="324"/>
      <c r="I102" s="419"/>
      <c r="J102" s="324"/>
      <c r="K102" s="420"/>
      <c r="L102" s="324"/>
      <c r="M102" s="419"/>
      <c r="N102" s="324"/>
      <c r="O102" s="425"/>
      <c r="P102" s="324"/>
      <c r="Q102" s="425"/>
      <c r="R102" s="324"/>
      <c r="S102" s="419"/>
      <c r="T102" s="324"/>
      <c r="U102" s="324"/>
      <c r="V102" s="324"/>
      <c r="W102" s="324"/>
    </row>
    <row r="103" spans="5:23" ht="15">
      <c r="E103" s="417"/>
      <c r="F103" s="417"/>
      <c r="G103" s="422"/>
      <c r="H103" s="324"/>
      <c r="I103" s="419"/>
      <c r="J103" s="324"/>
      <c r="K103" s="420"/>
      <c r="L103" s="324"/>
      <c r="M103" s="419"/>
      <c r="N103" s="324"/>
      <c r="O103" s="425"/>
      <c r="P103" s="324"/>
      <c r="Q103" s="425"/>
      <c r="R103" s="324"/>
      <c r="S103" s="419"/>
      <c r="T103" s="324"/>
      <c r="U103" s="324"/>
      <c r="V103" s="324"/>
      <c r="W103" s="324"/>
    </row>
    <row r="104" spans="5:23" ht="15">
      <c r="E104" s="417"/>
      <c r="F104" s="417"/>
      <c r="G104" s="422"/>
      <c r="H104" s="324"/>
      <c r="I104" s="419"/>
      <c r="J104" s="324"/>
      <c r="K104" s="420"/>
      <c r="L104" s="324"/>
      <c r="M104" s="419"/>
      <c r="N104" s="324"/>
      <c r="O104" s="425"/>
      <c r="P104" s="324"/>
      <c r="Q104" s="425"/>
      <c r="R104" s="324"/>
      <c r="S104" s="419"/>
      <c r="T104" s="324"/>
      <c r="U104" s="324"/>
      <c r="V104" s="324"/>
      <c r="W104" s="324"/>
    </row>
    <row r="105" spans="5:23" ht="15">
      <c r="E105" s="324"/>
      <c r="F105" s="324"/>
      <c r="G105" s="324"/>
      <c r="H105" s="324"/>
      <c r="I105" s="419"/>
      <c r="J105" s="324"/>
      <c r="K105" s="420"/>
      <c r="L105" s="324"/>
      <c r="M105" s="419"/>
      <c r="N105" s="324"/>
      <c r="O105" s="425"/>
      <c r="P105" s="324"/>
      <c r="Q105" s="425"/>
      <c r="R105" s="324"/>
      <c r="S105" s="419"/>
      <c r="T105" s="324"/>
      <c r="U105" s="324"/>
      <c r="V105" s="324"/>
      <c r="W105" s="324"/>
    </row>
    <row r="106" spans="5:23" ht="15">
      <c r="E106" s="418"/>
      <c r="F106" s="324"/>
      <c r="G106" s="418"/>
      <c r="H106" s="324"/>
      <c r="I106" s="419"/>
      <c r="J106" s="324"/>
      <c r="K106" s="420"/>
      <c r="L106" s="324"/>
      <c r="M106" s="419"/>
      <c r="N106" s="324"/>
      <c r="O106" s="425"/>
      <c r="P106" s="324"/>
      <c r="Q106" s="425"/>
      <c r="R106" s="324"/>
      <c r="S106" s="419"/>
      <c r="T106" s="324"/>
      <c r="U106" s="324"/>
      <c r="V106" s="324"/>
      <c r="W106" s="324"/>
    </row>
    <row r="107" spans="5:23" ht="15">
      <c r="E107" s="418"/>
      <c r="F107" s="324"/>
      <c r="G107" s="418"/>
      <c r="H107" s="324"/>
      <c r="I107" s="419"/>
      <c r="J107" s="324"/>
      <c r="K107" s="420"/>
      <c r="L107" s="324"/>
      <c r="M107" s="419"/>
      <c r="N107" s="324"/>
      <c r="O107" s="425"/>
      <c r="P107" s="324"/>
      <c r="Q107" s="425"/>
      <c r="R107" s="324"/>
      <c r="S107" s="419"/>
      <c r="T107" s="324"/>
      <c r="U107" s="324"/>
      <c r="V107" s="324"/>
      <c r="W107" s="324"/>
    </row>
    <row r="108" spans="5:23" ht="15">
      <c r="E108" s="418"/>
      <c r="F108" s="324"/>
      <c r="G108" s="418"/>
      <c r="H108" s="324"/>
      <c r="I108" s="419"/>
      <c r="J108" s="324"/>
      <c r="K108" s="420"/>
      <c r="L108" s="324"/>
      <c r="M108" s="419"/>
      <c r="N108" s="324"/>
      <c r="O108" s="425"/>
      <c r="P108" s="324"/>
      <c r="Q108" s="425"/>
      <c r="R108" s="324"/>
      <c r="S108" s="419"/>
      <c r="T108" s="324"/>
      <c r="U108" s="324"/>
      <c r="V108" s="324"/>
      <c r="W108" s="324"/>
    </row>
    <row r="109" spans="5:23" ht="15">
      <c r="E109" s="324"/>
      <c r="F109" s="324"/>
      <c r="G109" s="324"/>
      <c r="H109" s="324"/>
      <c r="I109" s="324"/>
      <c r="J109" s="324"/>
      <c r="K109" s="324"/>
      <c r="L109" s="324"/>
      <c r="M109" s="324"/>
      <c r="N109" s="324"/>
      <c r="O109" s="324"/>
      <c r="P109" s="324"/>
      <c r="Q109" s="324"/>
      <c r="R109" s="324"/>
      <c r="S109" s="324"/>
      <c r="T109" s="324"/>
      <c r="U109" s="324"/>
      <c r="V109" s="324"/>
      <c r="W109" s="324"/>
    </row>
    <row r="110" spans="5:23" ht="15">
      <c r="E110" s="324"/>
      <c r="F110" s="324"/>
      <c r="G110" s="324"/>
      <c r="H110" s="324"/>
      <c r="I110" s="324"/>
      <c r="J110" s="324"/>
      <c r="K110" s="324"/>
      <c r="L110" s="324"/>
      <c r="M110" s="324"/>
      <c r="N110" s="324"/>
      <c r="O110" s="324"/>
      <c r="P110" s="324"/>
      <c r="Q110" s="324"/>
      <c r="R110" s="324"/>
      <c r="S110" s="324"/>
      <c r="T110" s="324"/>
      <c r="U110" s="324"/>
      <c r="V110" s="324"/>
      <c r="W110" s="324"/>
    </row>
    <row r="111" spans="5:23" ht="15">
      <c r="E111" s="324"/>
      <c r="F111" s="324"/>
      <c r="G111" s="324"/>
      <c r="H111" s="324"/>
      <c r="I111" s="324"/>
      <c r="J111" s="324"/>
      <c r="K111" s="324"/>
      <c r="L111" s="324"/>
      <c r="M111" s="324"/>
      <c r="N111" s="324"/>
      <c r="O111" s="324"/>
      <c r="P111" s="324"/>
      <c r="Q111" s="324"/>
      <c r="R111" s="324"/>
      <c r="S111" s="324"/>
      <c r="T111" s="324"/>
      <c r="U111" s="324"/>
      <c r="V111" s="324"/>
      <c r="W111" s="324"/>
    </row>
    <row r="112" spans="5:23" ht="15">
      <c r="E112" s="324"/>
      <c r="F112" s="324"/>
      <c r="G112" s="324"/>
      <c r="H112" s="324"/>
      <c r="I112" s="324"/>
      <c r="J112" s="324"/>
      <c r="K112" s="324"/>
      <c r="L112" s="324"/>
      <c r="M112" s="324"/>
      <c r="N112" s="324"/>
      <c r="O112" s="324"/>
      <c r="P112" s="324"/>
      <c r="Q112" s="324"/>
      <c r="R112" s="324"/>
      <c r="S112" s="324"/>
      <c r="T112" s="324"/>
      <c r="U112" s="324"/>
      <c r="V112" s="324"/>
      <c r="W112" s="324"/>
    </row>
    <row r="113" spans="5:23" ht="15">
      <c r="E113" s="324"/>
      <c r="F113" s="324"/>
      <c r="G113" s="324"/>
      <c r="H113" s="324"/>
      <c r="I113" s="324"/>
      <c r="J113" s="324"/>
      <c r="K113" s="324"/>
      <c r="L113" s="324"/>
      <c r="M113" s="324"/>
      <c r="N113" s="324"/>
      <c r="O113" s="324"/>
      <c r="P113" s="324"/>
      <c r="Q113" s="324"/>
      <c r="R113" s="324"/>
      <c r="S113" s="324"/>
      <c r="T113" s="324"/>
      <c r="U113" s="324"/>
      <c r="V113" s="324"/>
      <c r="W113" s="324"/>
    </row>
    <row r="114" spans="5:23" ht="15">
      <c r="E114" s="324"/>
      <c r="F114" s="324"/>
      <c r="G114" s="324"/>
      <c r="H114" s="324"/>
      <c r="I114" s="324"/>
      <c r="J114" s="324"/>
      <c r="K114" s="324"/>
      <c r="L114" s="324"/>
      <c r="M114" s="324"/>
      <c r="N114" s="324"/>
      <c r="O114" s="324"/>
      <c r="P114" s="324"/>
      <c r="Q114" s="324"/>
      <c r="R114" s="324"/>
      <c r="S114" s="324"/>
      <c r="T114" s="324"/>
      <c r="U114" s="324"/>
      <c r="V114" s="324"/>
      <c r="W114" s="324"/>
    </row>
    <row r="115" spans="5:23" ht="15">
      <c r="E115" s="324"/>
      <c r="F115" s="324"/>
      <c r="G115" s="324"/>
      <c r="H115" s="324"/>
      <c r="I115" s="324"/>
      <c r="J115" s="324"/>
      <c r="K115" s="324"/>
      <c r="L115" s="324"/>
      <c r="M115" s="324"/>
      <c r="N115" s="324"/>
      <c r="O115" s="324"/>
      <c r="P115" s="324"/>
      <c r="Q115" s="324"/>
      <c r="R115" s="324"/>
      <c r="S115" s="324"/>
      <c r="T115" s="324"/>
      <c r="U115" s="324"/>
      <c r="V115" s="324"/>
      <c r="W115" s="324"/>
    </row>
    <row r="116" spans="5:23" ht="15">
      <c r="E116" s="324"/>
      <c r="F116" s="324"/>
      <c r="G116" s="324"/>
      <c r="H116" s="324"/>
      <c r="I116" s="324"/>
      <c r="J116" s="324"/>
      <c r="K116" s="324"/>
      <c r="L116" s="324"/>
      <c r="M116" s="324"/>
      <c r="N116" s="324"/>
      <c r="O116" s="324"/>
      <c r="P116" s="324"/>
      <c r="Q116" s="324"/>
      <c r="R116" s="324"/>
      <c r="S116" s="324"/>
      <c r="T116" s="324"/>
      <c r="U116" s="324"/>
      <c r="V116" s="324"/>
      <c r="W116" s="324"/>
    </row>
    <row r="117" spans="5:23" ht="15">
      <c r="E117" s="324"/>
      <c r="F117" s="324"/>
      <c r="G117" s="324"/>
      <c r="H117" s="324"/>
      <c r="I117" s="324"/>
      <c r="J117" s="324"/>
      <c r="K117" s="324"/>
      <c r="L117" s="324"/>
      <c r="M117" s="324"/>
      <c r="N117" s="324"/>
      <c r="O117" s="324"/>
      <c r="P117" s="324"/>
      <c r="Q117" s="324"/>
      <c r="R117" s="324"/>
      <c r="S117" s="324"/>
      <c r="T117" s="324"/>
      <c r="U117" s="324"/>
      <c r="V117" s="324"/>
      <c r="W117" s="324"/>
    </row>
    <row r="118" spans="5:23" ht="15">
      <c r="E118" s="324"/>
      <c r="F118" s="324"/>
      <c r="G118" s="324"/>
      <c r="H118" s="324"/>
      <c r="I118" s="324"/>
      <c r="J118" s="324"/>
      <c r="K118" s="324"/>
      <c r="L118" s="324"/>
      <c r="M118" s="324"/>
      <c r="N118" s="324"/>
      <c r="O118" s="324"/>
      <c r="P118" s="324"/>
      <c r="Q118" s="324"/>
      <c r="R118" s="324"/>
      <c r="S118" s="324"/>
      <c r="T118" s="324"/>
      <c r="U118" s="324"/>
      <c r="V118" s="324"/>
      <c r="W118" s="324"/>
    </row>
    <row r="119" spans="5:23" ht="15">
      <c r="E119" s="324"/>
      <c r="F119" s="324"/>
      <c r="G119" s="324"/>
      <c r="H119" s="324"/>
      <c r="I119" s="324"/>
      <c r="J119" s="324"/>
      <c r="K119" s="324"/>
      <c r="L119" s="324"/>
      <c r="M119" s="324"/>
      <c r="N119" s="324"/>
      <c r="O119" s="324"/>
      <c r="P119" s="324"/>
      <c r="Q119" s="324"/>
      <c r="R119" s="324"/>
      <c r="S119" s="324"/>
      <c r="T119" s="324"/>
      <c r="U119" s="324"/>
      <c r="V119" s="324"/>
      <c r="W119" s="324"/>
    </row>
    <row r="120" spans="5:23" ht="15">
      <c r="E120" s="324"/>
      <c r="F120" s="324"/>
      <c r="G120" s="324"/>
      <c r="H120" s="324"/>
      <c r="I120" s="324"/>
      <c r="J120" s="324"/>
      <c r="K120" s="324"/>
      <c r="L120" s="324"/>
      <c r="M120" s="324"/>
      <c r="N120" s="324"/>
      <c r="O120" s="324"/>
      <c r="P120" s="324"/>
      <c r="Q120" s="324"/>
      <c r="R120" s="324"/>
      <c r="S120" s="324"/>
      <c r="T120" s="324"/>
      <c r="U120" s="324"/>
      <c r="V120" s="324"/>
      <c r="W120" s="324"/>
    </row>
    <row r="121" spans="5:23" ht="15">
      <c r="E121" s="324"/>
      <c r="F121" s="324"/>
      <c r="G121" s="324"/>
      <c r="H121" s="324"/>
      <c r="I121" s="324"/>
      <c r="J121" s="324"/>
      <c r="K121" s="324"/>
      <c r="L121" s="324"/>
      <c r="M121" s="324"/>
      <c r="N121" s="324"/>
      <c r="O121" s="324"/>
      <c r="P121" s="324"/>
      <c r="Q121" s="324"/>
      <c r="R121" s="324"/>
      <c r="S121" s="324"/>
      <c r="T121" s="324"/>
      <c r="U121" s="324"/>
      <c r="V121" s="324"/>
      <c r="W121" s="324"/>
    </row>
    <row r="122" spans="5:23" ht="15">
      <c r="E122" s="324"/>
      <c r="F122" s="324"/>
      <c r="G122" s="324"/>
      <c r="H122" s="324"/>
      <c r="I122" s="324"/>
      <c r="J122" s="324"/>
      <c r="K122" s="324"/>
      <c r="L122" s="324"/>
      <c r="M122" s="324"/>
      <c r="N122" s="324"/>
      <c r="O122" s="324"/>
      <c r="P122" s="324"/>
      <c r="Q122" s="324"/>
      <c r="R122" s="324"/>
      <c r="S122" s="324"/>
      <c r="T122" s="324"/>
      <c r="U122" s="324"/>
      <c r="V122" s="324"/>
      <c r="W122" s="324"/>
    </row>
    <row r="123" spans="5:23" ht="15">
      <c r="E123" s="324"/>
      <c r="F123" s="324"/>
      <c r="G123" s="324"/>
      <c r="H123" s="324"/>
      <c r="I123" s="324"/>
      <c r="J123" s="324"/>
      <c r="K123" s="324"/>
      <c r="L123" s="324"/>
      <c r="M123" s="324"/>
      <c r="N123" s="324"/>
      <c r="O123" s="324"/>
      <c r="P123" s="324"/>
      <c r="Q123" s="324"/>
      <c r="R123" s="324"/>
      <c r="S123" s="324"/>
      <c r="T123" s="324"/>
      <c r="U123" s="324"/>
      <c r="V123" s="324"/>
      <c r="W123" s="324"/>
    </row>
    <row r="124" spans="5:23" ht="15">
      <c r="E124" s="324"/>
      <c r="F124" s="324"/>
      <c r="G124" s="324"/>
      <c r="H124" s="324"/>
      <c r="I124" s="324"/>
      <c r="J124" s="324"/>
      <c r="K124" s="324"/>
      <c r="L124" s="324"/>
      <c r="M124" s="324"/>
      <c r="N124" s="324"/>
      <c r="O124" s="324"/>
      <c r="P124" s="324"/>
      <c r="Q124" s="324"/>
      <c r="R124" s="324"/>
      <c r="S124" s="324"/>
      <c r="T124" s="324"/>
      <c r="U124" s="324"/>
      <c r="V124" s="324"/>
      <c r="W124" s="324"/>
    </row>
    <row r="125" spans="5:23" ht="15">
      <c r="E125" s="324"/>
      <c r="F125" s="324"/>
      <c r="G125" s="324"/>
      <c r="H125" s="324"/>
      <c r="I125" s="324"/>
      <c r="J125" s="324"/>
      <c r="K125" s="324"/>
      <c r="L125" s="324"/>
      <c r="M125" s="324"/>
      <c r="N125" s="324"/>
      <c r="O125" s="324"/>
      <c r="P125" s="324"/>
      <c r="Q125" s="324"/>
      <c r="R125" s="324"/>
      <c r="S125" s="324"/>
      <c r="T125" s="324"/>
      <c r="U125" s="324"/>
      <c r="V125" s="324"/>
      <c r="W125" s="324"/>
    </row>
    <row r="126" spans="5:23" ht="15">
      <c r="E126" s="324"/>
      <c r="F126" s="324"/>
      <c r="G126" s="324"/>
      <c r="H126" s="324"/>
      <c r="I126" s="324"/>
      <c r="J126" s="324"/>
      <c r="K126" s="324"/>
      <c r="L126" s="324"/>
      <c r="M126" s="324"/>
      <c r="N126" s="324"/>
      <c r="O126" s="324"/>
      <c r="P126" s="324"/>
      <c r="Q126" s="324"/>
      <c r="R126" s="324"/>
      <c r="S126" s="324"/>
      <c r="T126" s="324"/>
      <c r="U126" s="324"/>
      <c r="V126" s="324"/>
      <c r="W126" s="324"/>
    </row>
    <row r="127" spans="5:23" ht="15">
      <c r="E127" s="324"/>
      <c r="F127" s="324"/>
      <c r="G127" s="324"/>
      <c r="H127" s="324"/>
      <c r="I127" s="324"/>
      <c r="J127" s="324"/>
      <c r="K127" s="324"/>
      <c r="L127" s="324"/>
      <c r="M127" s="324"/>
      <c r="N127" s="324"/>
      <c r="O127" s="324"/>
      <c r="P127" s="324"/>
      <c r="Q127" s="324"/>
      <c r="R127" s="324"/>
      <c r="S127" s="324"/>
      <c r="T127" s="324"/>
      <c r="U127" s="324"/>
      <c r="V127" s="324"/>
      <c r="W127" s="324"/>
    </row>
    <row r="128" spans="5:23" ht="15">
      <c r="E128" s="324"/>
      <c r="F128" s="324"/>
      <c r="G128" s="324"/>
      <c r="H128" s="324"/>
      <c r="I128" s="324"/>
      <c r="J128" s="324"/>
      <c r="K128" s="324"/>
      <c r="L128" s="324"/>
      <c r="M128" s="324"/>
      <c r="N128" s="324"/>
      <c r="O128" s="324"/>
      <c r="P128" s="324"/>
      <c r="Q128" s="324"/>
      <c r="R128" s="324"/>
      <c r="S128" s="324"/>
      <c r="T128" s="324"/>
      <c r="U128" s="324"/>
      <c r="V128" s="324"/>
      <c r="W128" s="324"/>
    </row>
    <row r="129" spans="5:23" ht="15">
      <c r="E129" s="324"/>
      <c r="F129" s="324"/>
      <c r="G129" s="324"/>
      <c r="H129" s="324"/>
      <c r="I129" s="324"/>
      <c r="J129" s="324"/>
      <c r="K129" s="324"/>
      <c r="L129" s="324"/>
      <c r="M129" s="324"/>
      <c r="N129" s="324"/>
      <c r="O129" s="324"/>
      <c r="P129" s="324"/>
      <c r="Q129" s="324"/>
      <c r="R129" s="324"/>
      <c r="S129" s="324"/>
      <c r="T129" s="324"/>
      <c r="U129" s="324"/>
      <c r="V129" s="324"/>
      <c r="W129" s="324"/>
    </row>
    <row r="130" spans="5:23" ht="15">
      <c r="E130" s="324"/>
      <c r="F130" s="324"/>
      <c r="G130" s="324"/>
      <c r="H130" s="324"/>
      <c r="I130" s="324"/>
      <c r="J130" s="324"/>
      <c r="K130" s="324"/>
      <c r="L130" s="324"/>
      <c r="M130" s="324"/>
      <c r="N130" s="324"/>
      <c r="O130" s="324"/>
      <c r="P130" s="324"/>
      <c r="Q130" s="324"/>
      <c r="R130" s="324"/>
      <c r="S130" s="324"/>
      <c r="T130" s="324"/>
      <c r="U130" s="324"/>
      <c r="V130" s="324"/>
      <c r="W130" s="324"/>
    </row>
    <row r="131" spans="5:23" ht="15">
      <c r="E131" s="324"/>
      <c r="F131" s="324"/>
      <c r="G131" s="324"/>
      <c r="H131" s="324"/>
      <c r="I131" s="324"/>
      <c r="J131" s="324"/>
      <c r="K131" s="324"/>
      <c r="L131" s="324"/>
      <c r="M131" s="324"/>
      <c r="N131" s="324"/>
      <c r="O131" s="324"/>
      <c r="P131" s="324"/>
      <c r="Q131" s="324"/>
      <c r="R131" s="324"/>
      <c r="S131" s="324"/>
      <c r="T131" s="324"/>
      <c r="U131" s="324"/>
      <c r="V131" s="324"/>
      <c r="W131" s="324"/>
    </row>
    <row r="132" spans="5:23" ht="15">
      <c r="E132" s="324"/>
      <c r="F132" s="324"/>
      <c r="G132" s="324"/>
      <c r="H132" s="324"/>
      <c r="I132" s="324"/>
      <c r="J132" s="324"/>
      <c r="K132" s="324"/>
      <c r="L132" s="324"/>
      <c r="M132" s="324"/>
      <c r="N132" s="324"/>
      <c r="O132" s="324"/>
      <c r="P132" s="324"/>
      <c r="Q132" s="324"/>
      <c r="R132" s="324"/>
      <c r="S132" s="324"/>
      <c r="T132" s="324"/>
      <c r="U132" s="324"/>
      <c r="V132" s="324"/>
      <c r="W132" s="324"/>
    </row>
    <row r="133" spans="5:23" ht="15">
      <c r="E133" s="324"/>
      <c r="F133" s="324"/>
      <c r="G133" s="324"/>
      <c r="H133" s="324"/>
      <c r="I133" s="324"/>
      <c r="J133" s="324"/>
      <c r="K133" s="324"/>
      <c r="L133" s="324"/>
      <c r="M133" s="324"/>
      <c r="N133" s="324"/>
      <c r="O133" s="324"/>
      <c r="P133" s="324"/>
      <c r="Q133" s="324"/>
      <c r="R133" s="324"/>
      <c r="S133" s="324"/>
      <c r="T133" s="324"/>
      <c r="U133" s="324"/>
      <c r="V133" s="324"/>
      <c r="W133" s="324"/>
    </row>
    <row r="134" spans="5:23" ht="15">
      <c r="E134" s="324"/>
      <c r="F134" s="324"/>
      <c r="G134" s="324"/>
      <c r="H134" s="324"/>
      <c r="I134" s="324"/>
      <c r="J134" s="324"/>
      <c r="K134" s="324"/>
      <c r="L134" s="324"/>
      <c r="M134" s="324"/>
      <c r="N134" s="324"/>
      <c r="O134" s="324"/>
      <c r="P134" s="324"/>
      <c r="Q134" s="324"/>
      <c r="R134" s="324"/>
      <c r="S134" s="324"/>
      <c r="T134" s="324"/>
      <c r="U134" s="324"/>
      <c r="V134" s="324"/>
      <c r="W134" s="324"/>
    </row>
    <row r="135" spans="5:23" ht="15">
      <c r="E135" s="324"/>
      <c r="F135" s="324"/>
      <c r="G135" s="324"/>
      <c r="H135" s="324"/>
      <c r="I135" s="324"/>
      <c r="J135" s="324"/>
      <c r="K135" s="324"/>
      <c r="L135" s="324"/>
      <c r="M135" s="324"/>
      <c r="N135" s="324"/>
      <c r="O135" s="324"/>
      <c r="P135" s="324"/>
      <c r="Q135" s="324"/>
      <c r="R135" s="324"/>
      <c r="S135" s="324"/>
      <c r="T135" s="324"/>
      <c r="U135" s="324"/>
      <c r="V135" s="324"/>
      <c r="W135" s="324"/>
    </row>
    <row r="136" spans="5:23" ht="15">
      <c r="E136" s="324"/>
      <c r="F136" s="324"/>
      <c r="G136" s="324"/>
      <c r="H136" s="324"/>
      <c r="I136" s="324"/>
      <c r="J136" s="324"/>
      <c r="K136" s="324"/>
      <c r="L136" s="324"/>
      <c r="M136" s="324"/>
      <c r="N136" s="324"/>
      <c r="O136" s="324"/>
      <c r="P136" s="324"/>
      <c r="Q136" s="324"/>
      <c r="R136" s="324"/>
      <c r="S136" s="324"/>
      <c r="T136" s="324"/>
      <c r="U136" s="324"/>
      <c r="V136" s="324"/>
      <c r="W136" s="324"/>
    </row>
    <row r="137" spans="5:23" ht="15">
      <c r="E137" s="324"/>
      <c r="F137" s="324"/>
      <c r="G137" s="324"/>
      <c r="H137" s="324"/>
      <c r="I137" s="324"/>
      <c r="J137" s="324"/>
      <c r="K137" s="324"/>
      <c r="L137" s="324"/>
      <c r="M137" s="324"/>
      <c r="N137" s="324"/>
      <c r="O137" s="324"/>
      <c r="P137" s="324"/>
      <c r="Q137" s="324"/>
      <c r="R137" s="324"/>
      <c r="S137" s="324"/>
      <c r="T137" s="324"/>
      <c r="U137" s="324"/>
      <c r="V137" s="324"/>
      <c r="W137" s="324"/>
    </row>
    <row r="138" spans="5:23" ht="15">
      <c r="E138" s="324"/>
      <c r="F138" s="324"/>
      <c r="G138" s="324"/>
      <c r="H138" s="324"/>
      <c r="I138" s="324"/>
      <c r="J138" s="324"/>
      <c r="K138" s="324"/>
      <c r="L138" s="324"/>
      <c r="M138" s="324"/>
      <c r="N138" s="324"/>
      <c r="O138" s="324"/>
      <c r="P138" s="324"/>
      <c r="Q138" s="324"/>
      <c r="R138" s="324"/>
      <c r="S138" s="324"/>
      <c r="T138" s="324"/>
      <c r="U138" s="324"/>
      <c r="V138" s="324"/>
      <c r="W138" s="324"/>
    </row>
    <row r="139" spans="5:23" ht="15">
      <c r="E139" s="324"/>
      <c r="F139" s="324"/>
      <c r="G139" s="324"/>
      <c r="H139" s="324"/>
      <c r="I139" s="324"/>
      <c r="J139" s="324"/>
      <c r="K139" s="324"/>
      <c r="L139" s="324"/>
      <c r="M139" s="324"/>
      <c r="N139" s="324"/>
      <c r="O139" s="324"/>
      <c r="P139" s="324"/>
      <c r="Q139" s="324"/>
      <c r="R139" s="324"/>
      <c r="S139" s="324"/>
      <c r="T139" s="324"/>
      <c r="U139" s="324"/>
      <c r="V139" s="324"/>
      <c r="W139" s="324"/>
    </row>
    <row r="140" spans="5:23" ht="15">
      <c r="E140" s="324"/>
      <c r="F140" s="324"/>
      <c r="G140" s="324"/>
      <c r="H140" s="324"/>
      <c r="I140" s="324"/>
      <c r="J140" s="324"/>
      <c r="K140" s="324"/>
      <c r="L140" s="324"/>
      <c r="M140" s="324"/>
      <c r="N140" s="324"/>
      <c r="O140" s="324"/>
      <c r="P140" s="324"/>
      <c r="Q140" s="324"/>
      <c r="R140" s="324"/>
      <c r="S140" s="324"/>
      <c r="T140" s="324"/>
      <c r="U140" s="324"/>
      <c r="V140" s="324"/>
      <c r="W140" s="324"/>
    </row>
    <row r="141" spans="5:23" ht="15">
      <c r="E141" s="324"/>
      <c r="F141" s="324"/>
      <c r="G141" s="324"/>
      <c r="H141" s="324"/>
      <c r="I141" s="324"/>
      <c r="J141" s="324"/>
      <c r="K141" s="324"/>
      <c r="L141" s="324"/>
      <c r="M141" s="324"/>
      <c r="N141" s="324"/>
      <c r="O141" s="324"/>
      <c r="P141" s="324"/>
      <c r="Q141" s="324"/>
      <c r="R141" s="324"/>
      <c r="S141" s="324"/>
      <c r="T141" s="324"/>
      <c r="U141" s="324"/>
      <c r="V141" s="324"/>
      <c r="W141" s="324"/>
    </row>
    <row r="142" spans="5:23" ht="15">
      <c r="E142" s="324"/>
      <c r="F142" s="324"/>
      <c r="G142" s="324"/>
      <c r="H142" s="324"/>
      <c r="I142" s="324"/>
      <c r="J142" s="324"/>
      <c r="K142" s="324"/>
      <c r="L142" s="324"/>
      <c r="M142" s="324"/>
      <c r="N142" s="324"/>
      <c r="O142" s="324"/>
      <c r="P142" s="324"/>
      <c r="Q142" s="324"/>
      <c r="R142" s="324"/>
      <c r="S142" s="324"/>
      <c r="T142" s="324"/>
      <c r="U142" s="324"/>
      <c r="V142" s="324"/>
      <c r="W142" s="324"/>
    </row>
    <row r="143" spans="5:23" ht="15">
      <c r="E143" s="324"/>
      <c r="F143" s="324"/>
      <c r="G143" s="324"/>
      <c r="H143" s="324"/>
      <c r="I143" s="324"/>
      <c r="J143" s="324"/>
      <c r="K143" s="324"/>
      <c r="L143" s="324"/>
      <c r="M143" s="324"/>
      <c r="N143" s="324"/>
      <c r="O143" s="324"/>
      <c r="P143" s="324"/>
      <c r="Q143" s="324"/>
      <c r="R143" s="324"/>
      <c r="S143" s="324"/>
      <c r="T143" s="324"/>
      <c r="U143" s="324"/>
      <c r="V143" s="324"/>
      <c r="W143" s="324"/>
    </row>
    <row r="144" spans="5:23" ht="15">
      <c r="E144" s="324"/>
      <c r="F144" s="324"/>
      <c r="G144" s="324"/>
      <c r="H144" s="324"/>
      <c r="I144" s="324"/>
      <c r="J144" s="324"/>
      <c r="K144" s="324"/>
      <c r="L144" s="324"/>
      <c r="M144" s="324"/>
      <c r="N144" s="324"/>
      <c r="O144" s="324"/>
      <c r="P144" s="324"/>
      <c r="Q144" s="324"/>
      <c r="R144" s="324"/>
      <c r="S144" s="324"/>
      <c r="T144" s="324"/>
      <c r="U144" s="324"/>
      <c r="V144" s="324"/>
      <c r="W144" s="324"/>
    </row>
    <row r="145" spans="5:23" ht="15">
      <c r="E145" s="324"/>
      <c r="F145" s="324"/>
      <c r="G145" s="324"/>
      <c r="H145" s="324"/>
      <c r="I145" s="324"/>
      <c r="J145" s="324"/>
      <c r="K145" s="324"/>
      <c r="L145" s="324"/>
      <c r="M145" s="324"/>
      <c r="N145" s="324"/>
      <c r="O145" s="324"/>
      <c r="P145" s="324"/>
      <c r="Q145" s="324"/>
      <c r="R145" s="324"/>
      <c r="S145" s="324"/>
      <c r="T145" s="324"/>
      <c r="U145" s="324"/>
      <c r="V145" s="324"/>
      <c r="W145" s="324"/>
    </row>
    <row r="146" spans="5:23" ht="15">
      <c r="E146" s="324"/>
      <c r="F146" s="324"/>
      <c r="G146" s="324"/>
      <c r="H146" s="324"/>
      <c r="I146" s="324"/>
      <c r="J146" s="324"/>
      <c r="K146" s="324"/>
      <c r="L146" s="324"/>
      <c r="M146" s="324"/>
      <c r="N146" s="324"/>
      <c r="O146" s="324"/>
      <c r="P146" s="324"/>
      <c r="Q146" s="324"/>
      <c r="R146" s="324"/>
      <c r="S146" s="324"/>
      <c r="T146" s="324"/>
      <c r="U146" s="324"/>
      <c r="V146" s="324"/>
      <c r="W146" s="324"/>
    </row>
    <row r="147" spans="5:23" ht="15">
      <c r="E147" s="324"/>
      <c r="F147" s="324"/>
      <c r="G147" s="324"/>
      <c r="H147" s="324"/>
      <c r="I147" s="324"/>
      <c r="J147" s="324"/>
      <c r="K147" s="324"/>
      <c r="L147" s="324"/>
      <c r="M147" s="324"/>
      <c r="N147" s="324"/>
      <c r="O147" s="324"/>
      <c r="P147" s="324"/>
      <c r="Q147" s="324"/>
      <c r="R147" s="324"/>
      <c r="S147" s="324"/>
      <c r="T147" s="324"/>
      <c r="U147" s="324"/>
      <c r="V147" s="324"/>
      <c r="W147" s="324"/>
    </row>
    <row r="148" spans="5:23" ht="15">
      <c r="E148" s="324"/>
      <c r="F148" s="324"/>
      <c r="G148" s="324"/>
      <c r="H148" s="324"/>
      <c r="I148" s="324"/>
      <c r="J148" s="324"/>
      <c r="K148" s="324"/>
      <c r="L148" s="324"/>
      <c r="M148" s="324"/>
      <c r="N148" s="324"/>
      <c r="O148" s="324"/>
      <c r="P148" s="324"/>
      <c r="Q148" s="324"/>
      <c r="R148" s="324"/>
      <c r="S148" s="324"/>
      <c r="T148" s="324"/>
      <c r="U148" s="324"/>
      <c r="V148" s="324"/>
      <c r="W148" s="324"/>
    </row>
    <row r="149" spans="5:23" ht="15">
      <c r="E149" s="324"/>
      <c r="F149" s="324"/>
      <c r="G149" s="324"/>
      <c r="H149" s="324"/>
      <c r="I149" s="324"/>
      <c r="J149" s="324"/>
      <c r="K149" s="324"/>
      <c r="L149" s="324"/>
      <c r="M149" s="324"/>
      <c r="N149" s="324"/>
      <c r="O149" s="324"/>
      <c r="P149" s="324"/>
      <c r="Q149" s="324"/>
      <c r="R149" s="324"/>
      <c r="S149" s="324"/>
      <c r="T149" s="324"/>
      <c r="U149" s="324"/>
      <c r="V149" s="324"/>
      <c r="W149" s="324"/>
    </row>
    <row r="150" spans="5:23" ht="15">
      <c r="E150" s="324"/>
      <c r="F150" s="324"/>
      <c r="G150" s="324"/>
      <c r="H150" s="324"/>
      <c r="I150" s="324"/>
      <c r="J150" s="324"/>
      <c r="K150" s="324"/>
      <c r="L150" s="324"/>
      <c r="M150" s="324"/>
      <c r="N150" s="324"/>
      <c r="O150" s="324"/>
      <c r="P150" s="324"/>
      <c r="Q150" s="324"/>
      <c r="R150" s="324"/>
      <c r="S150" s="324"/>
      <c r="T150" s="324"/>
      <c r="U150" s="324"/>
      <c r="V150" s="324"/>
      <c r="W150" s="324"/>
    </row>
    <row r="151" spans="5:23" ht="15">
      <c r="E151" s="324"/>
      <c r="F151" s="324"/>
      <c r="G151" s="324"/>
      <c r="H151" s="324"/>
      <c r="I151" s="324"/>
      <c r="J151" s="324"/>
      <c r="K151" s="324"/>
      <c r="L151" s="324"/>
      <c r="M151" s="324"/>
      <c r="N151" s="324"/>
      <c r="O151" s="324"/>
      <c r="P151" s="324"/>
      <c r="Q151" s="324"/>
      <c r="R151" s="324"/>
      <c r="S151" s="324"/>
      <c r="T151" s="324"/>
      <c r="U151" s="324"/>
      <c r="V151" s="324"/>
      <c r="W151" s="324"/>
    </row>
    <row r="152" spans="5:23" ht="15">
      <c r="E152" s="324"/>
      <c r="F152" s="324"/>
      <c r="G152" s="324"/>
      <c r="H152" s="324"/>
      <c r="I152" s="324"/>
      <c r="J152" s="324"/>
      <c r="K152" s="324"/>
      <c r="L152" s="324"/>
      <c r="M152" s="324"/>
      <c r="N152" s="324"/>
      <c r="O152" s="324"/>
      <c r="P152" s="324"/>
      <c r="Q152" s="324"/>
      <c r="R152" s="324"/>
      <c r="S152" s="324"/>
      <c r="T152" s="324"/>
      <c r="U152" s="324"/>
      <c r="V152" s="324"/>
      <c r="W152" s="324"/>
    </row>
    <row r="153" spans="5:23" ht="15">
      <c r="E153" s="324"/>
      <c r="F153" s="324"/>
      <c r="G153" s="324"/>
      <c r="H153" s="324"/>
      <c r="I153" s="324"/>
      <c r="J153" s="324"/>
      <c r="K153" s="324"/>
      <c r="L153" s="324"/>
      <c r="M153" s="324"/>
      <c r="N153" s="324"/>
      <c r="O153" s="324"/>
      <c r="P153" s="324"/>
      <c r="Q153" s="324"/>
      <c r="R153" s="324"/>
      <c r="S153" s="324"/>
      <c r="T153" s="324"/>
      <c r="U153" s="324"/>
      <c r="V153" s="324"/>
      <c r="W153" s="324"/>
    </row>
    <row r="154" spans="5:23" ht="15">
      <c r="E154" s="324"/>
      <c r="F154" s="324"/>
      <c r="G154" s="324"/>
      <c r="H154" s="324"/>
      <c r="I154" s="324"/>
      <c r="J154" s="324"/>
      <c r="K154" s="324"/>
      <c r="L154" s="324"/>
      <c r="M154" s="324"/>
      <c r="N154" s="324"/>
      <c r="O154" s="324"/>
      <c r="P154" s="324"/>
      <c r="Q154" s="324"/>
      <c r="R154" s="324"/>
      <c r="S154" s="324"/>
      <c r="T154" s="324"/>
      <c r="U154" s="324"/>
      <c r="V154" s="324"/>
      <c r="W154" s="324"/>
    </row>
    <row r="155" spans="5:23" ht="15">
      <c r="E155" s="324"/>
      <c r="F155" s="324"/>
      <c r="G155" s="324"/>
      <c r="H155" s="324"/>
      <c r="I155" s="324"/>
      <c r="J155" s="324"/>
      <c r="K155" s="324"/>
      <c r="L155" s="324"/>
      <c r="M155" s="324"/>
      <c r="N155" s="324"/>
      <c r="O155" s="324"/>
      <c r="P155" s="324"/>
      <c r="Q155" s="324"/>
      <c r="R155" s="324"/>
      <c r="S155" s="324"/>
      <c r="T155" s="324"/>
      <c r="U155" s="324"/>
      <c r="V155" s="324"/>
      <c r="W155" s="324"/>
    </row>
    <row r="156" spans="5:23" ht="15">
      <c r="E156" s="324"/>
      <c r="F156" s="324"/>
      <c r="G156" s="324"/>
      <c r="H156" s="324"/>
      <c r="I156" s="324"/>
      <c r="J156" s="324"/>
      <c r="K156" s="324"/>
      <c r="L156" s="324"/>
      <c r="M156" s="324"/>
      <c r="N156" s="324"/>
      <c r="O156" s="324"/>
      <c r="P156" s="324"/>
      <c r="Q156" s="324"/>
      <c r="R156" s="324"/>
      <c r="S156" s="324"/>
      <c r="T156" s="324"/>
      <c r="U156" s="324"/>
      <c r="V156" s="324"/>
      <c r="W156" s="324"/>
    </row>
    <row r="157" spans="5:23" ht="15">
      <c r="E157" s="324"/>
      <c r="F157" s="324"/>
      <c r="G157" s="324"/>
      <c r="H157" s="324"/>
      <c r="I157" s="324"/>
      <c r="J157" s="324"/>
      <c r="K157" s="324"/>
      <c r="L157" s="324"/>
      <c r="M157" s="324"/>
      <c r="N157" s="324"/>
      <c r="O157" s="324"/>
      <c r="P157" s="324"/>
      <c r="Q157" s="324"/>
      <c r="R157" s="324"/>
      <c r="S157" s="324"/>
      <c r="T157" s="324"/>
      <c r="U157" s="324"/>
      <c r="V157" s="324"/>
      <c r="W157" s="324"/>
    </row>
    <row r="158" spans="5:23" ht="15">
      <c r="E158" s="324"/>
      <c r="F158" s="324"/>
      <c r="G158" s="324"/>
      <c r="H158" s="324"/>
      <c r="I158" s="324"/>
      <c r="J158" s="324"/>
      <c r="K158" s="324"/>
      <c r="L158" s="324"/>
      <c r="M158" s="324"/>
      <c r="N158" s="324"/>
      <c r="O158" s="324"/>
      <c r="P158" s="324"/>
      <c r="Q158" s="324"/>
      <c r="R158" s="324"/>
      <c r="S158" s="324"/>
      <c r="T158" s="324"/>
      <c r="U158" s="324"/>
      <c r="V158" s="324"/>
      <c r="W158" s="324"/>
    </row>
    <row r="159" spans="5:23" ht="15">
      <c r="E159" s="324"/>
      <c r="F159" s="324"/>
      <c r="G159" s="324"/>
      <c r="H159" s="324"/>
      <c r="I159" s="324"/>
      <c r="J159" s="324"/>
      <c r="K159" s="324"/>
      <c r="L159" s="324"/>
      <c r="M159" s="324"/>
      <c r="N159" s="324"/>
      <c r="O159" s="324"/>
      <c r="P159" s="324"/>
      <c r="Q159" s="324"/>
      <c r="R159" s="324"/>
      <c r="S159" s="324"/>
      <c r="T159" s="324"/>
      <c r="U159" s="324"/>
      <c r="V159" s="324"/>
      <c r="W159" s="324"/>
    </row>
    <row r="160" spans="5:23" ht="15">
      <c r="E160" s="324"/>
      <c r="F160" s="324"/>
      <c r="G160" s="324"/>
      <c r="H160" s="324"/>
      <c r="I160" s="324"/>
      <c r="J160" s="324"/>
      <c r="K160" s="324"/>
      <c r="L160" s="324"/>
      <c r="M160" s="324"/>
      <c r="N160" s="324"/>
      <c r="O160" s="324"/>
      <c r="P160" s="324"/>
      <c r="Q160" s="324"/>
      <c r="R160" s="324"/>
      <c r="S160" s="324"/>
      <c r="T160" s="324"/>
      <c r="U160" s="324"/>
      <c r="V160" s="324"/>
      <c r="W160" s="324"/>
    </row>
    <row r="161" spans="5:23" ht="15">
      <c r="E161" s="324"/>
      <c r="F161" s="324"/>
      <c r="G161" s="324"/>
      <c r="H161" s="324"/>
      <c r="I161" s="324"/>
      <c r="J161" s="324"/>
      <c r="K161" s="324"/>
      <c r="L161" s="324"/>
      <c r="M161" s="324"/>
      <c r="N161" s="324"/>
      <c r="O161" s="324"/>
      <c r="P161" s="324"/>
      <c r="Q161" s="324"/>
      <c r="R161" s="324"/>
      <c r="S161" s="324"/>
      <c r="T161" s="324"/>
      <c r="U161" s="324"/>
      <c r="V161" s="324"/>
      <c r="W161" s="324"/>
    </row>
    <row r="162" spans="5:23" ht="15">
      <c r="E162" s="324"/>
      <c r="F162" s="324"/>
      <c r="G162" s="324"/>
      <c r="H162" s="324"/>
      <c r="I162" s="324"/>
      <c r="J162" s="324"/>
      <c r="K162" s="324"/>
      <c r="L162" s="324"/>
      <c r="M162" s="324"/>
      <c r="N162" s="324"/>
      <c r="O162" s="324"/>
      <c r="P162" s="324"/>
      <c r="Q162" s="324"/>
      <c r="R162" s="324"/>
      <c r="S162" s="324"/>
      <c r="T162" s="324"/>
      <c r="U162" s="324"/>
      <c r="V162" s="324"/>
      <c r="W162" s="324"/>
    </row>
    <row r="163" spans="5:23" ht="15">
      <c r="E163" s="324"/>
      <c r="F163" s="324"/>
      <c r="G163" s="324"/>
      <c r="H163" s="324"/>
      <c r="I163" s="324"/>
      <c r="J163" s="324"/>
      <c r="K163" s="324"/>
      <c r="L163" s="324"/>
      <c r="M163" s="324"/>
      <c r="N163" s="324"/>
      <c r="O163" s="324"/>
      <c r="P163" s="324"/>
      <c r="Q163" s="324"/>
      <c r="R163" s="324"/>
      <c r="S163" s="324"/>
      <c r="T163" s="324"/>
      <c r="U163" s="324"/>
      <c r="V163" s="324"/>
      <c r="W163" s="324"/>
    </row>
    <row r="164" spans="5:23" ht="15">
      <c r="E164" s="324"/>
      <c r="F164" s="324"/>
      <c r="G164" s="324"/>
      <c r="H164" s="324"/>
      <c r="I164" s="324"/>
      <c r="J164" s="324"/>
      <c r="K164" s="324"/>
      <c r="L164" s="324"/>
      <c r="M164" s="324"/>
      <c r="N164" s="324"/>
      <c r="O164" s="324"/>
      <c r="P164" s="324"/>
      <c r="Q164" s="324"/>
      <c r="R164" s="324"/>
      <c r="S164" s="324"/>
      <c r="T164" s="324"/>
      <c r="U164" s="324"/>
      <c r="V164" s="324"/>
      <c r="W164" s="324"/>
    </row>
    <row r="165" spans="5:23" ht="15">
      <c r="E165" s="324"/>
      <c r="F165" s="324"/>
      <c r="G165" s="324"/>
      <c r="H165" s="324"/>
      <c r="I165" s="324"/>
      <c r="J165" s="324"/>
      <c r="K165" s="324"/>
      <c r="L165" s="324"/>
      <c r="M165" s="324"/>
      <c r="N165" s="324"/>
      <c r="O165" s="324"/>
      <c r="P165" s="324"/>
      <c r="Q165" s="324"/>
      <c r="R165" s="324"/>
      <c r="S165" s="324"/>
      <c r="T165" s="324"/>
      <c r="U165" s="324"/>
      <c r="V165" s="324"/>
      <c r="W165" s="324"/>
    </row>
    <row r="166" spans="5:23" ht="15">
      <c r="E166" s="324"/>
      <c r="F166" s="324"/>
      <c r="G166" s="324"/>
      <c r="H166" s="324"/>
      <c r="I166" s="324"/>
      <c r="J166" s="324"/>
      <c r="K166" s="324"/>
      <c r="L166" s="324"/>
      <c r="M166" s="324"/>
      <c r="N166" s="324"/>
      <c r="O166" s="324"/>
      <c r="P166" s="324"/>
      <c r="Q166" s="324"/>
      <c r="R166" s="324"/>
      <c r="S166" s="324"/>
      <c r="T166" s="324"/>
      <c r="U166" s="324"/>
      <c r="V166" s="324"/>
      <c r="W166" s="324"/>
    </row>
    <row r="167" spans="5:23" ht="15">
      <c r="E167" s="324"/>
      <c r="F167" s="324"/>
      <c r="G167" s="324"/>
      <c r="H167" s="324"/>
      <c r="I167" s="324"/>
      <c r="J167" s="324"/>
      <c r="K167" s="324"/>
      <c r="L167" s="324"/>
      <c r="M167" s="324"/>
      <c r="N167" s="324"/>
      <c r="O167" s="324"/>
      <c r="P167" s="324"/>
      <c r="Q167" s="324"/>
      <c r="R167" s="324"/>
      <c r="S167" s="324"/>
      <c r="T167" s="324"/>
      <c r="U167" s="324"/>
      <c r="V167" s="324"/>
      <c r="W167" s="324"/>
    </row>
    <row r="168" spans="5:23" ht="15">
      <c r="E168" s="324"/>
      <c r="F168" s="324"/>
      <c r="G168" s="324"/>
      <c r="H168" s="324"/>
      <c r="I168" s="324"/>
      <c r="J168" s="324"/>
      <c r="K168" s="324"/>
      <c r="L168" s="324"/>
      <c r="M168" s="324"/>
      <c r="N168" s="324"/>
      <c r="O168" s="324"/>
      <c r="P168" s="324"/>
      <c r="Q168" s="324"/>
      <c r="R168" s="324"/>
      <c r="S168" s="324"/>
      <c r="T168" s="324"/>
      <c r="U168" s="324"/>
      <c r="V168" s="324"/>
      <c r="W168" s="324"/>
    </row>
    <row r="169" spans="5:23" ht="15">
      <c r="E169" s="324"/>
      <c r="F169" s="324"/>
      <c r="G169" s="324"/>
      <c r="H169" s="324"/>
      <c r="I169" s="324"/>
      <c r="J169" s="324"/>
      <c r="K169" s="324"/>
      <c r="L169" s="324"/>
      <c r="M169" s="324"/>
      <c r="N169" s="324"/>
      <c r="O169" s="324"/>
      <c r="P169" s="324"/>
      <c r="Q169" s="324"/>
      <c r="R169" s="324"/>
      <c r="S169" s="324"/>
      <c r="T169" s="324"/>
      <c r="U169" s="324"/>
      <c r="V169" s="324"/>
      <c r="W169" s="324"/>
    </row>
    <row r="170" spans="5:23" ht="15">
      <c r="E170" s="324"/>
      <c r="F170" s="324"/>
      <c r="G170" s="324"/>
      <c r="H170" s="324"/>
      <c r="I170" s="324"/>
      <c r="J170" s="324"/>
      <c r="K170" s="324"/>
      <c r="L170" s="324"/>
      <c r="M170" s="324"/>
      <c r="N170" s="324"/>
      <c r="O170" s="324"/>
      <c r="P170" s="324"/>
      <c r="Q170" s="324"/>
      <c r="R170" s="324"/>
      <c r="S170" s="324"/>
      <c r="T170" s="324"/>
      <c r="U170" s="324"/>
      <c r="V170" s="324"/>
      <c r="W170" s="324"/>
    </row>
    <row r="171" spans="5:23" ht="15">
      <c r="E171" s="324"/>
      <c r="F171" s="324"/>
      <c r="G171" s="324"/>
      <c r="H171" s="324"/>
      <c r="I171" s="324"/>
      <c r="J171" s="324"/>
      <c r="K171" s="324"/>
      <c r="L171" s="324"/>
      <c r="M171" s="324"/>
      <c r="N171" s="324"/>
      <c r="O171" s="324"/>
      <c r="P171" s="324"/>
      <c r="Q171" s="324"/>
      <c r="R171" s="324"/>
      <c r="S171" s="324"/>
      <c r="T171" s="324"/>
      <c r="U171" s="324"/>
      <c r="V171" s="324"/>
      <c r="W171" s="324"/>
    </row>
    <row r="172" spans="5:23" ht="15">
      <c r="E172" s="324"/>
      <c r="F172" s="324"/>
      <c r="G172" s="324"/>
      <c r="H172" s="324"/>
      <c r="I172" s="324"/>
      <c r="J172" s="324"/>
      <c r="K172" s="324"/>
      <c r="L172" s="324"/>
      <c r="M172" s="324"/>
      <c r="N172" s="324"/>
      <c r="O172" s="324"/>
      <c r="P172" s="324"/>
      <c r="Q172" s="324"/>
      <c r="R172" s="324"/>
      <c r="S172" s="324"/>
      <c r="T172" s="324"/>
      <c r="U172" s="324"/>
      <c r="V172" s="324"/>
      <c r="W172" s="324"/>
    </row>
    <row r="173" spans="5:23" ht="15">
      <c r="E173" s="324"/>
      <c r="F173" s="324"/>
      <c r="G173" s="324"/>
      <c r="H173" s="324"/>
      <c r="I173" s="324"/>
      <c r="J173" s="324"/>
      <c r="K173" s="324"/>
      <c r="L173" s="324"/>
      <c r="M173" s="324"/>
      <c r="N173" s="324"/>
      <c r="O173" s="324"/>
      <c r="P173" s="324"/>
      <c r="Q173" s="324"/>
      <c r="R173" s="324"/>
      <c r="S173" s="324"/>
      <c r="T173" s="324"/>
      <c r="U173" s="324"/>
      <c r="V173" s="324"/>
      <c r="W173" s="324"/>
    </row>
    <row r="174" spans="5:23" ht="15">
      <c r="E174" s="324"/>
      <c r="F174" s="324"/>
      <c r="G174" s="324"/>
      <c r="H174" s="324"/>
      <c r="I174" s="324"/>
      <c r="J174" s="324"/>
      <c r="K174" s="324"/>
      <c r="L174" s="324"/>
      <c r="M174" s="324"/>
      <c r="N174" s="324"/>
      <c r="O174" s="324"/>
      <c r="P174" s="324"/>
      <c r="Q174" s="324"/>
      <c r="R174" s="324"/>
      <c r="S174" s="324"/>
      <c r="T174" s="324"/>
      <c r="U174" s="324"/>
      <c r="V174" s="324"/>
      <c r="W174" s="324"/>
    </row>
    <row r="175" spans="5:23" ht="15">
      <c r="E175" s="324"/>
      <c r="F175" s="324"/>
      <c r="G175" s="324"/>
      <c r="H175" s="324"/>
      <c r="I175" s="324"/>
      <c r="J175" s="324"/>
      <c r="K175" s="324"/>
      <c r="L175" s="324"/>
      <c r="M175" s="324"/>
      <c r="N175" s="324"/>
      <c r="O175" s="324"/>
      <c r="P175" s="324"/>
      <c r="Q175" s="324"/>
      <c r="R175" s="324"/>
      <c r="S175" s="324"/>
      <c r="T175" s="324"/>
      <c r="U175" s="324"/>
      <c r="V175" s="324"/>
      <c r="W175" s="324"/>
    </row>
    <row r="176" spans="5:23" ht="15">
      <c r="E176" s="324"/>
      <c r="F176" s="324"/>
      <c r="G176" s="324"/>
      <c r="H176" s="324"/>
      <c r="I176" s="324"/>
      <c r="J176" s="324"/>
      <c r="K176" s="324"/>
      <c r="L176" s="324"/>
      <c r="M176" s="324"/>
      <c r="N176" s="324"/>
      <c r="O176" s="324"/>
      <c r="P176" s="324"/>
      <c r="Q176" s="324"/>
      <c r="R176" s="324"/>
      <c r="S176" s="324"/>
      <c r="T176" s="324"/>
      <c r="U176" s="324"/>
      <c r="V176" s="324"/>
      <c r="W176" s="324"/>
    </row>
    <row r="177" spans="5:23" ht="15">
      <c r="E177" s="324"/>
      <c r="F177" s="324"/>
      <c r="G177" s="324"/>
      <c r="H177" s="324"/>
      <c r="I177" s="324"/>
      <c r="J177" s="324"/>
      <c r="K177" s="324"/>
      <c r="L177" s="324"/>
      <c r="M177" s="324"/>
      <c r="N177" s="324"/>
      <c r="O177" s="324"/>
      <c r="P177" s="324"/>
      <c r="Q177" s="324"/>
      <c r="R177" s="324"/>
      <c r="S177" s="324"/>
      <c r="T177" s="324"/>
      <c r="U177" s="324"/>
      <c r="V177" s="324"/>
      <c r="W177" s="324"/>
    </row>
    <row r="178" spans="5:23" ht="15">
      <c r="E178" s="324"/>
      <c r="F178" s="324"/>
      <c r="G178" s="324"/>
      <c r="H178" s="324"/>
      <c r="I178" s="324"/>
      <c r="J178" s="324"/>
      <c r="K178" s="324"/>
      <c r="L178" s="324"/>
      <c r="M178" s="324"/>
      <c r="N178" s="324"/>
      <c r="O178" s="324"/>
      <c r="P178" s="324"/>
      <c r="Q178" s="324"/>
      <c r="R178" s="324"/>
      <c r="S178" s="324"/>
      <c r="T178" s="324"/>
      <c r="U178" s="324"/>
      <c r="V178" s="324"/>
      <c r="W178" s="324"/>
    </row>
    <row r="179" spans="5:23" ht="15">
      <c r="E179" s="324"/>
      <c r="F179" s="324"/>
      <c r="G179" s="324"/>
      <c r="H179" s="324"/>
      <c r="I179" s="324"/>
      <c r="J179" s="324"/>
      <c r="K179" s="324"/>
      <c r="L179" s="324"/>
      <c r="M179" s="324"/>
      <c r="N179" s="324"/>
      <c r="O179" s="324"/>
      <c r="P179" s="324"/>
      <c r="Q179" s="324"/>
      <c r="R179" s="324"/>
      <c r="S179" s="324"/>
      <c r="T179" s="324"/>
      <c r="U179" s="324"/>
      <c r="V179" s="324"/>
      <c r="W179" s="324"/>
    </row>
    <row r="180" spans="5:23" ht="15">
      <c r="E180" s="324"/>
      <c r="F180" s="324"/>
      <c r="G180" s="324"/>
      <c r="H180" s="324"/>
      <c r="I180" s="324"/>
      <c r="J180" s="324"/>
      <c r="K180" s="324"/>
      <c r="L180" s="324"/>
      <c r="M180" s="324"/>
      <c r="N180" s="324"/>
      <c r="O180" s="324"/>
      <c r="P180" s="324"/>
      <c r="Q180" s="324"/>
      <c r="R180" s="324"/>
      <c r="S180" s="324"/>
      <c r="T180" s="324"/>
      <c r="U180" s="324"/>
      <c r="V180" s="324"/>
      <c r="W180" s="324"/>
    </row>
    <row r="181" spans="5:23" ht="15">
      <c r="E181" s="324"/>
      <c r="F181" s="324"/>
      <c r="G181" s="324"/>
      <c r="H181" s="324"/>
      <c r="I181" s="324"/>
      <c r="J181" s="324"/>
      <c r="K181" s="324"/>
      <c r="L181" s="324"/>
      <c r="M181" s="324"/>
      <c r="N181" s="324"/>
      <c r="O181" s="324"/>
      <c r="P181" s="324"/>
      <c r="Q181" s="324"/>
      <c r="R181" s="324"/>
      <c r="S181" s="324"/>
      <c r="T181" s="324"/>
      <c r="U181" s="324"/>
      <c r="V181" s="324"/>
      <c r="W181" s="324"/>
    </row>
    <row r="182" spans="5:23" ht="15">
      <c r="E182" s="324"/>
      <c r="F182" s="324"/>
      <c r="G182" s="324"/>
      <c r="H182" s="324"/>
      <c r="I182" s="324"/>
      <c r="J182" s="324"/>
      <c r="K182" s="324"/>
      <c r="L182" s="324"/>
      <c r="M182" s="324"/>
      <c r="N182" s="324"/>
      <c r="O182" s="324"/>
      <c r="P182" s="324"/>
      <c r="Q182" s="324"/>
      <c r="R182" s="324"/>
      <c r="S182" s="324"/>
      <c r="T182" s="324"/>
      <c r="U182" s="324"/>
      <c r="V182" s="324"/>
      <c r="W182" s="324"/>
    </row>
    <row r="183" spans="5:23" ht="15">
      <c r="E183" s="324"/>
      <c r="F183" s="324"/>
      <c r="G183" s="324"/>
      <c r="H183" s="324"/>
      <c r="I183" s="324"/>
      <c r="J183" s="324"/>
      <c r="K183" s="324"/>
      <c r="L183" s="324"/>
      <c r="M183" s="324"/>
      <c r="N183" s="324"/>
      <c r="O183" s="324"/>
      <c r="P183" s="324"/>
      <c r="Q183" s="324"/>
      <c r="R183" s="324"/>
      <c r="S183" s="324"/>
      <c r="T183" s="324"/>
      <c r="U183" s="324"/>
      <c r="V183" s="324"/>
      <c r="W183" s="324"/>
    </row>
    <row r="184" spans="5:23" ht="15">
      <c r="E184" s="324"/>
      <c r="F184" s="324"/>
      <c r="G184" s="324"/>
      <c r="H184" s="324"/>
      <c r="I184" s="324"/>
      <c r="J184" s="324"/>
      <c r="K184" s="324"/>
      <c r="L184" s="324"/>
      <c r="M184" s="324"/>
      <c r="N184" s="324"/>
      <c r="O184" s="324"/>
      <c r="P184" s="324"/>
      <c r="Q184" s="324"/>
      <c r="R184" s="324"/>
      <c r="S184" s="324"/>
      <c r="T184" s="324"/>
      <c r="U184" s="324"/>
      <c r="V184" s="324"/>
      <c r="W184" s="324"/>
    </row>
    <row r="185" spans="5:23" ht="15">
      <c r="E185" s="324"/>
      <c r="F185" s="324"/>
      <c r="G185" s="324"/>
      <c r="H185" s="324"/>
      <c r="I185" s="324"/>
      <c r="J185" s="324"/>
      <c r="K185" s="324"/>
      <c r="L185" s="324"/>
      <c r="M185" s="324"/>
      <c r="N185" s="324"/>
      <c r="O185" s="324"/>
      <c r="P185" s="324"/>
      <c r="Q185" s="324"/>
      <c r="R185" s="324"/>
      <c r="S185" s="324"/>
      <c r="T185" s="324"/>
      <c r="U185" s="324"/>
      <c r="V185" s="324"/>
      <c r="W185" s="324"/>
    </row>
    <row r="186" spans="5:23" ht="15">
      <c r="E186" s="324"/>
      <c r="F186" s="324"/>
      <c r="G186" s="324"/>
      <c r="H186" s="324"/>
      <c r="I186" s="324"/>
      <c r="J186" s="324"/>
      <c r="K186" s="324"/>
      <c r="L186" s="324"/>
      <c r="M186" s="324"/>
      <c r="N186" s="324"/>
      <c r="O186" s="324"/>
      <c r="P186" s="324"/>
      <c r="Q186" s="324"/>
      <c r="R186" s="324"/>
      <c r="S186" s="324"/>
      <c r="T186" s="324"/>
      <c r="U186" s="324"/>
      <c r="V186" s="324"/>
      <c r="W186" s="324"/>
    </row>
    <row r="187" spans="5:23" ht="15">
      <c r="E187" s="324"/>
      <c r="F187" s="324"/>
      <c r="G187" s="324"/>
      <c r="H187" s="324"/>
      <c r="I187" s="324"/>
      <c r="J187" s="324"/>
      <c r="K187" s="324"/>
      <c r="L187" s="324"/>
      <c r="M187" s="324"/>
      <c r="N187" s="324"/>
      <c r="O187" s="324"/>
      <c r="P187" s="324"/>
      <c r="Q187" s="324"/>
      <c r="R187" s="324"/>
      <c r="S187" s="324"/>
      <c r="T187" s="324"/>
      <c r="U187" s="324"/>
      <c r="V187" s="324"/>
      <c r="W187" s="324"/>
    </row>
    <row r="188" spans="5:23" ht="15">
      <c r="E188" s="324"/>
      <c r="F188" s="324"/>
      <c r="G188" s="324"/>
      <c r="H188" s="324"/>
      <c r="I188" s="324"/>
      <c r="J188" s="324"/>
      <c r="K188" s="324"/>
      <c r="L188" s="324"/>
      <c r="M188" s="324"/>
      <c r="N188" s="324"/>
      <c r="O188" s="324"/>
      <c r="P188" s="324"/>
      <c r="Q188" s="324"/>
      <c r="R188" s="324"/>
      <c r="S188" s="324"/>
      <c r="T188" s="324"/>
      <c r="U188" s="324"/>
      <c r="V188" s="324"/>
      <c r="W188" s="324"/>
    </row>
    <row r="189" spans="5:23" ht="15">
      <c r="E189" s="324"/>
      <c r="F189" s="324"/>
      <c r="G189" s="324"/>
      <c r="H189" s="324"/>
      <c r="I189" s="324"/>
      <c r="J189" s="324"/>
      <c r="K189" s="324"/>
      <c r="L189" s="324"/>
      <c r="M189" s="324"/>
      <c r="N189" s="324"/>
      <c r="O189" s="324"/>
      <c r="P189" s="324"/>
      <c r="Q189" s="324"/>
      <c r="R189" s="324"/>
      <c r="S189" s="324"/>
      <c r="T189" s="324"/>
      <c r="U189" s="324"/>
      <c r="V189" s="324"/>
      <c r="W189" s="324"/>
    </row>
    <row r="190" spans="5:23" ht="15">
      <c r="E190" s="324"/>
      <c r="F190" s="324"/>
      <c r="G190" s="324"/>
      <c r="H190" s="324"/>
      <c r="I190" s="324"/>
      <c r="J190" s="324"/>
      <c r="K190" s="324"/>
      <c r="L190" s="324"/>
      <c r="M190" s="324"/>
      <c r="N190" s="324"/>
      <c r="O190" s="324"/>
      <c r="P190" s="324"/>
      <c r="Q190" s="324"/>
      <c r="R190" s="324"/>
      <c r="S190" s="324"/>
      <c r="T190" s="324"/>
      <c r="U190" s="324"/>
      <c r="V190" s="324"/>
      <c r="W190" s="324"/>
    </row>
    <row r="191" spans="5:23" ht="15">
      <c r="E191" s="324"/>
      <c r="F191" s="324"/>
      <c r="G191" s="324"/>
      <c r="H191" s="324"/>
      <c r="I191" s="324"/>
      <c r="J191" s="324"/>
      <c r="K191" s="324"/>
      <c r="L191" s="324"/>
      <c r="M191" s="324"/>
      <c r="N191" s="324"/>
      <c r="O191" s="324"/>
      <c r="P191" s="324"/>
      <c r="Q191" s="324"/>
      <c r="R191" s="324"/>
      <c r="S191" s="324"/>
      <c r="T191" s="324"/>
      <c r="U191" s="324"/>
      <c r="V191" s="324"/>
      <c r="W191" s="324"/>
    </row>
    <row r="192" spans="5:23" ht="15">
      <c r="E192" s="324"/>
      <c r="F192" s="324"/>
      <c r="G192" s="324"/>
      <c r="H192" s="324"/>
      <c r="I192" s="324"/>
      <c r="J192" s="324"/>
      <c r="K192" s="324"/>
      <c r="L192" s="324"/>
      <c r="M192" s="324"/>
      <c r="N192" s="324"/>
      <c r="O192" s="324"/>
      <c r="P192" s="324"/>
      <c r="Q192" s="324"/>
      <c r="R192" s="324"/>
      <c r="S192" s="324"/>
      <c r="T192" s="324"/>
      <c r="U192" s="324"/>
      <c r="V192" s="324"/>
      <c r="W192" s="324"/>
    </row>
    <row r="193" spans="5:23" ht="15">
      <c r="E193" s="324"/>
      <c r="F193" s="324"/>
      <c r="G193" s="324"/>
      <c r="H193" s="324"/>
      <c r="I193" s="324"/>
      <c r="J193" s="324"/>
      <c r="K193" s="324"/>
      <c r="L193" s="324"/>
      <c r="M193" s="324"/>
      <c r="N193" s="324"/>
      <c r="O193" s="324"/>
      <c r="P193" s="324"/>
      <c r="Q193" s="324"/>
      <c r="R193" s="324"/>
      <c r="S193" s="324"/>
      <c r="T193" s="324"/>
      <c r="U193" s="324"/>
      <c r="V193" s="324"/>
      <c r="W193" s="324"/>
    </row>
    <row r="194" spans="5:23" ht="15">
      <c r="E194" s="324"/>
      <c r="F194" s="324"/>
      <c r="G194" s="324"/>
      <c r="H194" s="324"/>
      <c r="I194" s="324"/>
      <c r="J194" s="324"/>
      <c r="K194" s="324"/>
      <c r="L194" s="324"/>
      <c r="M194" s="324"/>
      <c r="N194" s="324"/>
      <c r="O194" s="324"/>
      <c r="P194" s="324"/>
      <c r="Q194" s="324"/>
      <c r="R194" s="324"/>
      <c r="S194" s="324"/>
      <c r="T194" s="324"/>
      <c r="U194" s="324"/>
      <c r="V194" s="324"/>
      <c r="W194" s="324"/>
    </row>
  </sheetData>
  <mergeCells count="7">
    <mergeCell ref="A1:AA1"/>
    <mergeCell ref="A4:AA4"/>
    <mergeCell ref="A2:AA2"/>
    <mergeCell ref="G85:I85"/>
    <mergeCell ref="K85:M85"/>
    <mergeCell ref="U39:W39"/>
    <mergeCell ref="U7:W7"/>
  </mergeCells>
  <printOptions horizontalCentered="1"/>
  <pageMargins left="0.5" right="0.5" top="1.5" bottom="0.5" header="0.5" footer="0.5"/>
  <pageSetup fitToHeight="0" fitToWidth="1" horizontalDpi="600" verticalDpi="600" orientation="landscape" scale="70" r:id="rId1"/>
  <rowBreaks count="1" manualBreakCount="1">
    <brk id="33" max="30" man="1"/>
  </rowBreaks>
</worksheet>
</file>

<file path=xl/worksheets/sheet11.xml><?xml version="1.0" encoding="utf-8"?>
<worksheet xmlns="http://schemas.openxmlformats.org/spreadsheetml/2006/main" xmlns:r="http://schemas.openxmlformats.org/officeDocument/2006/relationships">
  <dimension ref="A1:I28"/>
  <sheetViews>
    <sheetView workbookViewId="0" topLeftCell="A1">
      <selection activeCell="D11" sqref="D11"/>
    </sheetView>
  </sheetViews>
  <sheetFormatPr defaultColWidth="8.88671875" defaultRowHeight="12.75"/>
  <cols>
    <col min="1" max="1" width="7.77734375" style="37" customWidth="1"/>
    <col min="2" max="2" width="9.10546875" style="37" customWidth="1"/>
    <col min="3" max="3" width="11.3359375" style="37" customWidth="1"/>
    <col min="4" max="4" width="9.77734375" style="37" customWidth="1"/>
    <col min="5" max="5" width="11.4453125" style="37" customWidth="1"/>
    <col min="6" max="6" width="9.77734375" style="37" customWidth="1"/>
    <col min="7" max="7" width="10.10546875" style="37" customWidth="1"/>
    <col min="8" max="16384" width="9.77734375" style="37" customWidth="1"/>
  </cols>
  <sheetData>
    <row r="1" spans="1:7" ht="15">
      <c r="A1" s="36" t="s">
        <v>369</v>
      </c>
      <c r="B1" s="1"/>
      <c r="C1" s="36"/>
      <c r="D1" s="1"/>
      <c r="E1" s="1"/>
      <c r="F1" s="1"/>
      <c r="G1" s="1"/>
    </row>
    <row r="2" spans="1:7" ht="15">
      <c r="A2" s="36"/>
      <c r="B2" s="1"/>
      <c r="C2" s="36"/>
      <c r="D2" s="1"/>
      <c r="E2" s="1"/>
      <c r="F2" s="1"/>
      <c r="G2" s="1"/>
    </row>
    <row r="3" spans="1:9" ht="15">
      <c r="A3" s="1"/>
      <c r="B3" s="1"/>
      <c r="C3" s="1"/>
      <c r="D3" s="1"/>
      <c r="E3" s="1"/>
      <c r="F3" s="1"/>
      <c r="G3" s="1"/>
      <c r="I3" s="2"/>
    </row>
    <row r="4" spans="1:7" ht="15">
      <c r="A4" s="1" t="s">
        <v>82</v>
      </c>
      <c r="B4" s="1"/>
      <c r="C4" s="1"/>
      <c r="D4" s="1"/>
      <c r="E4" s="1"/>
      <c r="F4" s="1"/>
      <c r="G4" s="1"/>
    </row>
    <row r="5" spans="1:7" ht="15">
      <c r="A5" s="2"/>
      <c r="B5" s="2"/>
      <c r="C5" s="2"/>
      <c r="D5" s="2"/>
      <c r="E5" s="2"/>
      <c r="F5" s="2"/>
      <c r="G5" s="2"/>
    </row>
    <row r="6" spans="1:7" ht="15">
      <c r="A6" s="2"/>
      <c r="B6" s="131"/>
      <c r="C6" s="2"/>
      <c r="D6" s="2"/>
      <c r="E6" s="2"/>
      <c r="F6" s="2"/>
      <c r="G6" s="2"/>
    </row>
    <row r="7" spans="1:7" ht="15">
      <c r="A7" s="2" t="s">
        <v>217</v>
      </c>
      <c r="B7" s="2"/>
      <c r="C7" s="2"/>
      <c r="D7" s="2"/>
      <c r="E7" s="2"/>
      <c r="F7" s="2"/>
      <c r="G7" s="2"/>
    </row>
    <row r="8" spans="1:8" ht="15">
      <c r="A8" s="2"/>
      <c r="B8" s="2"/>
      <c r="C8"/>
      <c r="D8"/>
      <c r="E8"/>
      <c r="F8"/>
      <c r="G8"/>
      <c r="H8"/>
    </row>
    <row r="9" spans="1:7" ht="15">
      <c r="A9" s="2" t="s">
        <v>215</v>
      </c>
      <c r="B9" s="2"/>
      <c r="C9" s="2"/>
      <c r="D9" s="2"/>
      <c r="E9" s="2"/>
      <c r="F9" s="2"/>
      <c r="G9" s="2"/>
    </row>
    <row r="10" spans="1:7" ht="15">
      <c r="A10" s="2" t="s">
        <v>19</v>
      </c>
      <c r="B10" s="2"/>
      <c r="C10" s="2"/>
      <c r="D10" s="2"/>
      <c r="E10" s="2"/>
      <c r="F10" s="2"/>
      <c r="G10" s="2"/>
    </row>
    <row r="11" spans="1:7" ht="15">
      <c r="A11" s="2"/>
      <c r="B11" s="2"/>
      <c r="C11" s="2"/>
      <c r="D11" s="2"/>
      <c r="E11" s="2"/>
      <c r="F11" s="2"/>
      <c r="G11" s="2"/>
    </row>
    <row r="12" spans="1:7" ht="27" customHeight="1">
      <c r="A12" s="490" t="s">
        <v>240</v>
      </c>
      <c r="B12" s="490"/>
      <c r="C12" s="490"/>
      <c r="D12" s="490"/>
      <c r="E12" s="490"/>
      <c r="F12" s="490"/>
      <c r="G12" s="490"/>
    </row>
    <row r="13" spans="1:7" ht="9.75" customHeight="1">
      <c r="A13" s="2"/>
      <c r="B13" s="2"/>
      <c r="C13" s="2"/>
      <c r="D13" s="2"/>
      <c r="E13" s="2"/>
      <c r="F13" s="2"/>
      <c r="G13" s="2"/>
    </row>
    <row r="14" spans="1:7" ht="15">
      <c r="A14" s="2"/>
      <c r="B14" s="2"/>
      <c r="C14" s="2"/>
      <c r="D14" s="11" t="s">
        <v>234</v>
      </c>
      <c r="E14" s="2"/>
      <c r="F14" s="2"/>
      <c r="G14" s="2"/>
    </row>
    <row r="15" spans="1:7" ht="15">
      <c r="A15" s="2"/>
      <c r="B15" s="2"/>
      <c r="C15" s="2"/>
      <c r="D15" s="11" t="s">
        <v>295</v>
      </c>
      <c r="E15" s="2"/>
      <c r="F15" s="2"/>
      <c r="G15" s="2"/>
    </row>
    <row r="16" spans="1:7" ht="15">
      <c r="A16" s="1" t="s">
        <v>53</v>
      </c>
      <c r="B16" s="36"/>
      <c r="C16" s="2"/>
      <c r="D16" s="11" t="s">
        <v>238</v>
      </c>
      <c r="E16" s="2"/>
      <c r="F16" s="11" t="s">
        <v>55</v>
      </c>
      <c r="G16" s="2"/>
    </row>
    <row r="17" spans="1:7" ht="15">
      <c r="A17" s="1" t="s">
        <v>56</v>
      </c>
      <c r="B17" s="36"/>
      <c r="C17" s="2"/>
      <c r="D17" s="11" t="s">
        <v>235</v>
      </c>
      <c r="E17" s="2"/>
      <c r="F17" s="11" t="s">
        <v>57</v>
      </c>
      <c r="G17" s="2"/>
    </row>
    <row r="18" spans="1:7" ht="15">
      <c r="A18" s="3" t="s">
        <v>58</v>
      </c>
      <c r="B18" s="132"/>
      <c r="C18" s="2"/>
      <c r="D18" s="10" t="s">
        <v>75</v>
      </c>
      <c r="E18" s="2" t="s">
        <v>174</v>
      </c>
      <c r="F18" s="10" t="s">
        <v>60</v>
      </c>
      <c r="G18" s="2"/>
    </row>
    <row r="19" spans="1:7" ht="10.5" customHeight="1">
      <c r="A19" s="2"/>
      <c r="C19" s="2"/>
      <c r="D19" s="2"/>
      <c r="E19" s="2"/>
      <c r="F19" s="133"/>
      <c r="G19" s="2"/>
    </row>
    <row r="20" spans="1:7" ht="15">
      <c r="A20" s="2" t="s">
        <v>61</v>
      </c>
      <c r="C20" s="2"/>
      <c r="D20" s="245">
        <f>+'COS 1'!J305</f>
        <v>1800231.1866513107</v>
      </c>
      <c r="E20" s="2"/>
      <c r="F20" s="133">
        <f>+'COS 1'!J306</f>
        <v>0.519</v>
      </c>
      <c r="G20" s="2"/>
    </row>
    <row r="21" spans="1:7" ht="15">
      <c r="A21" s="2" t="s">
        <v>194</v>
      </c>
      <c r="C21" s="2"/>
      <c r="D21" s="244">
        <f>+'COS 1'!L305</f>
        <v>625726.2406641049</v>
      </c>
      <c r="E21" s="2"/>
      <c r="F21" s="133">
        <f>+'COS 1'!L306</f>
        <v>0.1805</v>
      </c>
      <c r="G21" s="2"/>
    </row>
    <row r="22" spans="1:7" ht="15">
      <c r="A22" s="2" t="s">
        <v>63</v>
      </c>
      <c r="C22" s="2"/>
      <c r="D22" s="244">
        <f>+'COS 1'!N305</f>
        <v>185085.0047501342</v>
      </c>
      <c r="E22" s="2"/>
      <c r="F22" s="133">
        <f>+'COS 1'!N306</f>
        <v>0.0534</v>
      </c>
      <c r="G22" s="2"/>
    </row>
    <row r="23" spans="1:7" ht="15">
      <c r="A23" s="2" t="s">
        <v>64</v>
      </c>
      <c r="C23" s="2"/>
      <c r="D23" s="244">
        <f>+'COS 1'!P305</f>
        <v>114953.07562265811</v>
      </c>
      <c r="E23" s="2"/>
      <c r="F23" s="133">
        <f>+'COS 1'!P306</f>
        <v>0.0332</v>
      </c>
      <c r="G23" s="2"/>
    </row>
    <row r="24" spans="1:7" ht="15">
      <c r="A24" s="2" t="s">
        <v>427</v>
      </c>
      <c r="C24" s="2"/>
      <c r="D24" s="244">
        <f>+'COS 1'!R305</f>
        <v>32492.057983318962</v>
      </c>
      <c r="E24" s="2"/>
      <c r="F24" s="133">
        <f>+'COS 1'!R306</f>
        <v>0.0094</v>
      </c>
      <c r="G24" s="2"/>
    </row>
    <row r="25" spans="1:7" ht="15">
      <c r="A25" s="2" t="s">
        <v>99</v>
      </c>
      <c r="C25" s="2"/>
      <c r="D25" s="244">
        <f>+'COS 1'!T305</f>
        <v>708957.110893675</v>
      </c>
      <c r="E25" s="2"/>
      <c r="F25" s="133">
        <f>+'COS 1'!T306</f>
        <v>0.2045</v>
      </c>
      <c r="G25" s="2"/>
    </row>
    <row r="26" spans="1:7" ht="7.5" customHeight="1">
      <c r="A26" s="2"/>
      <c r="C26" s="2"/>
      <c r="D26" s="5"/>
      <c r="E26" s="2"/>
      <c r="F26" s="6"/>
      <c r="G26" s="2"/>
    </row>
    <row r="27" spans="1:7" ht="15.75" thickBot="1">
      <c r="A27" s="2" t="s">
        <v>66</v>
      </c>
      <c r="C27" s="2"/>
      <c r="D27" s="217">
        <f>SUM(D20:D26)</f>
        <v>3467444.6765652024</v>
      </c>
      <c r="E27" s="2"/>
      <c r="F27" s="167">
        <f>SUM(F20:F26)</f>
        <v>1</v>
      </c>
      <c r="G27" s="2"/>
    </row>
    <row r="28" spans="1:7" ht="15.75" thickTop="1">
      <c r="A28" s="2"/>
      <c r="B28" s="2"/>
      <c r="C28" s="2"/>
      <c r="D28" s="169"/>
      <c r="E28" s="13"/>
      <c r="F28" s="164"/>
      <c r="G28" s="2"/>
    </row>
  </sheetData>
  <mergeCells count="1">
    <mergeCell ref="A12:G12"/>
  </mergeCells>
  <printOptions horizontalCentered="1"/>
  <pageMargins left="1" right="1" top="1" bottom="0.5" header="0.5" footer="0.5"/>
  <pageSetup fitToHeight="0"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41"/>
  <sheetViews>
    <sheetView workbookViewId="0" topLeftCell="A1">
      <selection activeCell="B25" sqref="B25"/>
    </sheetView>
  </sheetViews>
  <sheetFormatPr defaultColWidth="8.88671875" defaultRowHeight="12.75"/>
  <cols>
    <col min="1" max="1" width="7.77734375" style="37" customWidth="1"/>
    <col min="2" max="2" width="8.77734375" style="37" customWidth="1"/>
    <col min="3" max="3" width="11.10546875" style="37" customWidth="1"/>
    <col min="4" max="4" width="9.77734375" style="37" customWidth="1"/>
    <col min="5" max="5" width="11.10546875" style="37" customWidth="1"/>
    <col min="6" max="6" width="9.77734375" style="37" customWidth="1"/>
    <col min="7" max="7" width="7.77734375" style="37" customWidth="1"/>
    <col min="8" max="16384" width="9.77734375" style="37" customWidth="1"/>
  </cols>
  <sheetData>
    <row r="1" spans="1:9" ht="15">
      <c r="A1" s="36" t="s">
        <v>369</v>
      </c>
      <c r="B1" s="36"/>
      <c r="C1" s="36"/>
      <c r="D1" s="36"/>
      <c r="E1" s="36"/>
      <c r="F1" s="36"/>
      <c r="G1" s="36"/>
      <c r="I1" s="2"/>
    </row>
    <row r="2" spans="1:9" ht="15">
      <c r="A2" s="36"/>
      <c r="B2" s="36"/>
      <c r="C2" s="36"/>
      <c r="D2" s="36"/>
      <c r="E2" s="36"/>
      <c r="F2" s="36"/>
      <c r="G2" s="36"/>
      <c r="I2" s="2"/>
    </row>
    <row r="3" spans="1:7" ht="15">
      <c r="A3" s="1"/>
      <c r="B3" s="1"/>
      <c r="C3" s="36"/>
      <c r="D3" s="36"/>
      <c r="E3" s="36"/>
      <c r="F3" s="36"/>
      <c r="G3" s="36"/>
    </row>
    <row r="4" spans="1:7" ht="15">
      <c r="A4" s="1" t="s">
        <v>82</v>
      </c>
      <c r="B4" s="1"/>
      <c r="C4" s="1"/>
      <c r="D4" s="1"/>
      <c r="E4" s="1"/>
      <c r="F4" s="1"/>
      <c r="G4" s="1"/>
    </row>
    <row r="5" spans="1:2" ht="15">
      <c r="A5" s="2"/>
      <c r="B5" s="2"/>
    </row>
    <row r="6" spans="1:2" ht="15">
      <c r="A6" s="2"/>
      <c r="B6" s="2"/>
    </row>
    <row r="7" spans="1:2" ht="15">
      <c r="A7" s="2" t="s">
        <v>424</v>
      </c>
      <c r="B7" s="2"/>
    </row>
    <row r="8" spans="1:2" ht="15">
      <c r="A8" s="2"/>
      <c r="B8" s="2"/>
    </row>
    <row r="9" spans="1:7" ht="15" customHeight="1">
      <c r="A9" s="490" t="s">
        <v>230</v>
      </c>
      <c r="B9" s="490"/>
      <c r="C9" s="490"/>
      <c r="D9" s="490"/>
      <c r="E9" s="490"/>
      <c r="F9" s="490"/>
      <c r="G9" s="126"/>
    </row>
    <row r="10" spans="1:2" ht="15">
      <c r="A10" s="2"/>
      <c r="B10" s="2"/>
    </row>
    <row r="11" spans="1:6" ht="15">
      <c r="A11" s="1" t="s">
        <v>100</v>
      </c>
      <c r="B11" s="1"/>
      <c r="D11" s="11" t="s">
        <v>184</v>
      </c>
      <c r="E11" s="11"/>
      <c r="F11" s="11" t="s">
        <v>55</v>
      </c>
    </row>
    <row r="12" spans="1:6" ht="15">
      <c r="A12" s="1" t="s">
        <v>56</v>
      </c>
      <c r="B12" s="1"/>
      <c r="D12" s="11" t="s">
        <v>231</v>
      </c>
      <c r="E12" s="11"/>
      <c r="F12" s="11" t="s">
        <v>57</v>
      </c>
    </row>
    <row r="13" spans="1:6" ht="15">
      <c r="A13" s="3" t="s">
        <v>58</v>
      </c>
      <c r="B13" s="3"/>
      <c r="D13" s="136" t="s">
        <v>75</v>
      </c>
      <c r="E13" s="127"/>
      <c r="F13" s="136" t="s">
        <v>60</v>
      </c>
    </row>
    <row r="14" spans="1:6" ht="12.75" customHeight="1">
      <c r="A14" s="2"/>
      <c r="B14" s="2"/>
      <c r="D14" s="2"/>
      <c r="E14" s="2"/>
      <c r="F14" s="4"/>
    </row>
    <row r="15" spans="1:6" ht="12.75" customHeight="1">
      <c r="A15" s="2" t="s">
        <v>61</v>
      </c>
      <c r="B15" s="2"/>
      <c r="D15" s="9">
        <f>Meters!E32</f>
        <v>78929</v>
      </c>
      <c r="E15" s="9"/>
      <c r="F15" s="477">
        <f aca="true" t="shared" si="0" ref="F15:F20">ROUND(D15/$D$22,5)</f>
        <v>0.91729</v>
      </c>
    </row>
    <row r="16" spans="1:6" ht="12.75" customHeight="1">
      <c r="A16" s="2" t="s">
        <v>194</v>
      </c>
      <c r="B16" s="2"/>
      <c r="D16" s="9">
        <f>Meters!I32</f>
        <v>6432</v>
      </c>
      <c r="E16" s="9"/>
      <c r="F16" s="477">
        <f t="shared" si="0"/>
        <v>0.07475</v>
      </c>
    </row>
    <row r="17" spans="1:6" ht="12.75" customHeight="1">
      <c r="A17" s="2" t="s">
        <v>63</v>
      </c>
      <c r="B17" s="2"/>
      <c r="D17" s="9">
        <f>Meters!M32</f>
        <v>129.8</v>
      </c>
      <c r="E17" s="9"/>
      <c r="F17" s="477">
        <f t="shared" si="0"/>
        <v>0.00151</v>
      </c>
    </row>
    <row r="18" spans="1:6" ht="12.75" customHeight="1">
      <c r="A18" s="2" t="s">
        <v>64</v>
      </c>
      <c r="B18" s="2"/>
      <c r="D18" s="9">
        <f>Meters!Q32</f>
        <v>551</v>
      </c>
      <c r="E18" s="9"/>
      <c r="F18" s="477">
        <f t="shared" si="0"/>
        <v>0.0064</v>
      </c>
    </row>
    <row r="19" spans="1:8" ht="12.75" customHeight="1">
      <c r="A19" s="2" t="s">
        <v>427</v>
      </c>
      <c r="B19" s="2"/>
      <c r="D19" s="9">
        <f>Meters!U32</f>
        <v>4</v>
      </c>
      <c r="E19" s="9"/>
      <c r="F19" s="477">
        <f t="shared" si="0"/>
        <v>5E-05</v>
      </c>
      <c r="H19" s="2"/>
    </row>
    <row r="20" spans="1:9" ht="12.75" customHeight="1">
      <c r="A20" s="2" t="s">
        <v>99</v>
      </c>
      <c r="B20" s="2"/>
      <c r="D20" s="128">
        <v>0</v>
      </c>
      <c r="E20" s="128"/>
      <c r="F20" s="478">
        <f t="shared" si="0"/>
        <v>0</v>
      </c>
      <c r="G20" s="129"/>
      <c r="H20" s="130"/>
      <c r="I20" s="129"/>
    </row>
    <row r="21" spans="1:8" ht="15">
      <c r="A21" s="2"/>
      <c r="B21" s="2"/>
      <c r="D21" s="5"/>
      <c r="E21" s="9"/>
      <c r="F21" s="164"/>
      <c r="H21" s="2"/>
    </row>
    <row r="22" spans="1:8" ht="15.75" thickBot="1">
      <c r="A22" s="2" t="s">
        <v>66</v>
      </c>
      <c r="B22" s="2"/>
      <c r="D22" s="9">
        <f>SUM(D15:D21)</f>
        <v>86045.8</v>
      </c>
      <c r="E22" s="9"/>
      <c r="F22" s="165">
        <f>SUM(F15:F21)</f>
        <v>1</v>
      </c>
      <c r="H22" s="2"/>
    </row>
    <row r="23" spans="1:8" ht="15.75" thickTop="1">
      <c r="A23" s="2"/>
      <c r="B23" s="2"/>
      <c r="D23" s="7"/>
      <c r="E23" s="9"/>
      <c r="F23" s="164"/>
      <c r="H23" s="2"/>
    </row>
    <row r="24" spans="1:8" ht="15">
      <c r="A24" s="2"/>
      <c r="B24" s="2"/>
      <c r="D24" s="2"/>
      <c r="E24" s="2"/>
      <c r="F24" s="2"/>
      <c r="H24" s="2"/>
    </row>
    <row r="25" spans="1:8" ht="15">
      <c r="A25" s="2"/>
      <c r="B25" s="2"/>
      <c r="D25" s="9"/>
      <c r="E25" s="9"/>
      <c r="F25" s="2"/>
      <c r="H25" s="2"/>
    </row>
    <row r="26" spans="1:8" ht="15">
      <c r="A26" s="2" t="s">
        <v>425</v>
      </c>
      <c r="B26" s="2"/>
      <c r="D26" s="2"/>
      <c r="E26" s="2"/>
      <c r="F26" s="2"/>
      <c r="H26" s="2"/>
    </row>
    <row r="27" spans="1:8" ht="15">
      <c r="A27" s="2"/>
      <c r="B27" s="2"/>
      <c r="D27" s="2"/>
      <c r="E27" s="2"/>
      <c r="F27" s="2"/>
      <c r="H27" s="2"/>
    </row>
    <row r="28" spans="1:8" ht="15" hidden="1">
      <c r="A28" s="2" t="s">
        <v>232</v>
      </c>
      <c r="B28" s="2"/>
      <c r="D28" s="2"/>
      <c r="E28" s="2"/>
      <c r="F28" s="2"/>
      <c r="H28" s="2"/>
    </row>
    <row r="29" spans="1:8" ht="15" hidden="1">
      <c r="A29" s="2"/>
      <c r="B29" s="2"/>
      <c r="D29" s="2"/>
      <c r="E29" s="2"/>
      <c r="F29" s="2"/>
      <c r="H29" s="2"/>
    </row>
    <row r="30" spans="1:8" ht="15" hidden="1">
      <c r="A30" s="1" t="s">
        <v>100</v>
      </c>
      <c r="B30" s="1"/>
      <c r="D30" s="11" t="s">
        <v>233</v>
      </c>
      <c r="E30" s="11"/>
      <c r="F30" s="11" t="s">
        <v>55</v>
      </c>
      <c r="H30" s="2"/>
    </row>
    <row r="31" spans="1:8" ht="15" hidden="1">
      <c r="A31" s="1" t="s">
        <v>56</v>
      </c>
      <c r="B31" s="1"/>
      <c r="D31" s="11" t="s">
        <v>231</v>
      </c>
      <c r="E31" s="11"/>
      <c r="F31" s="11" t="s">
        <v>57</v>
      </c>
      <c r="H31" s="2"/>
    </row>
    <row r="32" spans="1:8" ht="15" hidden="1">
      <c r="A32" s="3" t="s">
        <v>58</v>
      </c>
      <c r="B32" s="3"/>
      <c r="D32" s="136" t="s">
        <v>75</v>
      </c>
      <c r="E32" s="127"/>
      <c r="F32" s="136" t="s">
        <v>60</v>
      </c>
      <c r="H32" s="2"/>
    </row>
    <row r="33" spans="1:8" ht="12.75" customHeight="1" hidden="1">
      <c r="A33" s="2"/>
      <c r="B33" s="2"/>
      <c r="D33" s="2"/>
      <c r="E33" s="2"/>
      <c r="F33" s="2"/>
      <c r="H33" s="2"/>
    </row>
    <row r="34" spans="1:8" ht="12.75" customHeight="1" hidden="1">
      <c r="A34" s="2" t="s">
        <v>61</v>
      </c>
      <c r="B34" s="2"/>
      <c r="D34" s="9">
        <f>D15</f>
        <v>78929</v>
      </c>
      <c r="E34" s="9"/>
      <c r="F34" s="476">
        <f>ROUND(D34/$D$40,45)</f>
        <v>0.917290559213814</v>
      </c>
      <c r="H34" s="2"/>
    </row>
    <row r="35" spans="1:8" ht="12.75" customHeight="1" hidden="1">
      <c r="A35" s="2" t="s">
        <v>194</v>
      </c>
      <c r="B35" s="2"/>
      <c r="D35" s="9">
        <f>D16</f>
        <v>6432</v>
      </c>
      <c r="E35" s="9"/>
      <c r="F35" s="476">
        <f>ROUND(D35/$D$40,45)</f>
        <v>0.0747508884803209</v>
      </c>
      <c r="H35" s="2"/>
    </row>
    <row r="36" spans="1:8" ht="12.75" customHeight="1" hidden="1">
      <c r="A36" s="2" t="s">
        <v>63</v>
      </c>
      <c r="B36" s="2"/>
      <c r="D36" s="9">
        <f>D17</f>
        <v>129.8</v>
      </c>
      <c r="E36" s="9"/>
      <c r="F36" s="476">
        <f>ROUND(D36/$D$40,45)</f>
        <v>0.00150849896218061</v>
      </c>
      <c r="H36" s="2"/>
    </row>
    <row r="37" spans="1:8" ht="12.75" customHeight="1" hidden="1">
      <c r="A37" s="2" t="s">
        <v>64</v>
      </c>
      <c r="B37" s="2"/>
      <c r="D37" s="9">
        <f>D18</f>
        <v>551</v>
      </c>
      <c r="E37" s="9"/>
      <c r="F37" s="476">
        <f>ROUND(D37/$D$40,45)</f>
        <v>0.00640356647273894</v>
      </c>
      <c r="H37" s="2"/>
    </row>
    <row r="38" spans="1:8" ht="12.75" customHeight="1" hidden="1">
      <c r="A38" s="2" t="s">
        <v>427</v>
      </c>
      <c r="B38" s="2"/>
      <c r="D38" s="9">
        <f>D19</f>
        <v>4</v>
      </c>
      <c r="E38" s="9"/>
      <c r="F38" s="476">
        <f>ROUND(D38/$D$40,45)</f>
        <v>4.64868709454732E-05</v>
      </c>
      <c r="H38" s="2"/>
    </row>
    <row r="39" spans="1:8" ht="15" hidden="1">
      <c r="A39" s="2"/>
      <c r="B39" s="2"/>
      <c r="D39" s="5"/>
      <c r="E39" s="9"/>
      <c r="F39" s="6"/>
      <c r="H39" s="2"/>
    </row>
    <row r="40" spans="1:8" ht="15.75" hidden="1" thickBot="1">
      <c r="A40" s="2" t="s">
        <v>66</v>
      </c>
      <c r="B40" s="2"/>
      <c r="D40" s="166">
        <f>SUM(D34:D39)</f>
        <v>86045.8</v>
      </c>
      <c r="E40" s="9"/>
      <c r="F40" s="476">
        <f>SUM(F34:F39)</f>
        <v>0.9999999999999999</v>
      </c>
      <c r="H40" s="2"/>
    </row>
    <row r="41" spans="4:6" ht="15.75" hidden="1" thickTop="1">
      <c r="D41" s="187"/>
      <c r="F41" s="14"/>
    </row>
  </sheetData>
  <mergeCells count="1">
    <mergeCell ref="A9:F9"/>
  </mergeCells>
  <printOptions horizontalCentered="1"/>
  <pageMargins left="1" right="1" top="1" bottom="0.5" header="0.5" footer="0.5"/>
  <pageSetup fitToHeight="0"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W138"/>
  <sheetViews>
    <sheetView workbookViewId="0" topLeftCell="A1">
      <selection activeCell="J128" sqref="J128"/>
    </sheetView>
  </sheetViews>
  <sheetFormatPr defaultColWidth="8.88671875" defaultRowHeight="12.75"/>
  <cols>
    <col min="1" max="1" width="7.77734375" style="37" customWidth="1"/>
    <col min="2" max="2" width="10.4453125" style="37" customWidth="1"/>
    <col min="3" max="3" width="12.77734375" style="37" customWidth="1"/>
    <col min="4" max="4" width="11.77734375" style="37" customWidth="1"/>
    <col min="5" max="5" width="12.99609375" style="37" customWidth="1"/>
    <col min="6" max="6" width="11.77734375" style="37" customWidth="1"/>
    <col min="7" max="7" width="9.77734375" style="37" customWidth="1"/>
    <col min="8" max="9" width="7.77734375" style="37" customWidth="1"/>
    <col min="10" max="10" width="14.77734375" style="37" customWidth="1"/>
    <col min="11" max="11" width="10.77734375" style="37" customWidth="1"/>
    <col min="12" max="12" width="14.77734375" style="37" customWidth="1"/>
    <col min="13" max="13" width="8.77734375" style="37" customWidth="1"/>
    <col min="14" max="14" width="6.77734375" style="37" customWidth="1"/>
    <col min="15" max="15" width="9.77734375" style="37" customWidth="1"/>
    <col min="16" max="17" width="7.77734375" style="37" customWidth="1"/>
    <col min="18" max="18" width="14.77734375" style="37" customWidth="1"/>
    <col min="19" max="19" width="10.77734375" style="37" customWidth="1"/>
    <col min="20" max="20" width="14.77734375" style="37" customWidth="1"/>
    <col min="21" max="21" width="8.77734375" style="37" customWidth="1"/>
    <col min="22" max="22" width="5.77734375" style="37" customWidth="1"/>
    <col min="23" max="16384" width="9.77734375" style="37" customWidth="1"/>
  </cols>
  <sheetData>
    <row r="1" spans="1:23" ht="15">
      <c r="A1" s="36" t="s">
        <v>369</v>
      </c>
      <c r="B1" s="1"/>
      <c r="C1" s="1"/>
      <c r="D1" s="1"/>
      <c r="E1" s="1"/>
      <c r="F1" s="1"/>
      <c r="G1" s="2"/>
      <c r="H1" s="2"/>
      <c r="I1" s="2"/>
      <c r="J1" s="2"/>
      <c r="K1" s="2"/>
      <c r="L1" s="2"/>
      <c r="M1" s="2"/>
      <c r="N1" s="2"/>
      <c r="O1" s="2"/>
      <c r="P1" s="2"/>
      <c r="Q1" s="2"/>
      <c r="R1" s="2"/>
      <c r="S1" s="2"/>
      <c r="T1" s="2"/>
      <c r="U1" s="2"/>
      <c r="V1" s="2"/>
      <c r="W1" s="2"/>
    </row>
    <row r="2" spans="1:23" ht="15">
      <c r="A2" s="36"/>
      <c r="B2" s="1"/>
      <c r="C2" s="1"/>
      <c r="D2" s="1"/>
      <c r="E2" s="1"/>
      <c r="F2" s="1"/>
      <c r="G2" s="2"/>
      <c r="H2" s="2"/>
      <c r="I2" s="2"/>
      <c r="J2" s="2"/>
      <c r="K2" s="2"/>
      <c r="L2" s="2"/>
      <c r="M2" s="2"/>
      <c r="N2" s="2"/>
      <c r="O2" s="2"/>
      <c r="P2" s="2"/>
      <c r="Q2" s="2"/>
      <c r="R2" s="2"/>
      <c r="S2" s="2"/>
      <c r="T2" s="2"/>
      <c r="U2" s="2"/>
      <c r="V2" s="2"/>
      <c r="W2" s="2"/>
    </row>
    <row r="3" spans="1:23" ht="15">
      <c r="A3" s="1"/>
      <c r="B3" s="1"/>
      <c r="C3" s="1"/>
      <c r="D3" s="1"/>
      <c r="E3" s="1"/>
      <c r="F3" s="1"/>
      <c r="G3" s="2"/>
      <c r="H3" s="2"/>
      <c r="I3" s="2"/>
      <c r="J3" s="2"/>
      <c r="K3" s="2"/>
      <c r="L3" s="2"/>
      <c r="M3" s="2"/>
      <c r="N3" s="2"/>
      <c r="O3" s="2"/>
      <c r="P3" s="2"/>
      <c r="Q3" s="2"/>
      <c r="R3" s="2"/>
      <c r="S3" s="2"/>
      <c r="T3" s="2"/>
      <c r="U3" s="2"/>
      <c r="V3" s="2"/>
      <c r="W3" s="2"/>
    </row>
    <row r="4" spans="1:23" ht="15">
      <c r="A4" s="1" t="s">
        <v>82</v>
      </c>
      <c r="B4" s="1"/>
      <c r="C4" s="1"/>
      <c r="D4" s="1"/>
      <c r="E4" s="1"/>
      <c r="F4" s="1"/>
      <c r="G4" s="2"/>
      <c r="H4" s="2"/>
      <c r="I4" s="2"/>
      <c r="J4" s="2"/>
      <c r="K4" s="2"/>
      <c r="L4" s="2"/>
      <c r="M4" s="2"/>
      <c r="N4" s="2"/>
      <c r="O4" s="2"/>
      <c r="P4" s="2"/>
      <c r="Q4" s="2"/>
      <c r="R4" s="2"/>
      <c r="S4" s="2"/>
      <c r="T4" s="2"/>
      <c r="U4" s="2"/>
      <c r="V4" s="2"/>
      <c r="W4" s="2"/>
    </row>
    <row r="5" spans="1:23" ht="15">
      <c r="A5" s="2"/>
      <c r="B5" s="2"/>
      <c r="C5" s="2"/>
      <c r="D5" s="2"/>
      <c r="E5" s="2"/>
      <c r="F5" s="2"/>
      <c r="G5" s="2"/>
      <c r="H5" s="2"/>
      <c r="I5" s="2"/>
      <c r="J5" s="2"/>
      <c r="K5" s="2"/>
      <c r="L5" s="2"/>
      <c r="M5" s="2"/>
      <c r="N5" s="2"/>
      <c r="O5" s="2"/>
      <c r="P5" s="2"/>
      <c r="Q5" s="2"/>
      <c r="R5" s="2"/>
      <c r="S5" s="2"/>
      <c r="T5" s="2"/>
      <c r="U5" s="2"/>
      <c r="V5" s="2"/>
      <c r="W5" s="2"/>
    </row>
    <row r="6" spans="1:23" ht="15">
      <c r="A6" s="2"/>
      <c r="B6" s="2"/>
      <c r="C6" s="2"/>
      <c r="D6" s="2"/>
      <c r="E6" s="2"/>
      <c r="F6" s="2"/>
      <c r="G6" s="2"/>
      <c r="H6" s="2"/>
      <c r="I6" s="2"/>
      <c r="J6" s="2"/>
      <c r="K6" s="2"/>
      <c r="L6" s="2"/>
      <c r="M6" s="2"/>
      <c r="N6" s="2"/>
      <c r="O6" s="2"/>
      <c r="P6" s="2"/>
      <c r="Q6" s="2"/>
      <c r="R6" s="2"/>
      <c r="S6" s="2"/>
      <c r="T6" s="2"/>
      <c r="U6" s="2"/>
      <c r="V6" s="2"/>
      <c r="W6" s="2"/>
    </row>
    <row r="7" spans="1:23" ht="15">
      <c r="A7" s="2" t="s">
        <v>216</v>
      </c>
      <c r="B7" s="2"/>
      <c r="C7" s="2"/>
      <c r="D7" s="2"/>
      <c r="E7" s="2"/>
      <c r="F7" s="2"/>
      <c r="G7" s="2"/>
      <c r="H7" s="2"/>
      <c r="I7" s="2"/>
      <c r="J7" s="2"/>
      <c r="K7" s="2"/>
      <c r="L7" s="2"/>
      <c r="M7" s="2"/>
      <c r="N7" s="2"/>
      <c r="O7" s="2"/>
      <c r="P7" s="2"/>
      <c r="Q7" s="2"/>
      <c r="R7" s="2"/>
      <c r="S7" s="2"/>
      <c r="T7" s="2"/>
      <c r="U7" s="2"/>
      <c r="V7" s="2"/>
      <c r="W7" s="2"/>
    </row>
    <row r="8" spans="1:23" ht="15">
      <c r="A8" s="2"/>
      <c r="B8" s="2"/>
      <c r="C8" s="2"/>
      <c r="D8" s="2"/>
      <c r="E8" s="2"/>
      <c r="F8" s="2"/>
      <c r="G8" s="2"/>
      <c r="H8" s="2"/>
      <c r="I8" s="2"/>
      <c r="J8" s="2"/>
      <c r="K8" s="2"/>
      <c r="L8" s="2"/>
      <c r="M8" s="2"/>
      <c r="N8" s="2"/>
      <c r="O8" s="2"/>
      <c r="P8" s="2"/>
      <c r="Q8" s="2"/>
      <c r="R8" s="2"/>
      <c r="S8" s="2"/>
      <c r="T8" s="2"/>
      <c r="U8" s="2"/>
      <c r="V8" s="2"/>
      <c r="W8" s="2"/>
    </row>
    <row r="9" spans="1:23" ht="15">
      <c r="A9" s="2"/>
      <c r="B9" s="2"/>
      <c r="C9" s="2"/>
      <c r="D9" s="2"/>
      <c r="E9" s="2"/>
      <c r="F9" s="2"/>
      <c r="G9" s="2"/>
      <c r="H9" s="2"/>
      <c r="I9" s="2"/>
      <c r="J9" s="2"/>
      <c r="K9" s="2"/>
      <c r="L9" s="2"/>
      <c r="M9" s="2"/>
      <c r="N9" s="2"/>
      <c r="O9" s="2"/>
      <c r="P9" s="2"/>
      <c r="Q9" s="2"/>
      <c r="R9" s="2"/>
      <c r="S9" s="2"/>
      <c r="T9" s="2"/>
      <c r="U9" s="2"/>
      <c r="V9" s="2"/>
      <c r="W9" s="2"/>
    </row>
    <row r="10" spans="1:23" ht="29.25" customHeight="1">
      <c r="A10" s="490" t="s">
        <v>296</v>
      </c>
      <c r="B10" s="490"/>
      <c r="C10" s="490"/>
      <c r="D10" s="490"/>
      <c r="E10" s="490"/>
      <c r="F10" s="490"/>
      <c r="G10" s="2"/>
      <c r="H10" s="2"/>
      <c r="I10" s="2"/>
      <c r="J10" s="2"/>
      <c r="K10" s="2"/>
      <c r="L10" s="2"/>
      <c r="M10" s="2"/>
      <c r="N10" s="2"/>
      <c r="O10" s="2"/>
      <c r="P10" s="2"/>
      <c r="Q10" s="2"/>
      <c r="R10" s="2"/>
      <c r="S10" s="2"/>
      <c r="T10" s="2"/>
      <c r="U10" s="2"/>
      <c r="V10" s="2"/>
      <c r="W10" s="2"/>
    </row>
    <row r="11" spans="1:23" ht="15">
      <c r="A11" s="2"/>
      <c r="B11" s="2"/>
      <c r="C11" s="2"/>
      <c r="D11" s="2"/>
      <c r="E11" s="2"/>
      <c r="F11" s="2"/>
      <c r="G11" s="2"/>
      <c r="H11" s="2"/>
      <c r="I11" s="2"/>
      <c r="J11" s="2"/>
      <c r="K11" s="2"/>
      <c r="L11" s="2"/>
      <c r="M11" s="2"/>
      <c r="N11" s="2"/>
      <c r="O11" s="2"/>
      <c r="P11" s="2"/>
      <c r="Q11" s="2"/>
      <c r="R11" s="2"/>
      <c r="S11" s="2"/>
      <c r="T11" s="2"/>
      <c r="U11" s="2"/>
      <c r="V11" s="2"/>
      <c r="W11" s="2"/>
    </row>
    <row r="12" spans="1:23" ht="15">
      <c r="A12" s="2"/>
      <c r="B12" s="2"/>
      <c r="C12" s="2"/>
      <c r="D12" s="2"/>
      <c r="E12" s="2"/>
      <c r="F12" s="2"/>
      <c r="G12" s="2"/>
      <c r="H12" s="2"/>
      <c r="I12" s="2"/>
      <c r="J12" s="2"/>
      <c r="K12" s="2"/>
      <c r="L12" s="2"/>
      <c r="M12" s="2"/>
      <c r="N12" s="2"/>
      <c r="O12" s="2"/>
      <c r="P12" s="2"/>
      <c r="Q12" s="2"/>
      <c r="R12" s="2"/>
      <c r="S12" s="2"/>
      <c r="T12" s="2"/>
      <c r="U12" s="2"/>
      <c r="V12" s="2"/>
      <c r="W12" s="2"/>
    </row>
    <row r="13" spans="1:23" ht="15">
      <c r="A13" s="2"/>
      <c r="B13" s="2"/>
      <c r="C13" s="2"/>
      <c r="D13" s="11" t="s">
        <v>242</v>
      </c>
      <c r="E13" s="11"/>
      <c r="F13" s="11"/>
      <c r="G13" s="2"/>
      <c r="H13" s="2"/>
      <c r="I13" s="2"/>
      <c r="J13" s="2"/>
      <c r="K13" s="2"/>
      <c r="L13" s="2"/>
      <c r="M13" s="2"/>
      <c r="N13" s="2"/>
      <c r="O13" s="2"/>
      <c r="P13" s="2"/>
      <c r="Q13" s="2"/>
      <c r="R13" s="2"/>
      <c r="S13" s="2"/>
      <c r="T13" s="2"/>
      <c r="U13" s="2"/>
      <c r="V13" s="2"/>
      <c r="W13" s="2"/>
    </row>
    <row r="14" spans="1:23" ht="15">
      <c r="A14" s="1" t="s">
        <v>53</v>
      </c>
      <c r="B14" s="36"/>
      <c r="C14" s="2"/>
      <c r="D14" s="11" t="s">
        <v>238</v>
      </c>
      <c r="E14" s="11"/>
      <c r="F14" s="11" t="s">
        <v>55</v>
      </c>
      <c r="G14" s="2"/>
      <c r="H14" s="2"/>
      <c r="I14" s="2"/>
      <c r="J14" s="2"/>
      <c r="K14" s="2"/>
      <c r="L14" s="2"/>
      <c r="M14" s="2"/>
      <c r="N14" s="2"/>
      <c r="O14" s="2"/>
      <c r="P14" s="2"/>
      <c r="Q14" s="2"/>
      <c r="R14" s="2"/>
      <c r="S14" s="2"/>
      <c r="T14" s="2"/>
      <c r="U14" s="2"/>
      <c r="V14" s="2"/>
      <c r="W14" s="2"/>
    </row>
    <row r="15" spans="1:23" ht="15">
      <c r="A15" s="1" t="s">
        <v>56</v>
      </c>
      <c r="B15" s="36"/>
      <c r="C15" s="2"/>
      <c r="D15" s="11" t="s">
        <v>235</v>
      </c>
      <c r="E15" s="11"/>
      <c r="F15" s="11" t="s">
        <v>57</v>
      </c>
      <c r="G15" s="2"/>
      <c r="H15" s="2"/>
      <c r="I15" s="2"/>
      <c r="J15" s="2"/>
      <c r="K15" s="2"/>
      <c r="L15" s="2"/>
      <c r="M15" s="2"/>
      <c r="N15" s="2"/>
      <c r="O15" s="2"/>
      <c r="P15" s="2"/>
      <c r="Q15" s="2"/>
      <c r="R15" s="2"/>
      <c r="S15" s="2"/>
      <c r="T15" s="2"/>
      <c r="U15" s="2"/>
      <c r="V15" s="2"/>
      <c r="W15" s="2"/>
    </row>
    <row r="16" spans="1:23" ht="15">
      <c r="A16" s="3" t="s">
        <v>58</v>
      </c>
      <c r="B16" s="132"/>
      <c r="C16" s="2"/>
      <c r="D16" s="10" t="s">
        <v>75</v>
      </c>
      <c r="E16" s="11" t="s">
        <v>174</v>
      </c>
      <c r="F16" s="10" t="s">
        <v>60</v>
      </c>
      <c r="G16" s="2"/>
      <c r="H16" s="2"/>
      <c r="I16" s="2"/>
      <c r="J16" s="2"/>
      <c r="K16" s="2"/>
      <c r="L16" s="2"/>
      <c r="M16" s="2"/>
      <c r="N16" s="2"/>
      <c r="O16" s="2"/>
      <c r="P16" s="2"/>
      <c r="Q16" s="2"/>
      <c r="R16" s="2"/>
      <c r="S16" s="2"/>
      <c r="T16" s="2"/>
      <c r="U16" s="2"/>
      <c r="V16" s="2"/>
      <c r="W16" s="2"/>
    </row>
    <row r="17" spans="1:23" ht="12.75" customHeight="1">
      <c r="A17" s="2"/>
      <c r="C17" s="2"/>
      <c r="D17" s="2"/>
      <c r="E17" s="2"/>
      <c r="F17" s="133"/>
      <c r="G17" s="2"/>
      <c r="H17" s="2"/>
      <c r="I17" s="2"/>
      <c r="J17" s="2"/>
      <c r="K17" s="2"/>
      <c r="L17" s="2"/>
      <c r="M17" s="2"/>
      <c r="N17" s="2"/>
      <c r="O17" s="2"/>
      <c r="P17" s="2"/>
      <c r="Q17" s="2"/>
      <c r="R17" s="2"/>
      <c r="S17" s="2"/>
      <c r="T17" s="2"/>
      <c r="U17" s="2"/>
      <c r="V17" s="2"/>
      <c r="W17" s="2"/>
    </row>
    <row r="18" spans="1:23" ht="12.75" customHeight="1">
      <c r="A18" s="2" t="s">
        <v>61</v>
      </c>
      <c r="C18" s="2"/>
      <c r="D18" s="216">
        <f>+'COS 1'!J307</f>
        <v>6853255.163635729</v>
      </c>
      <c r="E18" s="2"/>
      <c r="F18" s="176">
        <f>+'COS 1'!J308</f>
        <v>0.5916</v>
      </c>
      <c r="G18" s="2"/>
      <c r="H18" s="2"/>
      <c r="I18" s="2"/>
      <c r="J18" s="2"/>
      <c r="K18" s="2"/>
      <c r="L18" s="2"/>
      <c r="M18" s="2"/>
      <c r="N18" s="2"/>
      <c r="O18" s="2"/>
      <c r="P18" s="2"/>
      <c r="Q18" s="2"/>
      <c r="R18" s="2"/>
      <c r="S18" s="2"/>
      <c r="T18" s="2"/>
      <c r="U18" s="2"/>
      <c r="V18" s="2"/>
      <c r="W18" s="2"/>
    </row>
    <row r="19" spans="1:23" ht="12.75" customHeight="1">
      <c r="A19" s="2" t="s">
        <v>194</v>
      </c>
      <c r="C19" s="2"/>
      <c r="D19" s="9">
        <f>+'COS 1'!L307</f>
        <v>2212560.708522251</v>
      </c>
      <c r="E19" s="2"/>
      <c r="F19" s="133">
        <f>+'COS 1'!L308</f>
        <v>0.191</v>
      </c>
      <c r="G19" s="2"/>
      <c r="H19" s="2"/>
      <c r="I19" s="2"/>
      <c r="J19" s="2"/>
      <c r="K19" s="2"/>
      <c r="L19" s="2"/>
      <c r="M19" s="2"/>
      <c r="N19" s="2"/>
      <c r="O19" s="2"/>
      <c r="P19" s="2"/>
      <c r="Q19" s="2"/>
      <c r="R19" s="2"/>
      <c r="S19" s="2"/>
      <c r="T19" s="2"/>
      <c r="U19" s="2"/>
      <c r="V19" s="2"/>
      <c r="W19" s="2"/>
    </row>
    <row r="20" spans="1:23" ht="12.75" customHeight="1">
      <c r="A20" s="2" t="s">
        <v>63</v>
      </c>
      <c r="C20" s="2"/>
      <c r="D20" s="9">
        <f>+'COS 1'!N307</f>
        <v>678249.9614018198</v>
      </c>
      <c r="E20" s="2"/>
      <c r="F20" s="133">
        <f>+'COS 1'!N308</f>
        <v>0.0585</v>
      </c>
      <c r="G20" s="2"/>
      <c r="H20" s="2"/>
      <c r="I20" s="2"/>
      <c r="J20" s="2"/>
      <c r="K20" s="2"/>
      <c r="L20" s="2"/>
      <c r="M20" s="2"/>
      <c r="N20" s="2"/>
      <c r="O20" s="2"/>
      <c r="P20" s="2"/>
      <c r="Q20" s="2"/>
      <c r="R20" s="2"/>
      <c r="S20" s="2"/>
      <c r="T20" s="2"/>
      <c r="U20" s="2"/>
      <c r="V20" s="2"/>
      <c r="W20" s="2"/>
    </row>
    <row r="21" spans="1:23" ht="12.75" customHeight="1">
      <c r="A21" s="2" t="s">
        <v>64</v>
      </c>
      <c r="C21" s="2"/>
      <c r="D21" s="9">
        <f>+'COS 1'!P307</f>
        <v>425121.34511298995</v>
      </c>
      <c r="E21" s="2"/>
      <c r="F21" s="133">
        <f>+'COS 1'!P308</f>
        <v>0.0367</v>
      </c>
      <c r="G21" s="2"/>
      <c r="H21" s="2"/>
      <c r="I21" s="2"/>
      <c r="J21" s="2"/>
      <c r="K21" s="2"/>
      <c r="L21" s="2"/>
      <c r="M21" s="2"/>
      <c r="N21" s="2"/>
      <c r="O21" s="2"/>
      <c r="P21" s="2"/>
      <c r="Q21" s="2"/>
      <c r="R21" s="2"/>
      <c r="S21" s="2"/>
      <c r="T21" s="2"/>
      <c r="U21" s="2"/>
      <c r="V21" s="2"/>
      <c r="W21" s="2"/>
    </row>
    <row r="22" spans="1:23" ht="12.75" customHeight="1">
      <c r="A22" s="2" t="s">
        <v>427</v>
      </c>
      <c r="C22" s="2"/>
      <c r="D22" s="9">
        <f>+'COS 1'!R307</f>
        <v>214943.02272990302</v>
      </c>
      <c r="E22" s="2"/>
      <c r="F22" s="133">
        <f>+'COS 1'!R308</f>
        <v>0.0186</v>
      </c>
      <c r="G22" s="2"/>
      <c r="H22" s="2"/>
      <c r="I22" s="2"/>
      <c r="J22" s="2"/>
      <c r="K22" s="2"/>
      <c r="L22" s="2"/>
      <c r="M22" s="2"/>
      <c r="N22" s="2"/>
      <c r="O22" s="2"/>
      <c r="P22" s="2"/>
      <c r="Q22" s="2"/>
      <c r="R22" s="2"/>
      <c r="S22" s="2"/>
      <c r="T22" s="2"/>
      <c r="U22" s="2"/>
      <c r="V22" s="2"/>
      <c r="W22" s="2"/>
    </row>
    <row r="23" spans="1:23" ht="12.75" customHeight="1">
      <c r="A23" s="2" t="s">
        <v>99</v>
      </c>
      <c r="C23" s="2"/>
      <c r="D23" s="9">
        <f>+'COS 1'!T307</f>
        <v>1200414.894324509</v>
      </c>
      <c r="E23" s="2"/>
      <c r="F23" s="133">
        <f>+'COS 1'!T308</f>
        <v>0.1036</v>
      </c>
      <c r="G23" s="2"/>
      <c r="H23" s="2"/>
      <c r="I23" s="2"/>
      <c r="J23" s="2"/>
      <c r="K23" s="2"/>
      <c r="L23" s="2"/>
      <c r="M23" s="2"/>
      <c r="N23" s="2"/>
      <c r="O23" s="2"/>
      <c r="P23" s="2"/>
      <c r="Q23" s="2"/>
      <c r="R23" s="2"/>
      <c r="S23" s="2"/>
      <c r="T23" s="2"/>
      <c r="U23" s="2"/>
      <c r="V23" s="2"/>
      <c r="W23" s="2"/>
    </row>
    <row r="24" spans="1:23" ht="15">
      <c r="A24" s="2"/>
      <c r="C24" s="2"/>
      <c r="D24" s="5"/>
      <c r="E24" s="2"/>
      <c r="F24" s="6"/>
      <c r="G24" s="2"/>
      <c r="H24" s="2"/>
      <c r="I24" s="2"/>
      <c r="J24" s="2"/>
      <c r="K24" s="2"/>
      <c r="L24" s="2"/>
      <c r="M24" s="2"/>
      <c r="N24" s="2"/>
      <c r="O24" s="2"/>
      <c r="P24" s="2"/>
      <c r="Q24" s="2"/>
      <c r="R24" s="2"/>
      <c r="S24" s="2"/>
      <c r="T24" s="2"/>
      <c r="U24" s="2"/>
      <c r="V24" s="2"/>
      <c r="W24" s="2"/>
    </row>
    <row r="25" spans="1:23" ht="15.75" thickBot="1">
      <c r="A25" s="2" t="s">
        <v>66</v>
      </c>
      <c r="C25" s="2"/>
      <c r="D25" s="217">
        <f>SUM(D18:D24)</f>
        <v>11584545.095727203</v>
      </c>
      <c r="E25" s="2"/>
      <c r="F25" s="167">
        <f>SUM(F18:F24)</f>
        <v>0.9999999999999999</v>
      </c>
      <c r="G25" s="2"/>
      <c r="H25" s="2"/>
      <c r="I25" s="2"/>
      <c r="J25" s="2"/>
      <c r="K25" s="2"/>
      <c r="L25" s="2"/>
      <c r="M25" s="2"/>
      <c r="N25" s="2"/>
      <c r="O25" s="2"/>
      <c r="P25" s="2"/>
      <c r="Q25" s="2"/>
      <c r="R25" s="2"/>
      <c r="S25" s="2"/>
      <c r="T25" s="2"/>
      <c r="U25" s="2"/>
      <c r="V25" s="2"/>
      <c r="W25" s="2"/>
    </row>
    <row r="26" spans="1:23" ht="15.75" thickTop="1">
      <c r="A26" s="2"/>
      <c r="C26" s="2"/>
      <c r="D26" s="474"/>
      <c r="E26" s="2"/>
      <c r="F26" s="475"/>
      <c r="G26" s="2"/>
      <c r="H26" s="2"/>
      <c r="I26" s="2"/>
      <c r="J26" s="2"/>
      <c r="K26" s="2"/>
      <c r="L26" s="2"/>
      <c r="M26" s="2"/>
      <c r="N26" s="2"/>
      <c r="O26" s="2"/>
      <c r="P26" s="2"/>
      <c r="Q26" s="2"/>
      <c r="R26" s="2"/>
      <c r="S26" s="2"/>
      <c r="T26" s="2"/>
      <c r="U26" s="2"/>
      <c r="V26" s="2"/>
      <c r="W26" s="2"/>
    </row>
    <row r="27" spans="1:23" ht="15">
      <c r="A27" s="2"/>
      <c r="B27" s="2"/>
      <c r="C27" s="2"/>
      <c r="D27" s="169"/>
      <c r="E27" s="13"/>
      <c r="F27" s="164"/>
      <c r="G27" s="2"/>
      <c r="H27" s="2"/>
      <c r="I27" s="2"/>
      <c r="J27" s="2"/>
      <c r="K27" s="2"/>
      <c r="L27" s="2"/>
      <c r="M27" s="2"/>
      <c r="N27" s="2"/>
      <c r="O27" s="2"/>
      <c r="P27" s="2"/>
      <c r="Q27" s="2"/>
      <c r="R27" s="2"/>
      <c r="S27" s="2"/>
      <c r="T27" s="2"/>
      <c r="U27" s="2"/>
      <c r="V27" s="2"/>
      <c r="W27" s="2"/>
    </row>
    <row r="28" spans="1:23" ht="15">
      <c r="A28" s="2" t="s">
        <v>412</v>
      </c>
      <c r="B28" s="2"/>
      <c r="C28" s="2"/>
      <c r="D28" s="2"/>
      <c r="E28" s="2"/>
      <c r="F28" s="2"/>
      <c r="G28" s="2"/>
      <c r="H28" s="2"/>
      <c r="I28" s="2"/>
      <c r="J28" s="2"/>
      <c r="K28" s="2"/>
      <c r="L28" s="2"/>
      <c r="M28" s="2"/>
      <c r="N28" s="2"/>
      <c r="O28" s="2"/>
      <c r="P28" s="2"/>
      <c r="Q28" s="2"/>
      <c r="R28" s="2"/>
      <c r="S28" s="2"/>
      <c r="T28" s="2"/>
      <c r="U28" s="2"/>
      <c r="V28" s="2"/>
      <c r="W28" s="2"/>
    </row>
    <row r="29" spans="1:23" ht="15">
      <c r="A29" s="2"/>
      <c r="B29" s="2"/>
      <c r="C29" s="2"/>
      <c r="D29" s="2"/>
      <c r="E29" s="2"/>
      <c r="F29" s="2"/>
      <c r="G29" s="2"/>
      <c r="H29" s="2"/>
      <c r="I29" s="2"/>
      <c r="J29" s="2"/>
      <c r="K29" s="2"/>
      <c r="L29" s="2"/>
      <c r="M29" s="2"/>
      <c r="N29" s="2"/>
      <c r="O29" s="2"/>
      <c r="P29" s="2"/>
      <c r="Q29" s="2"/>
      <c r="R29" s="2"/>
      <c r="S29" s="2"/>
      <c r="T29" s="2"/>
      <c r="U29" s="2"/>
      <c r="V29" s="2"/>
      <c r="W29" s="2"/>
    </row>
    <row r="30" spans="1:23" ht="15">
      <c r="A30" s="2"/>
      <c r="B30" s="2"/>
      <c r="C30" s="2"/>
      <c r="D30" s="2"/>
      <c r="E30" s="2"/>
      <c r="F30" s="2"/>
      <c r="G30" s="2"/>
      <c r="H30" s="2"/>
      <c r="I30" s="2"/>
      <c r="J30" s="2"/>
      <c r="K30" s="2"/>
      <c r="L30" s="2"/>
      <c r="M30" s="2"/>
      <c r="N30" s="2"/>
      <c r="O30" s="2"/>
      <c r="P30" s="2"/>
      <c r="Q30" s="2"/>
      <c r="R30" s="2"/>
      <c r="S30" s="2"/>
      <c r="T30" s="2"/>
      <c r="U30" s="2"/>
      <c r="V30" s="2"/>
      <c r="W30" s="2"/>
    </row>
    <row r="31" spans="1:23" ht="15">
      <c r="A31" s="36" t="s">
        <v>369</v>
      </c>
      <c r="B31" s="1"/>
      <c r="C31" s="36"/>
      <c r="D31" s="1"/>
      <c r="E31" s="1"/>
      <c r="F31" s="1"/>
      <c r="G31" s="2"/>
      <c r="H31" s="2"/>
      <c r="I31" s="2"/>
      <c r="J31" s="2"/>
      <c r="K31" s="2"/>
      <c r="L31" s="2"/>
      <c r="M31" s="2"/>
      <c r="N31" s="2"/>
      <c r="O31" s="2"/>
      <c r="P31" s="2"/>
      <c r="Q31" s="2"/>
      <c r="R31" s="2"/>
      <c r="S31" s="2"/>
      <c r="T31" s="2"/>
      <c r="U31" s="2"/>
      <c r="V31" s="2"/>
      <c r="W31" s="2"/>
    </row>
    <row r="32" spans="1:23" ht="15">
      <c r="A32" s="36"/>
      <c r="B32" s="1"/>
      <c r="C32" s="36"/>
      <c r="D32" s="1"/>
      <c r="E32" s="1"/>
      <c r="F32" s="1"/>
      <c r="G32" s="2"/>
      <c r="H32" s="2"/>
      <c r="I32" s="2"/>
      <c r="J32" s="2"/>
      <c r="K32" s="2"/>
      <c r="L32" s="2"/>
      <c r="M32" s="2"/>
      <c r="N32" s="2"/>
      <c r="O32" s="2"/>
      <c r="P32" s="2"/>
      <c r="Q32" s="2"/>
      <c r="R32" s="2"/>
      <c r="S32" s="2"/>
      <c r="T32" s="2"/>
      <c r="U32" s="2"/>
      <c r="V32" s="2"/>
      <c r="W32" s="2"/>
    </row>
    <row r="33" spans="1:23" ht="15">
      <c r="A33" s="1"/>
      <c r="B33" s="1"/>
      <c r="C33" s="1"/>
      <c r="D33" s="1"/>
      <c r="E33" s="1"/>
      <c r="F33" s="1"/>
      <c r="G33" s="2"/>
      <c r="H33" s="2"/>
      <c r="I33" s="2"/>
      <c r="J33" s="2"/>
      <c r="K33" s="2"/>
      <c r="L33" s="2"/>
      <c r="M33" s="2"/>
      <c r="N33" s="2"/>
      <c r="O33" s="2"/>
      <c r="P33" s="2"/>
      <c r="Q33" s="2"/>
      <c r="R33" s="2"/>
      <c r="S33" s="2"/>
      <c r="T33" s="2"/>
      <c r="U33" s="2"/>
      <c r="V33" s="2"/>
      <c r="W33" s="2"/>
    </row>
    <row r="34" spans="1:23" ht="15">
      <c r="A34" s="1" t="s">
        <v>82</v>
      </c>
      <c r="B34" s="1"/>
      <c r="C34" s="1"/>
      <c r="D34" s="1"/>
      <c r="E34" s="1"/>
      <c r="F34" s="1"/>
      <c r="G34" s="2"/>
      <c r="H34" s="2"/>
      <c r="I34" s="2"/>
      <c r="J34" s="2"/>
      <c r="K34" s="2"/>
      <c r="L34" s="2"/>
      <c r="M34" s="2"/>
      <c r="N34" s="2"/>
      <c r="O34" s="2"/>
      <c r="P34" s="2"/>
      <c r="Q34" s="2"/>
      <c r="R34" s="2"/>
      <c r="S34" s="2"/>
      <c r="T34" s="2"/>
      <c r="U34" s="2"/>
      <c r="V34" s="2"/>
      <c r="W34" s="2"/>
    </row>
    <row r="35" spans="1:23" ht="15">
      <c r="A35" s="2"/>
      <c r="B35" s="2"/>
      <c r="C35" s="2"/>
      <c r="D35" s="2"/>
      <c r="E35" s="2"/>
      <c r="F35" s="2"/>
      <c r="G35" s="2"/>
      <c r="H35" s="2"/>
      <c r="I35" s="2"/>
      <c r="J35" s="2"/>
      <c r="K35" s="2"/>
      <c r="L35" s="2"/>
      <c r="M35" s="2"/>
      <c r="N35" s="2"/>
      <c r="O35" s="133"/>
      <c r="P35" s="2"/>
      <c r="Q35" s="2"/>
      <c r="R35" s="2"/>
      <c r="S35" s="2"/>
      <c r="T35" s="2"/>
      <c r="U35" s="2"/>
      <c r="V35" s="2"/>
      <c r="W35" s="2"/>
    </row>
    <row r="36" spans="1:23" ht="15">
      <c r="A36" s="2"/>
      <c r="B36" s="2"/>
      <c r="C36" s="2"/>
      <c r="D36" s="2"/>
      <c r="E36" s="2"/>
      <c r="F36" s="2"/>
      <c r="G36" s="2"/>
      <c r="H36" s="2"/>
      <c r="I36" s="2"/>
      <c r="J36" s="2"/>
      <c r="K36" s="2"/>
      <c r="L36" s="2"/>
      <c r="M36" s="2"/>
      <c r="N36" s="2"/>
      <c r="O36" s="133"/>
      <c r="P36" s="2"/>
      <c r="Q36" s="2"/>
      <c r="R36" s="2"/>
      <c r="S36" s="2"/>
      <c r="T36" s="2"/>
      <c r="U36" s="2"/>
      <c r="V36" s="2"/>
      <c r="W36" s="2"/>
    </row>
    <row r="37" spans="1:23" ht="15">
      <c r="A37" s="2" t="s">
        <v>243</v>
      </c>
      <c r="B37" s="2"/>
      <c r="C37" s="2"/>
      <c r="D37" s="2"/>
      <c r="E37" s="2"/>
      <c r="F37" s="2"/>
      <c r="G37" s="2"/>
      <c r="O37" s="133"/>
      <c r="P37" s="2"/>
      <c r="Q37" s="2"/>
      <c r="R37" s="2"/>
      <c r="S37" s="2"/>
      <c r="T37" s="2"/>
      <c r="U37" s="2"/>
      <c r="V37" s="2"/>
      <c r="W37" s="2"/>
    </row>
    <row r="38" spans="1:23" ht="15">
      <c r="A38" s="2"/>
      <c r="B38" s="2"/>
      <c r="C38" s="2"/>
      <c r="D38" s="2"/>
      <c r="E38" s="2"/>
      <c r="F38" s="2"/>
      <c r="G38" s="2"/>
      <c r="O38" s="133"/>
      <c r="P38" s="2"/>
      <c r="Q38" s="2"/>
      <c r="R38" s="2"/>
      <c r="S38" s="2"/>
      <c r="T38" s="2"/>
      <c r="U38" s="2"/>
      <c r="V38" s="2"/>
      <c r="W38" s="2"/>
    </row>
    <row r="39" spans="1:23" ht="14.25" customHeight="1">
      <c r="A39" s="490" t="s">
        <v>16</v>
      </c>
      <c r="B39" s="490"/>
      <c r="C39" s="490"/>
      <c r="D39" s="490"/>
      <c r="E39" s="490"/>
      <c r="F39" s="490"/>
      <c r="G39" s="2"/>
      <c r="O39" s="133"/>
      <c r="P39" s="2"/>
      <c r="Q39" s="2"/>
      <c r="R39" s="2"/>
      <c r="S39" s="2"/>
      <c r="T39" s="2"/>
      <c r="U39" s="2"/>
      <c r="V39" s="2"/>
      <c r="W39" s="2"/>
    </row>
    <row r="40" spans="1:23" ht="15">
      <c r="A40" s="2"/>
      <c r="B40" s="2"/>
      <c r="C40" s="2"/>
      <c r="D40" s="2"/>
      <c r="E40" s="2"/>
      <c r="F40" s="2"/>
      <c r="G40" s="2"/>
      <c r="O40" s="2"/>
      <c r="P40" s="2"/>
      <c r="Q40" s="2"/>
      <c r="R40" s="2"/>
      <c r="S40" s="2"/>
      <c r="T40" s="2"/>
      <c r="U40" s="2"/>
      <c r="V40" s="2"/>
      <c r="W40" s="2"/>
    </row>
    <row r="41" spans="1:23" ht="15">
      <c r="A41" s="1" t="s">
        <v>53</v>
      </c>
      <c r="B41" s="36"/>
      <c r="C41" s="2"/>
      <c r="D41" s="11" t="s">
        <v>244</v>
      </c>
      <c r="E41" s="11"/>
      <c r="F41" s="11" t="s">
        <v>55</v>
      </c>
      <c r="G41" s="2"/>
      <c r="O41" s="2"/>
      <c r="P41" s="2"/>
      <c r="Q41" s="2"/>
      <c r="R41" s="2"/>
      <c r="S41" s="2"/>
      <c r="T41" s="2"/>
      <c r="U41" s="2"/>
      <c r="V41" s="2"/>
      <c r="W41" s="2"/>
    </row>
    <row r="42" spans="1:23" ht="15">
      <c r="A42" s="1" t="s">
        <v>56</v>
      </c>
      <c r="B42" s="36"/>
      <c r="C42" s="2"/>
      <c r="D42" s="11" t="s">
        <v>245</v>
      </c>
      <c r="E42" s="11"/>
      <c r="F42" s="11" t="s">
        <v>57</v>
      </c>
      <c r="G42" s="2"/>
      <c r="O42" s="2"/>
      <c r="P42" s="2"/>
      <c r="Q42" s="2"/>
      <c r="R42" s="2"/>
      <c r="S42" s="2"/>
      <c r="T42" s="2"/>
      <c r="U42" s="2"/>
      <c r="V42" s="2"/>
      <c r="W42" s="2"/>
    </row>
    <row r="43" spans="1:23" ht="15">
      <c r="A43" s="3" t="s">
        <v>58</v>
      </c>
      <c r="B43" s="132"/>
      <c r="C43" s="2"/>
      <c r="D43" s="10" t="s">
        <v>75</v>
      </c>
      <c r="E43" s="11" t="s">
        <v>174</v>
      </c>
      <c r="F43" s="10" t="s">
        <v>60</v>
      </c>
      <c r="G43" s="2"/>
      <c r="O43" s="2"/>
      <c r="P43" s="2"/>
      <c r="Q43" s="2"/>
      <c r="R43" s="2"/>
      <c r="S43" s="2"/>
      <c r="T43" s="2"/>
      <c r="U43" s="2"/>
      <c r="V43" s="2"/>
      <c r="W43" s="2"/>
    </row>
    <row r="44" spans="1:23" ht="15">
      <c r="A44" s="2"/>
      <c r="C44" s="2"/>
      <c r="D44" s="2"/>
      <c r="E44" s="2"/>
      <c r="F44" s="133"/>
      <c r="G44" s="2"/>
      <c r="O44" s="2"/>
      <c r="P44" s="2"/>
      <c r="Q44" s="2"/>
      <c r="R44" s="2"/>
      <c r="S44" s="2"/>
      <c r="T44" s="2"/>
      <c r="U44" s="2"/>
      <c r="V44" s="2"/>
      <c r="W44" s="2"/>
    </row>
    <row r="45" spans="1:23" ht="15">
      <c r="A45" s="2" t="s">
        <v>61</v>
      </c>
      <c r="C45" s="2"/>
      <c r="D45" s="216">
        <f>+'COS 1'!J311</f>
        <v>5035243.686028316</v>
      </c>
      <c r="E45" s="2"/>
      <c r="F45" s="176">
        <f>+'COS 1'!J312</f>
        <v>0.5946</v>
      </c>
      <c r="G45" s="2"/>
      <c r="O45" s="2"/>
      <c r="P45" s="2"/>
      <c r="Q45" s="2"/>
      <c r="R45" s="2"/>
      <c r="S45" s="2"/>
      <c r="T45" s="2"/>
      <c r="U45" s="2"/>
      <c r="V45" s="2"/>
      <c r="W45" s="2"/>
    </row>
    <row r="46" spans="1:23" ht="15">
      <c r="A46" s="2" t="s">
        <v>194</v>
      </c>
      <c r="C46" s="2"/>
      <c r="D46" s="9">
        <f>+'COS 1'!L311</f>
        <v>1661813.5051683555</v>
      </c>
      <c r="E46" s="2"/>
      <c r="F46" s="133">
        <f>+'COS 1'!L312</f>
        <v>0.1962</v>
      </c>
      <c r="G46" s="2"/>
      <c r="O46" s="2"/>
      <c r="P46" s="2"/>
      <c r="Q46" s="2"/>
      <c r="R46" s="2"/>
      <c r="S46" s="2"/>
      <c r="T46" s="2"/>
      <c r="U46" s="2"/>
      <c r="V46" s="2"/>
      <c r="W46" s="2"/>
    </row>
    <row r="47" spans="1:23" ht="15">
      <c r="A47" s="2" t="s">
        <v>63</v>
      </c>
      <c r="C47" s="2"/>
      <c r="D47" s="9">
        <f>+'COS 1'!N311</f>
        <v>510067.1052219783</v>
      </c>
      <c r="E47" s="2"/>
      <c r="F47" s="133">
        <f>+'COS 1'!N312</f>
        <v>0.0602</v>
      </c>
      <c r="G47" s="2"/>
      <c r="O47" s="2"/>
      <c r="P47" s="2"/>
      <c r="Q47" s="2"/>
      <c r="R47" s="2"/>
      <c r="S47" s="2"/>
      <c r="T47" s="2"/>
      <c r="U47" s="2"/>
      <c r="V47" s="2"/>
      <c r="W47" s="2"/>
    </row>
    <row r="48" spans="1:23" ht="15">
      <c r="A48" s="2" t="s">
        <v>64</v>
      </c>
      <c r="C48" s="2"/>
      <c r="D48" s="9">
        <f>+'COS 1'!P311</f>
        <v>322135.0739378016</v>
      </c>
      <c r="E48" s="2"/>
      <c r="F48" s="133">
        <f>+'COS 1'!P312</f>
        <v>0.038</v>
      </c>
      <c r="G48" s="2"/>
      <c r="O48" s="2"/>
      <c r="P48" s="2"/>
      <c r="Q48" s="2"/>
      <c r="R48" s="2"/>
      <c r="S48" s="2"/>
      <c r="T48" s="2"/>
      <c r="U48" s="2"/>
      <c r="V48" s="2"/>
      <c r="W48" s="2"/>
    </row>
    <row r="49" spans="1:23" ht="13.5" customHeight="1">
      <c r="A49" s="2" t="s">
        <v>427</v>
      </c>
      <c r="C49" s="2"/>
      <c r="D49" s="9">
        <f>+'COS 1'!R311</f>
        <v>162250.71778137697</v>
      </c>
      <c r="E49" s="2"/>
      <c r="F49" s="133">
        <f>+'COS 1'!R312</f>
        <v>0.0192</v>
      </c>
      <c r="G49" s="2"/>
      <c r="O49" s="2"/>
      <c r="P49" s="2"/>
      <c r="Q49" s="2"/>
      <c r="R49" s="2"/>
      <c r="S49" s="2"/>
      <c r="T49" s="2"/>
      <c r="U49" s="2"/>
      <c r="V49" s="2"/>
      <c r="W49" s="2"/>
    </row>
    <row r="50" spans="1:23" ht="12.75" customHeight="1">
      <c r="A50" s="2" t="s">
        <v>99</v>
      </c>
      <c r="C50" s="2"/>
      <c r="D50" s="9">
        <f>+'COS 1'!T311</f>
        <v>776993.8018621709</v>
      </c>
      <c r="E50" s="2"/>
      <c r="F50" s="133">
        <f>+'COS 1'!T312</f>
        <v>0.0918</v>
      </c>
      <c r="G50" s="2"/>
      <c r="O50" s="2"/>
      <c r="P50" s="2"/>
      <c r="Q50" s="2"/>
      <c r="R50" s="2"/>
      <c r="S50" s="2"/>
      <c r="T50" s="2"/>
      <c r="U50" s="2"/>
      <c r="V50" s="2"/>
      <c r="W50" s="2"/>
    </row>
    <row r="51" spans="1:23" ht="12.75" customHeight="1">
      <c r="A51" s="2"/>
      <c r="C51" s="2"/>
      <c r="D51" s="5"/>
      <c r="E51" s="2"/>
      <c r="F51" s="6"/>
      <c r="G51" s="2"/>
      <c r="O51" s="2"/>
      <c r="P51" s="2"/>
      <c r="Q51" s="2"/>
      <c r="R51" s="2"/>
      <c r="S51" s="2"/>
      <c r="T51" s="2"/>
      <c r="U51" s="2"/>
      <c r="V51" s="2"/>
      <c r="W51" s="2"/>
    </row>
    <row r="52" spans="1:23" ht="12.75" customHeight="1" thickBot="1">
      <c r="A52" s="2" t="s">
        <v>66</v>
      </c>
      <c r="C52" s="2"/>
      <c r="D52" s="217">
        <f>SUM(D45:D51)</f>
        <v>8468503.889999999</v>
      </c>
      <c r="E52" s="2"/>
      <c r="F52" s="133">
        <f>SUM(F45:F51)</f>
        <v>1.0000000000000002</v>
      </c>
      <c r="G52" s="2"/>
      <c r="O52" s="2"/>
      <c r="P52" s="2"/>
      <c r="Q52" s="2"/>
      <c r="R52" s="2"/>
      <c r="S52" s="2"/>
      <c r="T52" s="2"/>
      <c r="U52" s="2"/>
      <c r="V52" s="2"/>
      <c r="W52" s="2"/>
    </row>
    <row r="53" spans="1:23" ht="12.75" customHeight="1" thickTop="1">
      <c r="A53" s="2"/>
      <c r="B53" s="2"/>
      <c r="C53" s="2"/>
      <c r="D53" s="169"/>
      <c r="E53" s="13"/>
      <c r="F53" s="8"/>
      <c r="G53" s="2"/>
      <c r="O53" s="2"/>
      <c r="P53" s="2"/>
      <c r="Q53" s="2"/>
      <c r="R53" s="2"/>
      <c r="S53" s="2"/>
      <c r="T53" s="2"/>
      <c r="U53" s="2"/>
      <c r="V53" s="2"/>
      <c r="W53" s="2"/>
    </row>
    <row r="54" spans="1:23" ht="12.75" customHeight="1">
      <c r="A54" s="2"/>
      <c r="B54" s="2"/>
      <c r="C54" s="2"/>
      <c r="D54" s="2"/>
      <c r="E54" s="2"/>
      <c r="F54" s="2"/>
      <c r="G54" s="2"/>
      <c r="O54" s="2"/>
      <c r="P54" s="2"/>
      <c r="Q54" s="2"/>
      <c r="R54" s="2"/>
      <c r="S54" s="2"/>
      <c r="T54" s="2"/>
      <c r="U54" s="2"/>
      <c r="V54" s="2"/>
      <c r="W54" s="2"/>
    </row>
    <row r="55" spans="1:23" ht="12.75" customHeight="1">
      <c r="A55" s="2"/>
      <c r="B55" s="2"/>
      <c r="C55" s="2"/>
      <c r="D55" s="2"/>
      <c r="E55" s="2"/>
      <c r="F55" s="2"/>
      <c r="G55" s="2"/>
      <c r="O55" s="2"/>
      <c r="P55" s="2"/>
      <c r="Q55" s="2"/>
      <c r="R55" s="2"/>
      <c r="S55" s="2"/>
      <c r="T55" s="2"/>
      <c r="U55" s="2"/>
      <c r="V55" s="2"/>
      <c r="W55" s="2"/>
    </row>
    <row r="56" spans="1:23" ht="15">
      <c r="A56" s="2" t="s">
        <v>0</v>
      </c>
      <c r="B56" s="2"/>
      <c r="C56" s="2"/>
      <c r="D56" s="2"/>
      <c r="E56" s="2"/>
      <c r="F56" s="2"/>
      <c r="G56" s="2"/>
      <c r="O56" s="2"/>
      <c r="P56" s="2"/>
      <c r="Q56" s="2"/>
      <c r="R56" s="2"/>
      <c r="S56" s="2"/>
      <c r="T56" s="2"/>
      <c r="U56" s="2"/>
      <c r="V56" s="2"/>
      <c r="W56" s="2"/>
    </row>
    <row r="57" spans="1:23" ht="15">
      <c r="A57" s="2" t="s">
        <v>20</v>
      </c>
      <c r="B57" s="2"/>
      <c r="C57" s="2"/>
      <c r="D57" s="2"/>
      <c r="E57" s="2"/>
      <c r="F57" s="2"/>
      <c r="G57" s="2"/>
      <c r="O57" s="2"/>
      <c r="P57" s="2"/>
      <c r="Q57" s="2"/>
      <c r="R57" s="2"/>
      <c r="S57" s="2"/>
      <c r="T57" s="2"/>
      <c r="U57" s="2"/>
      <c r="V57" s="2"/>
      <c r="W57" s="2"/>
    </row>
    <row r="58" spans="1:23" ht="15">
      <c r="A58" s="2"/>
      <c r="B58" s="2"/>
      <c r="C58" s="2"/>
      <c r="D58" s="2"/>
      <c r="E58" s="2"/>
      <c r="F58" s="2"/>
      <c r="G58" s="2"/>
      <c r="O58" s="2"/>
      <c r="P58" s="2"/>
      <c r="Q58" s="2"/>
      <c r="R58" s="2"/>
      <c r="S58" s="2"/>
      <c r="T58" s="2"/>
      <c r="U58" s="2"/>
      <c r="V58" s="2"/>
      <c r="W58" s="2"/>
    </row>
    <row r="59" spans="1:23" ht="27.75" customHeight="1">
      <c r="A59" s="490" t="s">
        <v>246</v>
      </c>
      <c r="B59" s="490"/>
      <c r="C59" s="490"/>
      <c r="D59" s="490"/>
      <c r="E59" s="490"/>
      <c r="F59" s="490"/>
      <c r="G59" s="2"/>
      <c r="O59" s="2"/>
      <c r="P59" s="2"/>
      <c r="Q59" s="2"/>
      <c r="R59" s="2"/>
      <c r="S59" s="2"/>
      <c r="T59" s="2"/>
      <c r="U59" s="2"/>
      <c r="V59" s="2"/>
      <c r="W59" s="2"/>
    </row>
    <row r="60" spans="1:23" ht="15">
      <c r="A60" s="2"/>
      <c r="B60" s="2"/>
      <c r="C60" s="2"/>
      <c r="D60" s="2"/>
      <c r="E60" s="2"/>
      <c r="F60" s="2"/>
      <c r="G60" s="2"/>
      <c r="O60" s="2"/>
      <c r="P60" s="2"/>
      <c r="Q60" s="2"/>
      <c r="R60" s="2"/>
      <c r="S60" s="2"/>
      <c r="T60" s="2"/>
      <c r="U60" s="2"/>
      <c r="V60" s="2"/>
      <c r="W60" s="2"/>
    </row>
    <row r="61" spans="1:23" ht="15">
      <c r="A61" s="2"/>
      <c r="B61" s="2"/>
      <c r="C61" s="2"/>
      <c r="D61" s="11" t="s">
        <v>247</v>
      </c>
      <c r="E61" s="11"/>
      <c r="F61" s="11"/>
      <c r="G61" s="2"/>
      <c r="O61" s="2"/>
      <c r="P61" s="2"/>
      <c r="Q61" s="2"/>
      <c r="R61" s="2"/>
      <c r="S61" s="2"/>
      <c r="T61" s="2"/>
      <c r="U61" s="2"/>
      <c r="V61" s="2"/>
      <c r="W61" s="2"/>
    </row>
    <row r="62" spans="1:23" ht="15">
      <c r="A62" s="1" t="s">
        <v>53</v>
      </c>
      <c r="B62" s="36"/>
      <c r="C62" s="2"/>
      <c r="D62" s="11" t="s">
        <v>248</v>
      </c>
      <c r="E62" s="11"/>
      <c r="F62" s="11" t="s">
        <v>55</v>
      </c>
      <c r="G62" s="2"/>
      <c r="O62" s="2"/>
      <c r="P62" s="2"/>
      <c r="Q62" s="2"/>
      <c r="R62" s="2"/>
      <c r="S62" s="2"/>
      <c r="T62" s="2"/>
      <c r="U62" s="2"/>
      <c r="V62" s="2"/>
      <c r="W62" s="2"/>
    </row>
    <row r="63" spans="1:23" ht="15">
      <c r="A63" s="1" t="s">
        <v>56</v>
      </c>
      <c r="B63" s="36"/>
      <c r="C63" s="2"/>
      <c r="D63" s="11" t="s">
        <v>249</v>
      </c>
      <c r="E63" s="11"/>
      <c r="F63" s="11" t="s">
        <v>57</v>
      </c>
      <c r="G63" s="2"/>
      <c r="O63" s="2"/>
      <c r="P63" s="2"/>
      <c r="Q63" s="2"/>
      <c r="R63" s="2"/>
      <c r="S63" s="2"/>
      <c r="T63" s="2"/>
      <c r="U63" s="2"/>
      <c r="V63" s="2"/>
      <c r="W63" s="2"/>
    </row>
    <row r="64" spans="1:23" ht="15">
      <c r="A64" s="3" t="s">
        <v>58</v>
      </c>
      <c r="B64" s="132"/>
      <c r="C64" s="2"/>
      <c r="D64" s="10" t="s">
        <v>75</v>
      </c>
      <c r="E64" s="11" t="s">
        <v>174</v>
      </c>
      <c r="F64" s="10" t="s">
        <v>60</v>
      </c>
      <c r="G64" s="2"/>
      <c r="O64" s="2"/>
      <c r="P64" s="2"/>
      <c r="Q64" s="2"/>
      <c r="R64" s="2"/>
      <c r="S64" s="2"/>
      <c r="T64" s="2"/>
      <c r="U64" s="2"/>
      <c r="V64" s="2"/>
      <c r="W64" s="2"/>
    </row>
    <row r="65" spans="1:23" ht="15">
      <c r="A65" s="2"/>
      <c r="C65" s="2"/>
      <c r="D65" s="2"/>
      <c r="E65" s="2"/>
      <c r="F65" s="133"/>
      <c r="G65" s="2"/>
      <c r="O65" s="2"/>
      <c r="P65" s="2"/>
      <c r="Q65" s="2"/>
      <c r="R65" s="2"/>
      <c r="S65" s="2"/>
      <c r="T65" s="2"/>
      <c r="U65" s="2"/>
      <c r="V65" s="2"/>
      <c r="W65" s="2"/>
    </row>
    <row r="66" spans="1:23" ht="15">
      <c r="A66" s="2" t="s">
        <v>61</v>
      </c>
      <c r="C66" s="2"/>
      <c r="D66" s="216">
        <f>+'COS 1'!J313</f>
        <v>121399628.59263225</v>
      </c>
      <c r="E66" s="2"/>
      <c r="F66" s="176">
        <f>+'COS 1'!J314</f>
        <v>0.5178</v>
      </c>
      <c r="G66" s="2"/>
      <c r="O66" s="2"/>
      <c r="P66" s="2"/>
      <c r="Q66" s="2"/>
      <c r="R66" s="2"/>
      <c r="S66" s="2"/>
      <c r="T66" s="2"/>
      <c r="U66" s="2"/>
      <c r="V66" s="2"/>
      <c r="W66" s="2"/>
    </row>
    <row r="67" spans="1:23" ht="15">
      <c r="A67" s="2" t="s">
        <v>194</v>
      </c>
      <c r="C67" s="2"/>
      <c r="D67" s="9">
        <f>+'COS 1'!L313</f>
        <v>49242043.36449887</v>
      </c>
      <c r="E67" s="2"/>
      <c r="F67" s="133">
        <f>+'COS 1'!L314</f>
        <v>0.21</v>
      </c>
      <c r="G67" s="2"/>
      <c r="O67" s="2"/>
      <c r="P67" s="2"/>
      <c r="Q67" s="2"/>
      <c r="R67" s="2"/>
      <c r="S67" s="2"/>
      <c r="T67" s="2"/>
      <c r="U67" s="2"/>
      <c r="V67" s="2"/>
      <c r="W67" s="2"/>
    </row>
    <row r="68" spans="1:23" ht="15">
      <c r="A68" s="2" t="s">
        <v>63</v>
      </c>
      <c r="C68" s="2"/>
      <c r="D68" s="9">
        <f>+'COS 1'!N313</f>
        <v>16922797.705939766</v>
      </c>
      <c r="E68" s="2"/>
      <c r="F68" s="133">
        <f>+'COS 1'!N314</f>
        <v>0.0722</v>
      </c>
      <c r="G68" s="2"/>
      <c r="O68" s="2"/>
      <c r="P68" s="2"/>
      <c r="Q68" s="2"/>
      <c r="R68" s="2"/>
      <c r="S68" s="2"/>
      <c r="T68" s="2"/>
      <c r="U68" s="2"/>
      <c r="V68" s="2"/>
      <c r="W68" s="2"/>
    </row>
    <row r="69" spans="1:23" ht="15">
      <c r="A69" s="2" t="s">
        <v>64</v>
      </c>
      <c r="C69" s="2"/>
      <c r="D69" s="9">
        <f>+'COS 1'!P313</f>
        <v>9978128.74806666</v>
      </c>
      <c r="E69" s="2"/>
      <c r="F69" s="133">
        <f>+'COS 1'!P314</f>
        <v>0.0426</v>
      </c>
      <c r="G69" s="2"/>
      <c r="O69" s="2"/>
      <c r="P69" s="2"/>
      <c r="Q69" s="2"/>
      <c r="R69" s="2"/>
      <c r="S69" s="2"/>
      <c r="T69" s="2"/>
      <c r="U69" s="2"/>
      <c r="V69" s="2"/>
      <c r="W69" s="2"/>
    </row>
    <row r="70" spans="1:23" ht="13.5" customHeight="1">
      <c r="A70" s="2" t="s">
        <v>427</v>
      </c>
      <c r="C70" s="2"/>
      <c r="D70" s="9">
        <f>+'COS 1'!R313</f>
        <v>5825155.662247412</v>
      </c>
      <c r="E70" s="2"/>
      <c r="F70" s="133">
        <f>+'COS 1'!R314</f>
        <v>0.0248</v>
      </c>
      <c r="G70" s="2"/>
      <c r="O70" s="2"/>
      <c r="P70" s="2"/>
      <c r="Q70" s="2"/>
      <c r="R70" s="2"/>
      <c r="S70" s="2"/>
      <c r="T70" s="2"/>
      <c r="U70" s="2"/>
      <c r="V70" s="2"/>
      <c r="W70" s="2"/>
    </row>
    <row r="71" spans="1:23" ht="12.75" customHeight="1">
      <c r="A71" s="2" t="s">
        <v>99</v>
      </c>
      <c r="C71" s="2"/>
      <c r="D71" s="9">
        <f>+'COS 1'!T313</f>
        <v>31082822.016615026</v>
      </c>
      <c r="E71" s="2"/>
      <c r="F71" s="133">
        <f>+'COS 1'!T314</f>
        <v>0.1326</v>
      </c>
      <c r="G71" s="2"/>
      <c r="O71" s="2"/>
      <c r="P71" s="2"/>
      <c r="Q71" s="2"/>
      <c r="R71" s="2"/>
      <c r="S71" s="2"/>
      <c r="T71" s="2"/>
      <c r="U71" s="2"/>
      <c r="V71" s="2"/>
      <c r="W71" s="2"/>
    </row>
    <row r="72" spans="1:23" ht="12.75" customHeight="1">
      <c r="A72" s="2"/>
      <c r="C72" s="2"/>
      <c r="D72" s="5"/>
      <c r="E72" s="2"/>
      <c r="F72" s="6"/>
      <c r="G72" s="2"/>
      <c r="O72" s="2"/>
      <c r="P72" s="2"/>
      <c r="Q72" s="2"/>
      <c r="R72" s="2"/>
      <c r="S72" s="2"/>
      <c r="T72" s="2"/>
      <c r="U72" s="2"/>
      <c r="V72" s="2"/>
      <c r="W72" s="2"/>
    </row>
    <row r="73" spans="1:23" ht="12.75" customHeight="1" thickBot="1">
      <c r="A73" s="2" t="s">
        <v>66</v>
      </c>
      <c r="C73" s="2"/>
      <c r="D73" s="217">
        <f>SUM(D66:D72)</f>
        <v>234450576.09</v>
      </c>
      <c r="E73" s="2"/>
      <c r="F73" s="133">
        <f>SUM(F66:F72)</f>
        <v>1</v>
      </c>
      <c r="G73" s="2"/>
      <c r="O73" s="2"/>
      <c r="P73" s="2"/>
      <c r="Q73" s="2"/>
      <c r="R73" s="2"/>
      <c r="S73" s="2"/>
      <c r="T73" s="2"/>
      <c r="U73" s="2"/>
      <c r="V73" s="2"/>
      <c r="W73" s="2"/>
    </row>
    <row r="74" spans="1:23" ht="12.75" customHeight="1" thickTop="1">
      <c r="A74" s="2"/>
      <c r="B74" s="2"/>
      <c r="C74" s="2"/>
      <c r="D74" s="169"/>
      <c r="E74" s="13"/>
      <c r="F74" s="8"/>
      <c r="G74" s="2"/>
      <c r="O74" s="2"/>
      <c r="P74" s="2"/>
      <c r="Q74" s="2"/>
      <c r="R74" s="2"/>
      <c r="S74" s="2"/>
      <c r="T74" s="2"/>
      <c r="U74" s="2"/>
      <c r="V74" s="2"/>
      <c r="W74" s="2"/>
    </row>
    <row r="75" spans="1:23" ht="15">
      <c r="A75" s="36" t="s">
        <v>369</v>
      </c>
      <c r="B75" s="1"/>
      <c r="C75" s="36"/>
      <c r="D75" s="1"/>
      <c r="E75" s="1"/>
      <c r="F75" s="1"/>
      <c r="G75" s="2"/>
      <c r="O75" s="2"/>
      <c r="P75" s="2"/>
      <c r="Q75" s="2"/>
      <c r="R75" s="2"/>
      <c r="S75" s="2"/>
      <c r="T75" s="2"/>
      <c r="U75" s="2"/>
      <c r="V75" s="2"/>
      <c r="W75" s="2"/>
    </row>
    <row r="76" spans="1:23" ht="15">
      <c r="A76" s="36"/>
      <c r="B76" s="1"/>
      <c r="C76" s="36"/>
      <c r="D76" s="1"/>
      <c r="E76" s="1"/>
      <c r="F76" s="1"/>
      <c r="G76" s="2"/>
      <c r="O76" s="2"/>
      <c r="P76" s="2"/>
      <c r="Q76" s="2"/>
      <c r="R76" s="2"/>
      <c r="S76" s="2"/>
      <c r="T76" s="2"/>
      <c r="U76" s="2"/>
      <c r="V76" s="2"/>
      <c r="W76" s="2"/>
    </row>
    <row r="77" spans="1:23" ht="15">
      <c r="A77" s="1"/>
      <c r="B77" s="1"/>
      <c r="C77" s="1"/>
      <c r="D77" s="1"/>
      <c r="E77" s="1"/>
      <c r="F77" s="1"/>
      <c r="G77" s="2"/>
      <c r="O77" s="2"/>
      <c r="P77" s="2"/>
      <c r="Q77" s="2"/>
      <c r="R77" s="2"/>
      <c r="S77" s="2"/>
      <c r="T77" s="2"/>
      <c r="U77" s="2"/>
      <c r="V77" s="2"/>
      <c r="W77" s="2"/>
    </row>
    <row r="78" spans="1:23" ht="15">
      <c r="A78" s="1" t="s">
        <v>82</v>
      </c>
      <c r="B78" s="1"/>
      <c r="C78" s="1"/>
      <c r="D78" s="1"/>
      <c r="E78" s="1"/>
      <c r="F78" s="1"/>
      <c r="G78" s="2"/>
      <c r="O78" s="2"/>
      <c r="P78" s="2"/>
      <c r="Q78" s="2"/>
      <c r="R78" s="2"/>
      <c r="S78" s="2"/>
      <c r="T78" s="2"/>
      <c r="U78" s="2"/>
      <c r="V78" s="2"/>
      <c r="W78" s="2"/>
    </row>
    <row r="79" spans="1:23" ht="15">
      <c r="A79" s="2"/>
      <c r="B79" s="2"/>
      <c r="C79" s="2"/>
      <c r="D79" s="2"/>
      <c r="E79" s="2"/>
      <c r="F79" s="2"/>
      <c r="G79" s="2"/>
      <c r="H79" s="2"/>
      <c r="I79" s="2"/>
      <c r="J79" s="2"/>
      <c r="K79" s="2"/>
      <c r="L79" s="2"/>
      <c r="M79" s="2"/>
      <c r="N79" s="2"/>
      <c r="O79" s="2"/>
      <c r="P79" s="2"/>
      <c r="Q79" s="2"/>
      <c r="R79" s="2"/>
      <c r="S79" s="2"/>
      <c r="T79" s="2"/>
      <c r="U79" s="133"/>
      <c r="V79" s="2"/>
      <c r="W79" s="2"/>
    </row>
    <row r="80" spans="1:23" ht="15">
      <c r="A80" s="2"/>
      <c r="B80" s="2"/>
      <c r="C80" s="2"/>
      <c r="D80" s="2"/>
      <c r="E80" s="2"/>
      <c r="F80" s="2"/>
      <c r="G80" s="2"/>
      <c r="H80" s="2"/>
      <c r="I80" s="2"/>
      <c r="J80" s="2"/>
      <c r="K80" s="2"/>
      <c r="L80" s="2"/>
      <c r="M80" s="2"/>
      <c r="N80" s="2"/>
      <c r="O80" s="2"/>
      <c r="P80" s="2"/>
      <c r="Q80" s="2"/>
      <c r="R80" s="2"/>
      <c r="S80" s="9"/>
      <c r="T80" s="2"/>
      <c r="U80" s="133"/>
      <c r="V80" s="2"/>
      <c r="W80" s="2"/>
    </row>
    <row r="81" spans="1:23" ht="15">
      <c r="A81" s="2" t="s">
        <v>164</v>
      </c>
      <c r="B81" s="2"/>
      <c r="C81" s="2"/>
      <c r="D81" s="2"/>
      <c r="E81" s="2"/>
      <c r="F81" s="2"/>
      <c r="G81" s="2"/>
      <c r="H81" s="2"/>
      <c r="I81" s="2"/>
      <c r="J81" s="2"/>
      <c r="K81" s="2"/>
      <c r="L81" s="2"/>
      <c r="M81" s="2"/>
      <c r="N81" s="2"/>
      <c r="O81" s="2"/>
      <c r="P81" s="2"/>
      <c r="Q81" s="2"/>
      <c r="R81" s="2"/>
      <c r="S81" s="9"/>
      <c r="T81" s="2"/>
      <c r="U81" s="133"/>
      <c r="V81" s="2"/>
      <c r="W81" s="2"/>
    </row>
    <row r="82" spans="1:23" ht="15">
      <c r="A82" s="2"/>
      <c r="B82" s="2"/>
      <c r="C82" s="2"/>
      <c r="D82" s="2"/>
      <c r="E82" s="2"/>
      <c r="F82" s="2"/>
      <c r="G82" s="2"/>
      <c r="H82" s="2"/>
      <c r="I82" s="2"/>
      <c r="J82" s="2"/>
      <c r="K82" s="2"/>
      <c r="L82" s="2"/>
      <c r="M82" s="2"/>
      <c r="N82" s="2"/>
      <c r="O82" s="2"/>
      <c r="P82" s="2"/>
      <c r="Q82" s="2"/>
      <c r="R82" s="2"/>
      <c r="S82" s="9"/>
      <c r="T82" s="2"/>
      <c r="U82" s="133"/>
      <c r="V82" s="2"/>
      <c r="W82" s="2"/>
    </row>
    <row r="83" spans="1:23" ht="27.75" customHeight="1">
      <c r="A83" s="490" t="s">
        <v>250</v>
      </c>
      <c r="B83" s="490"/>
      <c r="C83" s="490"/>
      <c r="D83" s="490"/>
      <c r="E83" s="490"/>
      <c r="F83" s="490"/>
      <c r="G83" s="2"/>
      <c r="H83" s="2"/>
      <c r="I83" s="2"/>
      <c r="J83" s="2"/>
      <c r="K83" s="2"/>
      <c r="L83" s="2"/>
      <c r="M83" s="2"/>
      <c r="N83" s="2"/>
      <c r="O83" s="2"/>
      <c r="P83" s="2"/>
      <c r="Q83" s="2"/>
      <c r="R83" s="2"/>
      <c r="S83" s="9"/>
      <c r="T83" s="2"/>
      <c r="U83" s="133"/>
      <c r="V83" s="2"/>
      <c r="W83" s="2"/>
    </row>
    <row r="84" spans="1:15" ht="15">
      <c r="A84" s="2"/>
      <c r="B84" s="2"/>
      <c r="C84" s="2"/>
      <c r="D84" s="2"/>
      <c r="E84" s="2"/>
      <c r="F84" s="2"/>
      <c r="G84" s="2"/>
      <c r="H84" s="2"/>
      <c r="I84" s="2"/>
      <c r="J84" s="2"/>
      <c r="K84" s="2"/>
      <c r="L84" s="2"/>
      <c r="M84" s="2"/>
      <c r="N84" s="2"/>
      <c r="O84" s="2"/>
    </row>
    <row r="85" spans="1:15" ht="15">
      <c r="A85" s="2"/>
      <c r="B85" s="2"/>
      <c r="C85" s="2"/>
      <c r="D85" s="11" t="s">
        <v>247</v>
      </c>
      <c r="E85" s="11"/>
      <c r="F85" s="11"/>
      <c r="G85" s="2"/>
      <c r="H85" s="2"/>
      <c r="I85" s="2"/>
      <c r="J85" s="2"/>
      <c r="K85" s="2"/>
      <c r="L85" s="2"/>
      <c r="M85" s="2"/>
      <c r="N85" s="2"/>
      <c r="O85" s="2"/>
    </row>
    <row r="86" spans="1:15" ht="15">
      <c r="A86" s="1" t="s">
        <v>53</v>
      </c>
      <c r="B86" s="36"/>
      <c r="C86" s="2"/>
      <c r="D86" s="11" t="s">
        <v>251</v>
      </c>
      <c r="E86" s="11"/>
      <c r="F86" s="11" t="s">
        <v>55</v>
      </c>
      <c r="G86" s="2"/>
      <c r="H86" s="2"/>
      <c r="I86" s="2"/>
      <c r="J86" s="2"/>
      <c r="K86" s="2"/>
      <c r="L86" s="2"/>
      <c r="M86" s="2"/>
      <c r="N86" s="2"/>
      <c r="O86" s="2"/>
    </row>
    <row r="87" spans="1:15" ht="15">
      <c r="A87" s="1" t="s">
        <v>56</v>
      </c>
      <c r="B87" s="36"/>
      <c r="C87" s="2"/>
      <c r="D87" s="11" t="s">
        <v>252</v>
      </c>
      <c r="E87" s="11"/>
      <c r="F87" s="11" t="s">
        <v>57</v>
      </c>
      <c r="G87" s="2"/>
      <c r="H87" s="2"/>
      <c r="I87" s="2"/>
      <c r="J87" s="2"/>
      <c r="K87" s="2"/>
      <c r="L87" s="2"/>
      <c r="M87" s="2"/>
      <c r="N87" s="2"/>
      <c r="O87" s="2"/>
    </row>
    <row r="88" spans="1:15" ht="15">
      <c r="A88" s="3" t="s">
        <v>58</v>
      </c>
      <c r="B88" s="132"/>
      <c r="C88" s="2"/>
      <c r="D88" s="10" t="s">
        <v>75</v>
      </c>
      <c r="E88" s="11" t="s">
        <v>174</v>
      </c>
      <c r="F88" s="10" t="s">
        <v>60</v>
      </c>
      <c r="G88" s="2"/>
      <c r="H88" s="2"/>
      <c r="I88" s="2"/>
      <c r="J88" s="2"/>
      <c r="K88" s="2"/>
      <c r="L88" s="2"/>
      <c r="M88" s="2"/>
      <c r="N88" s="2"/>
      <c r="O88" s="2"/>
    </row>
    <row r="89" spans="1:15" ht="15">
      <c r="A89" s="2"/>
      <c r="C89" s="2"/>
      <c r="D89" s="2"/>
      <c r="E89" s="2"/>
      <c r="F89" s="133"/>
      <c r="G89" s="2"/>
      <c r="H89" s="2"/>
      <c r="I89" s="2"/>
      <c r="J89" s="2"/>
      <c r="K89" s="2"/>
      <c r="L89" s="2"/>
      <c r="M89" s="2"/>
      <c r="N89" s="2"/>
      <c r="O89" s="2"/>
    </row>
    <row r="90" spans="1:15" ht="15">
      <c r="A90" s="2" t="s">
        <v>61</v>
      </c>
      <c r="C90" s="2"/>
      <c r="D90" s="216">
        <f>+'COS 1'!J315</f>
        <v>133357370.86770576</v>
      </c>
      <c r="E90" s="2"/>
      <c r="F90" s="176">
        <f>+'COS 1'!J316</f>
        <v>0.5287000000000001</v>
      </c>
      <c r="G90" s="2"/>
      <c r="H90" s="2"/>
      <c r="I90" s="2"/>
      <c r="J90" s="2"/>
      <c r="K90" s="2"/>
      <c r="L90" s="2"/>
      <c r="M90" s="2"/>
      <c r="N90" s="2"/>
      <c r="O90" s="2"/>
    </row>
    <row r="91" spans="1:15" ht="15">
      <c r="A91" s="2" t="s">
        <v>194</v>
      </c>
      <c r="C91" s="2"/>
      <c r="D91" s="9">
        <f>+'COS 1'!L315</f>
        <v>53421826.003733866</v>
      </c>
      <c r="E91" s="2"/>
      <c r="F91" s="133">
        <f>+'COS 1'!L316</f>
        <v>0.2118</v>
      </c>
      <c r="G91" s="2"/>
      <c r="H91" s="2"/>
      <c r="I91" s="2"/>
      <c r="J91" s="2"/>
      <c r="K91" s="2"/>
      <c r="L91" s="2"/>
      <c r="M91" s="2"/>
      <c r="N91" s="2"/>
      <c r="O91" s="2"/>
    </row>
    <row r="92" spans="1:15" ht="15">
      <c r="A92" s="2" t="s">
        <v>63</v>
      </c>
      <c r="C92" s="2"/>
      <c r="D92" s="9">
        <f>+'COS 1'!N315</f>
        <v>18301543.285090268</v>
      </c>
      <c r="E92" s="2"/>
      <c r="F92" s="133">
        <f>+'COS 1'!N316</f>
        <v>0.0726</v>
      </c>
      <c r="G92" s="2"/>
      <c r="H92" s="2"/>
      <c r="I92" s="2"/>
      <c r="J92" s="2"/>
      <c r="K92" s="2"/>
      <c r="L92" s="2"/>
      <c r="M92" s="2"/>
      <c r="N92" s="2"/>
      <c r="O92" s="2"/>
    </row>
    <row r="93" spans="1:15" ht="15">
      <c r="A93" s="2" t="s">
        <v>64</v>
      </c>
      <c r="C93" s="2"/>
      <c r="D93" s="9">
        <f>+'COS 1'!P315</f>
        <v>10952473.863902664</v>
      </c>
      <c r="E93" s="2"/>
      <c r="F93" s="133">
        <f>+'COS 1'!P316</f>
        <v>0.0434</v>
      </c>
      <c r="G93" s="2"/>
      <c r="H93" s="2"/>
      <c r="I93" s="2"/>
      <c r="J93" s="2"/>
      <c r="K93" s="2"/>
      <c r="L93" s="2"/>
      <c r="M93" s="2"/>
      <c r="N93" s="2"/>
      <c r="O93" s="2"/>
    </row>
    <row r="94" spans="1:15" ht="15">
      <c r="A94" s="2" t="s">
        <v>427</v>
      </c>
      <c r="C94" s="2"/>
      <c r="D94" s="9">
        <f>+'COS 1'!R315</f>
        <v>7129269.2455804115</v>
      </c>
      <c r="E94" s="2"/>
      <c r="F94" s="133">
        <f>+'COS 1'!R316</f>
        <v>0.0283</v>
      </c>
      <c r="G94" s="2"/>
      <c r="H94" s="2"/>
      <c r="I94" s="2"/>
      <c r="J94" s="2"/>
      <c r="K94" s="2"/>
      <c r="L94" s="2"/>
      <c r="M94" s="2"/>
      <c r="N94" s="2"/>
      <c r="O94" s="2"/>
    </row>
    <row r="95" spans="1:15" ht="15">
      <c r="A95" s="2" t="s">
        <v>99</v>
      </c>
      <c r="C95" s="2"/>
      <c r="D95" s="9">
        <f>+'COS 1'!T315</f>
        <v>29047052.773987025</v>
      </c>
      <c r="E95" s="2"/>
      <c r="F95" s="133">
        <f>+'COS 1'!T316</f>
        <v>0.1152</v>
      </c>
      <c r="G95" s="2"/>
      <c r="H95" s="2"/>
      <c r="I95" s="2"/>
      <c r="J95" s="2"/>
      <c r="K95" s="2"/>
      <c r="L95" s="2"/>
      <c r="M95" s="2"/>
      <c r="N95" s="2"/>
      <c r="O95" s="2"/>
    </row>
    <row r="96" spans="1:15" ht="12.75" customHeight="1">
      <c r="A96" s="2"/>
      <c r="C96" s="2"/>
      <c r="D96" s="5"/>
      <c r="E96" s="2"/>
      <c r="F96" s="6"/>
      <c r="G96" s="2"/>
      <c r="H96" s="2"/>
      <c r="I96" s="2"/>
      <c r="J96" s="2"/>
      <c r="K96" s="2"/>
      <c r="L96" s="2"/>
      <c r="M96" s="2"/>
      <c r="N96" s="2"/>
      <c r="O96" s="2"/>
    </row>
    <row r="97" spans="1:15" ht="12.75" customHeight="1" thickBot="1">
      <c r="A97" s="2" t="s">
        <v>66</v>
      </c>
      <c r="C97" s="2"/>
      <c r="D97" s="217">
        <f>SUM(D90:D96)</f>
        <v>252209536.04</v>
      </c>
      <c r="E97" s="2"/>
      <c r="F97" s="133">
        <f>SUM(F90:F96)</f>
        <v>1</v>
      </c>
      <c r="G97" s="2"/>
      <c r="H97" s="2"/>
      <c r="I97" s="2"/>
      <c r="J97" s="2"/>
      <c r="K97" s="2"/>
      <c r="L97" s="2"/>
      <c r="M97" s="2"/>
      <c r="N97" s="2"/>
      <c r="O97" s="2"/>
    </row>
    <row r="98" spans="1:15" ht="12.75" customHeight="1" thickTop="1">
      <c r="A98" s="2"/>
      <c r="B98" s="2"/>
      <c r="C98" s="2"/>
      <c r="D98" s="169"/>
      <c r="E98" s="13"/>
      <c r="F98" s="8"/>
      <c r="G98" s="2"/>
      <c r="H98" s="2"/>
      <c r="I98" s="2"/>
      <c r="J98" s="2"/>
      <c r="K98" s="2"/>
      <c r="L98" s="2"/>
      <c r="M98" s="2"/>
      <c r="N98" s="2"/>
      <c r="O98" s="2"/>
    </row>
    <row r="99" spans="1:15" ht="12.75" customHeight="1">
      <c r="A99" s="2"/>
      <c r="B99" s="2"/>
      <c r="C99" s="2"/>
      <c r="D99" s="2"/>
      <c r="E99" s="2"/>
      <c r="F99" s="2"/>
      <c r="G99" s="2"/>
      <c r="H99" s="2"/>
      <c r="I99" s="2"/>
      <c r="J99" s="2"/>
      <c r="K99" s="2"/>
      <c r="L99" s="2"/>
      <c r="M99" s="2"/>
      <c r="N99" s="2"/>
      <c r="O99" s="2"/>
    </row>
    <row r="100" spans="1:15" ht="12.75" customHeight="1">
      <c r="A100" s="2" t="s">
        <v>1</v>
      </c>
      <c r="B100" s="2"/>
      <c r="C100" s="2"/>
      <c r="D100" s="2"/>
      <c r="E100" s="2"/>
      <c r="F100" s="2"/>
      <c r="G100" s="2"/>
      <c r="H100" s="2"/>
      <c r="I100" s="2"/>
      <c r="J100" s="2"/>
      <c r="K100" s="2"/>
      <c r="L100" s="2"/>
      <c r="M100" s="2"/>
      <c r="N100" s="2"/>
      <c r="O100" s="2"/>
    </row>
    <row r="101" spans="1:15" ht="12.75" customHeight="1">
      <c r="A101" s="2" t="s">
        <v>253</v>
      </c>
      <c r="B101" s="2"/>
      <c r="C101" s="2"/>
      <c r="D101" s="2"/>
      <c r="E101" s="2"/>
      <c r="F101" s="2"/>
      <c r="G101" s="2"/>
      <c r="H101" s="2"/>
      <c r="I101" s="2"/>
      <c r="J101" s="2"/>
      <c r="K101" s="2"/>
      <c r="L101" s="2"/>
      <c r="M101" s="2"/>
      <c r="N101" s="2"/>
      <c r="O101" s="2"/>
    </row>
    <row r="102" spans="1:15" ht="12.75" customHeight="1">
      <c r="A102" s="2"/>
      <c r="B102" s="2"/>
      <c r="C102" s="2"/>
      <c r="D102" s="2"/>
      <c r="E102" s="2"/>
      <c r="F102" s="2"/>
      <c r="G102" s="2"/>
      <c r="H102" s="2"/>
      <c r="I102" s="2"/>
      <c r="J102" s="2"/>
      <c r="K102" s="2"/>
      <c r="L102" s="2"/>
      <c r="M102" s="2"/>
      <c r="N102" s="2"/>
      <c r="O102" s="2"/>
    </row>
    <row r="103" spans="1:15" ht="29.25" customHeight="1">
      <c r="A103" s="490" t="s">
        <v>254</v>
      </c>
      <c r="B103" s="490"/>
      <c r="C103" s="490"/>
      <c r="D103" s="490"/>
      <c r="E103" s="490"/>
      <c r="F103" s="490"/>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1" t="s">
        <v>53</v>
      </c>
      <c r="B105" s="36"/>
      <c r="C105" s="2"/>
      <c r="D105" s="11" t="s">
        <v>255</v>
      </c>
      <c r="E105" s="11"/>
      <c r="F105" s="11" t="s">
        <v>55</v>
      </c>
      <c r="G105" s="2"/>
      <c r="H105" s="2"/>
      <c r="I105" s="2"/>
      <c r="J105" s="2"/>
      <c r="K105" s="2"/>
      <c r="L105" s="2"/>
      <c r="M105" s="2"/>
      <c r="N105" s="2"/>
      <c r="O105" s="2"/>
    </row>
    <row r="106" spans="1:15" ht="15">
      <c r="A106" s="1" t="s">
        <v>56</v>
      </c>
      <c r="B106" s="36"/>
      <c r="C106" s="2"/>
      <c r="D106" s="11" t="s">
        <v>256</v>
      </c>
      <c r="E106" s="11"/>
      <c r="F106" s="11" t="s">
        <v>57</v>
      </c>
      <c r="G106" s="2"/>
      <c r="H106" s="2"/>
      <c r="I106" s="2"/>
      <c r="J106" s="2"/>
      <c r="K106" s="2"/>
      <c r="L106" s="2"/>
      <c r="M106" s="2"/>
      <c r="N106" s="2"/>
      <c r="O106" s="2"/>
    </row>
    <row r="107" spans="1:15" ht="15">
      <c r="A107" s="3" t="s">
        <v>58</v>
      </c>
      <c r="B107" s="132"/>
      <c r="C107" s="2"/>
      <c r="D107" s="10" t="s">
        <v>75</v>
      </c>
      <c r="E107" s="11" t="s">
        <v>174</v>
      </c>
      <c r="F107" s="10" t="s">
        <v>60</v>
      </c>
      <c r="G107" s="2"/>
      <c r="H107" s="2"/>
      <c r="I107" s="2"/>
      <c r="J107" s="2"/>
      <c r="K107" s="2"/>
      <c r="L107" s="2"/>
      <c r="M107" s="2"/>
      <c r="N107" s="2"/>
      <c r="O107" s="2"/>
    </row>
    <row r="108" spans="1:15" ht="15">
      <c r="A108" s="2"/>
      <c r="C108" s="2"/>
      <c r="D108" s="2"/>
      <c r="E108" s="2"/>
      <c r="F108" s="133"/>
      <c r="G108" s="2"/>
      <c r="H108" s="2"/>
      <c r="I108" s="2"/>
      <c r="J108" s="2"/>
      <c r="K108" s="2"/>
      <c r="L108" s="2"/>
      <c r="M108" s="2"/>
      <c r="N108" s="2"/>
      <c r="O108" s="2"/>
    </row>
    <row r="109" spans="1:15" ht="15">
      <c r="A109" s="2" t="s">
        <v>61</v>
      </c>
      <c r="C109" s="2"/>
      <c r="D109" s="216">
        <f>+'COS 1'!J317</f>
        <v>29594028.42941809</v>
      </c>
      <c r="E109" s="2"/>
      <c r="F109" s="176">
        <f>+'COS 1'!J318</f>
        <v>0.5574</v>
      </c>
      <c r="G109" s="2"/>
      <c r="H109" s="2"/>
      <c r="I109" s="2"/>
      <c r="J109" s="2"/>
      <c r="K109" s="2"/>
      <c r="L109" s="2"/>
      <c r="M109" s="2"/>
      <c r="N109" s="2"/>
      <c r="O109" s="2"/>
    </row>
    <row r="110" spans="1:15" ht="15">
      <c r="A110" s="2" t="s">
        <v>194</v>
      </c>
      <c r="C110" s="2"/>
      <c r="D110" s="9">
        <f>+'COS 1'!L317</f>
        <v>10954993.552705951</v>
      </c>
      <c r="E110" s="2"/>
      <c r="F110" s="133">
        <f>+'COS 1'!L318</f>
        <v>0.2063</v>
      </c>
      <c r="G110" s="2"/>
      <c r="H110" s="2"/>
      <c r="I110" s="2"/>
      <c r="J110" s="2"/>
      <c r="K110" s="2"/>
      <c r="L110" s="2"/>
      <c r="M110" s="2"/>
      <c r="N110" s="2"/>
      <c r="O110" s="2"/>
    </row>
    <row r="111" spans="1:15" ht="15">
      <c r="A111" s="2" t="s">
        <v>63</v>
      </c>
      <c r="C111" s="2"/>
      <c r="D111" s="9">
        <f>+'COS 1'!N317</f>
        <v>3657495.9629802173</v>
      </c>
      <c r="E111" s="2"/>
      <c r="F111" s="133">
        <f>+'COS 1'!N318</f>
        <v>0.0689</v>
      </c>
      <c r="G111" s="2"/>
      <c r="H111" s="2"/>
      <c r="I111" s="2"/>
      <c r="J111" s="2"/>
      <c r="K111" s="2"/>
      <c r="L111" s="2"/>
      <c r="M111" s="2"/>
      <c r="N111" s="2"/>
      <c r="O111" s="2"/>
    </row>
    <row r="112" spans="1:15" ht="15">
      <c r="A112" s="2" t="s">
        <v>64</v>
      </c>
      <c r="C112" s="2"/>
      <c r="D112" s="9">
        <f>+'COS 1'!P317</f>
        <v>2210873.4662737213</v>
      </c>
      <c r="E112" s="2"/>
      <c r="F112" s="133">
        <f>+'COS 1'!P318</f>
        <v>0.0416</v>
      </c>
      <c r="G112" s="2"/>
      <c r="H112" s="2"/>
      <c r="I112" s="2"/>
      <c r="J112" s="2"/>
      <c r="K112" s="2"/>
      <c r="L112" s="2"/>
      <c r="M112" s="2"/>
      <c r="N112" s="2"/>
      <c r="O112" s="2"/>
    </row>
    <row r="113" spans="1:15" ht="15">
      <c r="A113" s="2" t="s">
        <v>427</v>
      </c>
      <c r="C113" s="2"/>
      <c r="D113" s="9">
        <f>+'COS 1'!R317</f>
        <v>1374754.5977240002</v>
      </c>
      <c r="E113" s="2"/>
      <c r="F113" s="133">
        <f>+'COS 1'!R318</f>
        <v>0.0259</v>
      </c>
      <c r="G113" s="2"/>
      <c r="H113" s="2"/>
      <c r="I113" s="2"/>
      <c r="J113" s="2"/>
      <c r="K113" s="2"/>
      <c r="L113" s="2"/>
      <c r="M113" s="2"/>
      <c r="N113" s="2"/>
      <c r="O113" s="2"/>
    </row>
    <row r="114" spans="1:15" ht="15">
      <c r="A114" s="2" t="s">
        <v>99</v>
      </c>
      <c r="C114" s="2"/>
      <c r="D114" s="9">
        <f>+'COS 1'!T317</f>
        <v>5301742.650898021</v>
      </c>
      <c r="E114" s="2"/>
      <c r="F114" s="133">
        <f>+'COS 1'!T318</f>
        <v>0.0999</v>
      </c>
      <c r="G114" s="2"/>
      <c r="H114" s="2"/>
      <c r="I114" s="2"/>
      <c r="J114" s="2"/>
      <c r="K114" s="2"/>
      <c r="L114" s="2"/>
      <c r="M114" s="2"/>
      <c r="N114" s="2"/>
      <c r="O114" s="2"/>
    </row>
    <row r="115" spans="1:15" ht="12.75" customHeight="1">
      <c r="A115" s="2"/>
      <c r="C115" s="2"/>
      <c r="D115" s="5"/>
      <c r="E115" s="2"/>
      <c r="F115" s="6"/>
      <c r="G115" s="2"/>
      <c r="H115" s="2"/>
      <c r="I115" s="2"/>
      <c r="J115" s="2"/>
      <c r="K115" s="2"/>
      <c r="L115" s="2"/>
      <c r="M115" s="2"/>
      <c r="N115" s="2"/>
      <c r="O115" s="2"/>
    </row>
    <row r="116" spans="1:21" ht="12.75" customHeight="1" thickBot="1">
      <c r="A116" s="2" t="s">
        <v>66</v>
      </c>
      <c r="C116" s="2"/>
      <c r="D116" s="217">
        <f>SUM(D109:D115)</f>
        <v>53093888.66</v>
      </c>
      <c r="E116" s="2"/>
      <c r="F116" s="133">
        <f>SUM(F109:F115)</f>
        <v>1</v>
      </c>
      <c r="G116" s="2"/>
      <c r="H116" s="2"/>
      <c r="I116" s="2"/>
      <c r="J116" s="2"/>
      <c r="K116" s="2"/>
      <c r="L116" s="2"/>
      <c r="M116" s="2"/>
      <c r="N116" s="2"/>
      <c r="O116" s="2"/>
      <c r="U116" s="15"/>
    </row>
    <row r="117" spans="1:15" ht="12.75" customHeight="1" thickTop="1">
      <c r="A117" s="2"/>
      <c r="B117" s="2"/>
      <c r="C117" s="2"/>
      <c r="D117" s="169"/>
      <c r="E117" s="13"/>
      <c r="F117" s="8"/>
      <c r="G117" s="2"/>
      <c r="H117" s="2"/>
      <c r="I117" s="2"/>
      <c r="J117" s="2"/>
      <c r="K117" s="2"/>
      <c r="L117" s="2"/>
      <c r="M117" s="2"/>
      <c r="N117" s="2"/>
      <c r="O117" s="2"/>
    </row>
    <row r="118" spans="1:15" ht="12.75" customHeight="1">
      <c r="A118" s="2"/>
      <c r="B118" s="2"/>
      <c r="C118" s="2"/>
      <c r="D118" s="2"/>
      <c r="E118" s="2"/>
      <c r="F118" s="2"/>
      <c r="G118" s="2"/>
      <c r="H118" s="2"/>
      <c r="I118" s="2"/>
      <c r="J118" s="2"/>
      <c r="K118" s="2"/>
      <c r="L118" s="2"/>
      <c r="M118" s="2"/>
      <c r="N118" s="2"/>
      <c r="O118" s="2"/>
    </row>
    <row r="119" spans="1:15" ht="12.75" customHeight="1">
      <c r="A119" s="36" t="s">
        <v>369</v>
      </c>
      <c r="B119" s="1"/>
      <c r="C119" s="36"/>
      <c r="D119" s="1"/>
      <c r="E119" s="1"/>
      <c r="F119" s="1"/>
      <c r="G119" s="2"/>
      <c r="H119" s="2"/>
      <c r="I119" s="2"/>
      <c r="J119" s="2"/>
      <c r="K119" s="2"/>
      <c r="L119" s="2"/>
      <c r="M119" s="2"/>
      <c r="N119" s="2"/>
      <c r="O119" s="2"/>
    </row>
    <row r="120" spans="1:15" ht="12.75" customHeight="1">
      <c r="A120" s="36"/>
      <c r="B120" s="1"/>
      <c r="C120" s="36"/>
      <c r="D120" s="1"/>
      <c r="E120" s="1"/>
      <c r="F120" s="1"/>
      <c r="G120" s="2"/>
      <c r="H120" s="2"/>
      <c r="I120" s="2"/>
      <c r="J120" s="2"/>
      <c r="K120" s="2"/>
      <c r="L120" s="2"/>
      <c r="M120" s="2"/>
      <c r="N120" s="2"/>
      <c r="O120" s="2"/>
    </row>
    <row r="121" spans="1:15" ht="12.75" customHeight="1">
      <c r="A121" s="1"/>
      <c r="B121" s="1"/>
      <c r="C121" s="1"/>
      <c r="D121" s="1"/>
      <c r="E121" s="1"/>
      <c r="F121" s="1"/>
      <c r="G121" s="2"/>
      <c r="H121" s="2"/>
      <c r="I121" s="2"/>
      <c r="J121" s="2"/>
      <c r="K121" s="2"/>
      <c r="L121" s="2"/>
      <c r="M121" s="2"/>
      <c r="N121" s="2"/>
      <c r="O121" s="2"/>
    </row>
    <row r="122" spans="1:15" ht="12.75" customHeight="1">
      <c r="A122" s="1" t="s">
        <v>82</v>
      </c>
      <c r="B122" s="1"/>
      <c r="C122" s="1"/>
      <c r="D122" s="1"/>
      <c r="E122" s="1"/>
      <c r="F122" s="1"/>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ustomHeight="1">
      <c r="A124" s="102" t="s">
        <v>304</v>
      </c>
      <c r="B124" s="102"/>
      <c r="C124" s="102"/>
      <c r="D124" s="102"/>
      <c r="E124" s="102"/>
      <c r="F124" s="102"/>
      <c r="G124" s="102"/>
      <c r="H124" s="2"/>
      <c r="I124" s="2"/>
      <c r="J124" s="2"/>
      <c r="K124" s="2"/>
      <c r="L124" s="2"/>
      <c r="M124" s="2"/>
      <c r="N124" s="2"/>
      <c r="O124" s="2"/>
    </row>
    <row r="125" spans="1:15" ht="15">
      <c r="A125" s="102"/>
      <c r="B125" s="102"/>
      <c r="C125" s="102"/>
      <c r="D125" s="102"/>
      <c r="E125" s="102"/>
      <c r="F125" s="102"/>
      <c r="G125" s="102"/>
      <c r="H125" s="2"/>
      <c r="I125" s="2"/>
      <c r="J125" s="2"/>
      <c r="K125" s="2"/>
      <c r="L125" s="2"/>
      <c r="M125" s="2"/>
      <c r="N125" s="2"/>
      <c r="O125" s="2"/>
    </row>
    <row r="126" spans="1:15" ht="27.75" customHeight="1">
      <c r="A126" s="503" t="s">
        <v>314</v>
      </c>
      <c r="B126" s="503"/>
      <c r="C126" s="503"/>
      <c r="D126" s="503"/>
      <c r="E126" s="503"/>
      <c r="F126" s="503"/>
      <c r="G126" s="358"/>
      <c r="H126" s="2"/>
      <c r="I126" s="2"/>
      <c r="J126" s="2"/>
      <c r="K126" s="2"/>
      <c r="L126" s="2"/>
      <c r="M126" s="2"/>
      <c r="N126" s="2"/>
      <c r="O126" s="2"/>
    </row>
    <row r="127" spans="1:7" ht="15">
      <c r="A127" s="102"/>
      <c r="B127" s="102"/>
      <c r="C127" s="102"/>
      <c r="D127" s="102"/>
      <c r="E127" s="102"/>
      <c r="F127" s="102"/>
      <c r="G127" s="102"/>
    </row>
    <row r="128" spans="1:7" ht="15">
      <c r="A128" s="100" t="s">
        <v>53</v>
      </c>
      <c r="B128" s="99"/>
      <c r="C128" s="102"/>
      <c r="D128" s="103" t="s">
        <v>172</v>
      </c>
      <c r="E128" s="103"/>
      <c r="F128" s="103" t="s">
        <v>55</v>
      </c>
      <c r="G128" s="102"/>
    </row>
    <row r="129" spans="1:7" ht="15">
      <c r="A129" s="100" t="s">
        <v>56</v>
      </c>
      <c r="B129" s="99"/>
      <c r="C129" s="102"/>
      <c r="D129" s="103" t="s">
        <v>173</v>
      </c>
      <c r="E129" s="103"/>
      <c r="F129" s="103" t="s">
        <v>57</v>
      </c>
      <c r="G129" s="102"/>
    </row>
    <row r="130" spans="1:7" ht="15">
      <c r="A130" s="104" t="s">
        <v>58</v>
      </c>
      <c r="B130" s="105"/>
      <c r="C130" s="102"/>
      <c r="D130" s="106" t="s">
        <v>75</v>
      </c>
      <c r="E130" s="103" t="s">
        <v>174</v>
      </c>
      <c r="F130" s="106" t="s">
        <v>60</v>
      </c>
      <c r="G130" s="102"/>
    </row>
    <row r="131" spans="1:7" ht="15">
      <c r="A131" s="102"/>
      <c r="B131" s="101"/>
      <c r="C131" s="102"/>
      <c r="D131" s="102"/>
      <c r="E131" s="102"/>
      <c r="F131" s="108"/>
      <c r="G131" s="102"/>
    </row>
    <row r="132" spans="1:7" ht="15">
      <c r="A132" s="2" t="s">
        <v>61</v>
      </c>
      <c r="B132" s="101"/>
      <c r="C132" s="102"/>
      <c r="D132" s="107">
        <f>Meters!$G$32</f>
        <v>79441</v>
      </c>
      <c r="E132" s="102"/>
      <c r="F132" s="362">
        <f>+ROUND(D132/$D$138,4)</f>
        <v>0.7774</v>
      </c>
      <c r="G132" s="102"/>
    </row>
    <row r="133" spans="1:7" ht="15">
      <c r="A133" s="2" t="s">
        <v>194</v>
      </c>
      <c r="B133" s="101"/>
      <c r="C133" s="102"/>
      <c r="D133" s="107">
        <f>Meters!$K$32</f>
        <v>18268</v>
      </c>
      <c r="E133" s="102"/>
      <c r="F133" s="362">
        <f>+ROUND(D133/$D$138,4)</f>
        <v>0.1788</v>
      </c>
      <c r="G133" s="102"/>
    </row>
    <row r="134" spans="1:7" ht="15">
      <c r="A134" s="2" t="s">
        <v>63</v>
      </c>
      <c r="B134" s="101"/>
      <c r="C134" s="102"/>
      <c r="D134" s="107">
        <f>Meters!$O$32</f>
        <v>1407</v>
      </c>
      <c r="E134" s="102"/>
      <c r="F134" s="362">
        <f>+ROUND(D134/$D$138,4)</f>
        <v>0.0138</v>
      </c>
      <c r="G134" s="102"/>
    </row>
    <row r="135" spans="1:7" ht="15">
      <c r="A135" s="2" t="s">
        <v>64</v>
      </c>
      <c r="B135" s="101"/>
      <c r="C135" s="102"/>
      <c r="D135" s="107">
        <f>Meters!$S$32</f>
        <v>3069</v>
      </c>
      <c r="E135" s="102"/>
      <c r="F135" s="362">
        <f>+ROUND(D135/$D$138,4)</f>
        <v>0.03</v>
      </c>
      <c r="G135" s="102"/>
    </row>
    <row r="136" spans="1:7" ht="15">
      <c r="A136" s="2" t="s">
        <v>427</v>
      </c>
      <c r="B136" s="101"/>
      <c r="C136" s="102"/>
      <c r="D136" s="107">
        <v>0</v>
      </c>
      <c r="E136" s="102"/>
      <c r="F136" s="363">
        <f>+ROUND(D136/$D$138,4)</f>
        <v>0</v>
      </c>
      <c r="G136" s="102"/>
    </row>
    <row r="137" spans="1:7" ht="15">
      <c r="A137" s="102"/>
      <c r="B137" s="101"/>
      <c r="C137" s="102"/>
      <c r="D137" s="109"/>
      <c r="E137" s="102"/>
      <c r="F137" s="185"/>
      <c r="G137" s="102"/>
    </row>
    <row r="138" spans="1:7" ht="15.75" thickBot="1">
      <c r="A138" s="102" t="s">
        <v>66</v>
      </c>
      <c r="B138" s="101"/>
      <c r="C138" s="102"/>
      <c r="D138" s="369">
        <f>SUM(D132:D137)</f>
        <v>102185</v>
      </c>
      <c r="E138" s="102"/>
      <c r="F138" s="186">
        <f>SUM(F132:F137)</f>
        <v>1</v>
      </c>
      <c r="G138" s="102"/>
    </row>
    <row r="139" ht="15.75" thickTop="1"/>
  </sheetData>
  <mergeCells count="6">
    <mergeCell ref="A126:F126"/>
    <mergeCell ref="A103:F103"/>
    <mergeCell ref="A10:F10"/>
    <mergeCell ref="A39:F39"/>
    <mergeCell ref="A59:F59"/>
    <mergeCell ref="A83:F83"/>
  </mergeCells>
  <printOptions horizontalCentered="1"/>
  <pageMargins left="1" right="1" top="1" bottom="0.5" header="0.5" footer="0.5"/>
  <pageSetup fitToHeight="0" horizontalDpi="600" verticalDpi="600" orientation="portrait" scale="94" r:id="rId1"/>
  <rowBreaks count="3" manualBreakCount="3">
    <brk id="30" max="255" man="1"/>
    <brk id="74" max="255" man="1"/>
    <brk id="118" max="255" man="1"/>
  </rowBreaks>
</worksheet>
</file>

<file path=xl/worksheets/sheet14.xml><?xml version="1.0" encoding="utf-8"?>
<worksheet xmlns="http://schemas.openxmlformats.org/spreadsheetml/2006/main" xmlns:r="http://schemas.openxmlformats.org/officeDocument/2006/relationships">
  <dimension ref="B1:R24"/>
  <sheetViews>
    <sheetView workbookViewId="0" topLeftCell="A1">
      <selection activeCell="L11" sqref="L11"/>
    </sheetView>
  </sheetViews>
  <sheetFormatPr defaultColWidth="8.88671875" defaultRowHeight="12.75"/>
  <cols>
    <col min="1" max="1" width="2.99609375" style="37" customWidth="1"/>
    <col min="2" max="2" width="11.5546875" style="37" customWidth="1"/>
    <col min="3" max="3" width="2.5546875" style="37" customWidth="1"/>
    <col min="4" max="4" width="15.3359375" style="37" customWidth="1"/>
    <col min="5" max="5" width="2.99609375" style="37" customWidth="1"/>
    <col min="6" max="6" width="11.4453125" style="37" customWidth="1"/>
    <col min="7" max="7" width="13.88671875" style="37" customWidth="1"/>
    <col min="8" max="8" width="14.99609375" style="37" customWidth="1"/>
    <col min="9" max="9" width="1.5625" style="37" customWidth="1"/>
    <col min="10" max="11" width="8.88671875" style="37" customWidth="1"/>
    <col min="12" max="12" width="10.4453125" style="37" bestFit="1" customWidth="1"/>
    <col min="13" max="16384" width="8.88671875" style="37" customWidth="1"/>
  </cols>
  <sheetData>
    <row r="1" spans="2:18" ht="15">
      <c r="B1" s="510" t="s">
        <v>369</v>
      </c>
      <c r="C1" s="510"/>
      <c r="D1" s="510"/>
      <c r="E1" s="510"/>
      <c r="F1" s="510"/>
      <c r="G1" s="510"/>
      <c r="H1" s="510"/>
      <c r="I1" s="287"/>
      <c r="J1" s="287"/>
      <c r="K1" s="287"/>
      <c r="L1" s="287"/>
      <c r="M1" s="287"/>
      <c r="N1" s="287"/>
      <c r="O1" s="287"/>
      <c r="P1" s="287"/>
      <c r="Q1" s="287"/>
      <c r="R1" s="287"/>
    </row>
    <row r="2" spans="2:18" ht="15">
      <c r="B2" s="510"/>
      <c r="C2" s="510"/>
      <c r="D2" s="510"/>
      <c r="E2" s="510"/>
      <c r="F2" s="510"/>
      <c r="G2" s="510"/>
      <c r="H2" s="510"/>
      <c r="I2" s="287"/>
      <c r="J2" s="287"/>
      <c r="K2" s="287"/>
      <c r="L2" s="287"/>
      <c r="M2" s="287"/>
      <c r="N2" s="287"/>
      <c r="O2" s="287"/>
      <c r="P2" s="287"/>
      <c r="Q2" s="287"/>
      <c r="R2" s="287"/>
    </row>
    <row r="3" spans="2:18" ht="15">
      <c r="B3" s="287"/>
      <c r="C3" s="287"/>
      <c r="D3" s="287"/>
      <c r="E3" s="287"/>
      <c r="F3" s="287"/>
      <c r="G3" s="287"/>
      <c r="H3" s="287"/>
      <c r="I3" s="287"/>
      <c r="J3" s="287"/>
      <c r="K3" s="287"/>
      <c r="L3" s="287"/>
      <c r="M3" s="287"/>
      <c r="N3" s="287"/>
      <c r="O3" s="287"/>
      <c r="P3" s="287"/>
      <c r="Q3" s="287"/>
      <c r="R3" s="287"/>
    </row>
    <row r="4" spans="2:18" ht="15">
      <c r="B4" s="510" t="s">
        <v>298</v>
      </c>
      <c r="C4" s="510"/>
      <c r="D4" s="510"/>
      <c r="E4" s="510"/>
      <c r="F4" s="510"/>
      <c r="G4" s="510"/>
      <c r="H4" s="510"/>
      <c r="I4" s="287"/>
      <c r="J4" s="287"/>
      <c r="K4" s="287"/>
      <c r="L4" s="287"/>
      <c r="M4" s="287"/>
      <c r="N4" s="287"/>
      <c r="O4" s="287"/>
      <c r="P4" s="287"/>
      <c r="Q4" s="287"/>
      <c r="R4" s="287"/>
    </row>
    <row r="5" spans="2:18" ht="15">
      <c r="B5" s="510" t="s">
        <v>29</v>
      </c>
      <c r="C5" s="510"/>
      <c r="D5" s="510"/>
      <c r="E5" s="510"/>
      <c r="F5" s="510"/>
      <c r="G5" s="510"/>
      <c r="H5" s="510"/>
      <c r="I5" s="287"/>
      <c r="J5" s="287"/>
      <c r="K5" s="287"/>
      <c r="L5" s="287"/>
      <c r="M5" s="287"/>
      <c r="N5" s="287"/>
      <c r="O5" s="287"/>
      <c r="P5" s="287"/>
      <c r="Q5" s="287"/>
      <c r="R5" s="287"/>
    </row>
    <row r="6" spans="2:18" ht="15">
      <c r="B6" s="283"/>
      <c r="C6" s="283"/>
      <c r="D6" s="283"/>
      <c r="E6" s="283"/>
      <c r="F6" s="283"/>
      <c r="G6" s="283"/>
      <c r="H6" s="283"/>
      <c r="I6" s="283"/>
      <c r="J6" s="283"/>
      <c r="K6" s="283"/>
      <c r="L6" s="283"/>
      <c r="M6" s="283"/>
      <c r="N6" s="283"/>
      <c r="O6" s="283"/>
      <c r="P6" s="283"/>
      <c r="Q6" s="283"/>
      <c r="R6" s="283"/>
    </row>
    <row r="7" spans="2:18" ht="15">
      <c r="B7" s="283"/>
      <c r="C7" s="283"/>
      <c r="D7" s="283" t="s">
        <v>52</v>
      </c>
      <c r="E7" s="283"/>
      <c r="F7" s="509" t="s">
        <v>299</v>
      </c>
      <c r="G7" s="509"/>
      <c r="H7" s="509"/>
      <c r="I7" s="486"/>
      <c r="J7" s="508"/>
      <c r="K7" s="508"/>
      <c r="L7" s="508"/>
      <c r="M7" s="283"/>
      <c r="N7" s="283"/>
      <c r="O7" s="283"/>
      <c r="P7" s="283"/>
      <c r="Q7" s="283"/>
      <c r="R7" s="283"/>
    </row>
    <row r="8" spans="2:18" ht="15">
      <c r="B8" s="283"/>
      <c r="C8" s="283"/>
      <c r="D8" s="283" t="s">
        <v>300</v>
      </c>
      <c r="E8" s="283"/>
      <c r="F8" s="283"/>
      <c r="G8" s="283" t="s">
        <v>301</v>
      </c>
      <c r="H8" s="283" t="s">
        <v>302</v>
      </c>
      <c r="I8" s="486"/>
      <c r="J8" s="486"/>
      <c r="K8" s="486"/>
      <c r="L8" s="486"/>
      <c r="M8" s="283"/>
      <c r="N8" s="283"/>
      <c r="O8" s="283"/>
      <c r="P8" s="283"/>
      <c r="Q8" s="283"/>
      <c r="R8" s="283"/>
    </row>
    <row r="9" spans="2:12" ht="15">
      <c r="B9" s="284" t="s">
        <v>303</v>
      </c>
      <c r="C9" s="281"/>
      <c r="D9" s="284" t="s">
        <v>305</v>
      </c>
      <c r="E9" s="281"/>
      <c r="F9" s="284" t="s">
        <v>306</v>
      </c>
      <c r="G9" s="284" t="s">
        <v>122</v>
      </c>
      <c r="H9" s="284" t="s">
        <v>307</v>
      </c>
      <c r="I9" s="359"/>
      <c r="J9" s="359"/>
      <c r="K9" s="359"/>
      <c r="L9" s="359"/>
    </row>
    <row r="10" spans="2:12" ht="15">
      <c r="B10" s="285" t="s">
        <v>58</v>
      </c>
      <c r="C10" s="281"/>
      <c r="D10" s="286" t="s">
        <v>75</v>
      </c>
      <c r="E10" s="281"/>
      <c r="F10" s="285" t="s">
        <v>60</v>
      </c>
      <c r="G10" s="285" t="s">
        <v>77</v>
      </c>
      <c r="H10" s="285" t="s">
        <v>89</v>
      </c>
      <c r="I10" s="359"/>
      <c r="J10" s="487"/>
      <c r="K10" s="487"/>
      <c r="L10" s="487"/>
    </row>
    <row r="11" spans="2:12" ht="15">
      <c r="B11" s="285"/>
      <c r="C11" s="281"/>
      <c r="D11" s="286"/>
      <c r="E11" s="281"/>
      <c r="F11" s="285"/>
      <c r="G11" s="285"/>
      <c r="H11" s="285"/>
      <c r="I11" s="359"/>
      <c r="J11" s="406"/>
      <c r="K11" s="406"/>
      <c r="L11" s="406"/>
    </row>
    <row r="12" spans="2:12" ht="15">
      <c r="B12" s="281">
        <v>1998</v>
      </c>
      <c r="C12" s="281"/>
      <c r="D12" s="455">
        <v>32.1</v>
      </c>
      <c r="E12" s="281"/>
      <c r="F12" s="454">
        <v>46.6</v>
      </c>
      <c r="G12" s="360">
        <f aca="true" t="shared" si="0" ref="G12:G21">+F12/D12</f>
        <v>1.4517133956386292</v>
      </c>
      <c r="H12" s="451">
        <v>36051</v>
      </c>
      <c r="I12" s="359"/>
      <c r="J12" s="406"/>
      <c r="K12" s="406"/>
      <c r="L12" s="406"/>
    </row>
    <row r="13" spans="2:9" ht="15">
      <c r="B13" s="281">
        <v>1999</v>
      </c>
      <c r="C13" s="281"/>
      <c r="D13" s="455">
        <v>34.7</v>
      </c>
      <c r="E13" s="281"/>
      <c r="F13" s="454">
        <v>51.2</v>
      </c>
      <c r="G13" s="360">
        <f t="shared" si="0"/>
        <v>1.4755043227665705</v>
      </c>
      <c r="H13" s="451">
        <v>36367</v>
      </c>
      <c r="I13" s="281"/>
    </row>
    <row r="14" spans="2:8" ht="15">
      <c r="B14" s="281">
        <v>2000</v>
      </c>
      <c r="D14" s="456">
        <v>33</v>
      </c>
      <c r="E14" s="288"/>
      <c r="F14" s="453">
        <v>48.5</v>
      </c>
      <c r="G14" s="360">
        <f t="shared" si="0"/>
        <v>1.4696969696969697</v>
      </c>
      <c r="H14" s="452">
        <v>36690</v>
      </c>
    </row>
    <row r="15" spans="2:8" ht="15">
      <c r="B15" s="281">
        <f aca="true" t="shared" si="1" ref="B15:B23">+B14+1</f>
        <v>2001</v>
      </c>
      <c r="D15" s="456">
        <v>33.3</v>
      </c>
      <c r="E15" s="288"/>
      <c r="F15" s="453">
        <v>47.1</v>
      </c>
      <c r="G15" s="360">
        <f t="shared" si="0"/>
        <v>1.4144144144144146</v>
      </c>
      <c r="H15" s="452">
        <v>37070</v>
      </c>
    </row>
    <row r="16" spans="2:8" ht="15">
      <c r="B16" s="281">
        <f t="shared" si="1"/>
        <v>2002</v>
      </c>
      <c r="D16" s="456">
        <v>36.4</v>
      </c>
      <c r="E16" s="288"/>
      <c r="F16" s="453">
        <v>57.3</v>
      </c>
      <c r="G16" s="360">
        <f t="shared" si="0"/>
        <v>1.5741758241758241</v>
      </c>
      <c r="H16" s="452">
        <v>37512</v>
      </c>
    </row>
    <row r="17" spans="2:12" ht="15">
      <c r="B17" s="281">
        <f t="shared" si="1"/>
        <v>2003</v>
      </c>
      <c r="D17" s="456">
        <v>26.8</v>
      </c>
      <c r="E17" s="288"/>
      <c r="F17" s="453">
        <v>38.4</v>
      </c>
      <c r="G17" s="360">
        <f t="shared" si="0"/>
        <v>1.4328358208955223</v>
      </c>
      <c r="H17" s="452">
        <v>37470</v>
      </c>
      <c r="J17" s="288"/>
      <c r="K17" s="288"/>
      <c r="L17" s="289"/>
    </row>
    <row r="18" spans="2:12" ht="15">
      <c r="B18" s="281">
        <f t="shared" si="1"/>
        <v>2004</v>
      </c>
      <c r="D18" s="456">
        <v>27.9</v>
      </c>
      <c r="E18" s="288"/>
      <c r="F18" s="453">
        <v>36.9</v>
      </c>
      <c r="G18" s="360">
        <f t="shared" si="0"/>
        <v>1.3225806451612903</v>
      </c>
      <c r="H18" s="452">
        <v>38174</v>
      </c>
      <c r="J18" s="467"/>
      <c r="K18" s="289"/>
      <c r="L18" s="289"/>
    </row>
    <row r="19" spans="2:12" ht="15">
      <c r="B19" s="281">
        <f t="shared" si="1"/>
        <v>2005</v>
      </c>
      <c r="D19" s="456">
        <v>29.18</v>
      </c>
      <c r="E19" s="288"/>
      <c r="F19" s="453">
        <v>44.476</v>
      </c>
      <c r="G19" s="360">
        <f t="shared" si="0"/>
        <v>1.5241946538725155</v>
      </c>
      <c r="H19" s="452">
        <v>38568</v>
      </c>
      <c r="J19" s="467"/>
      <c r="K19" s="289"/>
      <c r="L19" s="289"/>
    </row>
    <row r="20" spans="2:11" ht="15">
      <c r="B20" s="281">
        <f t="shared" si="1"/>
        <v>2006</v>
      </c>
      <c r="D20" s="456">
        <v>27.7</v>
      </c>
      <c r="F20" s="453">
        <v>40.3</v>
      </c>
      <c r="G20" s="360">
        <f t="shared" si="0"/>
        <v>1.4548736462093863</v>
      </c>
      <c r="H20" s="452">
        <v>38952</v>
      </c>
      <c r="J20" s="467"/>
      <c r="K20" s="289"/>
    </row>
    <row r="21" spans="2:11" ht="15">
      <c r="B21" s="281">
        <f t="shared" si="1"/>
        <v>2007</v>
      </c>
      <c r="D21" s="456">
        <v>31.07</v>
      </c>
      <c r="F21" s="453">
        <v>48.755</v>
      </c>
      <c r="G21" s="360">
        <f t="shared" si="0"/>
        <v>1.5691985838429354</v>
      </c>
      <c r="H21" s="452">
        <v>39328</v>
      </c>
      <c r="J21" s="467"/>
      <c r="K21" s="289"/>
    </row>
    <row r="22" spans="2:11" ht="15">
      <c r="B22" s="281">
        <f t="shared" si="1"/>
        <v>2008</v>
      </c>
      <c r="D22" s="456">
        <v>29</v>
      </c>
      <c r="F22" s="453">
        <v>42</v>
      </c>
      <c r="G22" s="360">
        <f>+F22/D22</f>
        <v>1.4482758620689655</v>
      </c>
      <c r="H22" s="452">
        <v>39664</v>
      </c>
      <c r="J22" s="467"/>
      <c r="K22" s="289"/>
    </row>
    <row r="23" spans="2:11" ht="15">
      <c r="B23" s="281">
        <f t="shared" si="1"/>
        <v>2009</v>
      </c>
      <c r="D23" s="456">
        <v>27.216</v>
      </c>
      <c r="F23" s="453">
        <v>36.188</v>
      </c>
      <c r="G23" s="360">
        <f>+F23/D23</f>
        <v>1.3296590241034685</v>
      </c>
      <c r="H23" s="452">
        <v>40058</v>
      </c>
      <c r="J23" s="467"/>
      <c r="K23" s="289"/>
    </row>
    <row r="24" ht="15">
      <c r="J24" s="467"/>
    </row>
  </sheetData>
  <mergeCells count="6">
    <mergeCell ref="J7:L7"/>
    <mergeCell ref="F7:H7"/>
    <mergeCell ref="B1:H1"/>
    <mergeCell ref="B2:H2"/>
    <mergeCell ref="B4:H4"/>
    <mergeCell ref="B5:H5"/>
  </mergeCells>
  <printOptions/>
  <pageMargins left="0.75" right="0.75" top="1" bottom="1" header="0.5" footer="0.5"/>
  <pageSetup horizontalDpi="600" verticalDpi="600" orientation="portrait" scale="92" r:id="rId1"/>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F27"/>
  <sheetViews>
    <sheetView workbookViewId="0" topLeftCell="A1">
      <selection activeCell="I17" sqref="I17"/>
    </sheetView>
  </sheetViews>
  <sheetFormatPr defaultColWidth="8.88671875" defaultRowHeight="12.75"/>
  <cols>
    <col min="1" max="1" width="3.77734375" style="0" customWidth="1"/>
    <col min="2" max="2" width="27.99609375" style="0" customWidth="1"/>
    <col min="5" max="5" width="1.88671875" style="162" customWidth="1"/>
  </cols>
  <sheetData>
    <row r="1" spans="1:6" ht="15">
      <c r="A1" s="36" t="s">
        <v>369</v>
      </c>
      <c r="B1" s="345"/>
      <c r="C1" s="345"/>
      <c r="D1" s="345"/>
      <c r="E1" s="473"/>
      <c r="F1" s="345"/>
    </row>
    <row r="2" spans="1:6" ht="15">
      <c r="A2" s="194"/>
      <c r="B2" s="345"/>
      <c r="C2" s="345"/>
      <c r="D2" s="345"/>
      <c r="E2" s="473"/>
      <c r="F2" s="345"/>
    </row>
    <row r="3" spans="1:6" ht="12.75">
      <c r="A3" s="1"/>
      <c r="B3" s="345"/>
      <c r="C3" s="345"/>
      <c r="D3" s="345"/>
      <c r="E3" s="473"/>
      <c r="F3" s="345"/>
    </row>
    <row r="4" spans="1:6" ht="12.75">
      <c r="A4" s="1" t="s">
        <v>310</v>
      </c>
      <c r="B4" s="345"/>
      <c r="C4" s="345"/>
      <c r="D4" s="345"/>
      <c r="E4" s="473"/>
      <c r="F4" s="345"/>
    </row>
    <row r="5" spans="1:6" ht="12.75">
      <c r="A5" s="1"/>
      <c r="B5" s="345"/>
      <c r="C5" s="345"/>
      <c r="D5" s="345"/>
      <c r="E5" s="473"/>
      <c r="F5" s="345"/>
    </row>
    <row r="6" spans="1:6" ht="12.75">
      <c r="A6" s="345"/>
      <c r="B6" s="345"/>
      <c r="C6" s="345"/>
      <c r="D6" s="462" t="s">
        <v>429</v>
      </c>
      <c r="E6" s="384"/>
      <c r="F6" s="462" t="s">
        <v>430</v>
      </c>
    </row>
    <row r="8" spans="1:3" ht="12.75">
      <c r="A8" s="264">
        <v>-1</v>
      </c>
      <c r="B8" t="s">
        <v>317</v>
      </c>
      <c r="C8" s="471">
        <f>+'COS 1'!AK213</f>
        <v>7421351.119788667</v>
      </c>
    </row>
    <row r="9" spans="1:5" ht="12.75">
      <c r="A9" s="264"/>
      <c r="C9" s="219"/>
      <c r="D9" s="374"/>
      <c r="E9" s="464"/>
    </row>
    <row r="10" spans="1:5" ht="12.75">
      <c r="A10" s="264">
        <f>+A8-1</f>
        <v>-2</v>
      </c>
      <c r="B10" t="s">
        <v>311</v>
      </c>
      <c r="C10" s="219">
        <f>+Meters!AA32*12</f>
        <v>1227252</v>
      </c>
      <c r="D10" s="374"/>
      <c r="E10" s="464"/>
    </row>
    <row r="11" spans="1:5" ht="12.75">
      <c r="A11" s="264"/>
      <c r="C11" s="219"/>
      <c r="D11" s="374"/>
      <c r="E11" s="464"/>
    </row>
    <row r="12" spans="1:6" ht="12.75">
      <c r="A12" s="264">
        <f>+A10-1</f>
        <v>-3</v>
      </c>
      <c r="B12" t="s">
        <v>318</v>
      </c>
      <c r="D12" s="374">
        <f>ROUND(+C8/C10,2)</f>
        <v>6.05</v>
      </c>
      <c r="E12" s="464"/>
      <c r="F12" s="465">
        <f>+D12*3</f>
        <v>18.15</v>
      </c>
    </row>
    <row r="13" spans="1:5" ht="12.75">
      <c r="A13" s="264"/>
      <c r="C13" s="219"/>
      <c r="D13" s="374"/>
      <c r="E13" s="464"/>
    </row>
    <row r="14" spans="1:5" ht="12.75">
      <c r="A14" s="264">
        <f>+A12-1</f>
        <v>-4</v>
      </c>
      <c r="B14" t="s">
        <v>319</v>
      </c>
      <c r="C14" s="471">
        <f>+'COS 1'!AM213</f>
        <v>3165658.805944536</v>
      </c>
      <c r="D14" s="374"/>
      <c r="E14" s="464"/>
    </row>
    <row r="15" spans="1:5" ht="12.75">
      <c r="A15" s="264"/>
      <c r="C15" s="219"/>
      <c r="D15" s="374"/>
      <c r="E15" s="464"/>
    </row>
    <row r="16" spans="1:5" ht="12.75">
      <c r="A16" s="264">
        <f>+A14-1</f>
        <v>-5</v>
      </c>
      <c r="B16" t="s">
        <v>312</v>
      </c>
      <c r="C16" s="219">
        <f>+(Meters!AA64)*12</f>
        <v>1132860</v>
      </c>
      <c r="D16" s="374"/>
      <c r="E16" s="464"/>
    </row>
    <row r="17" spans="1:5" ht="12.75">
      <c r="A17" s="264"/>
      <c r="C17" s="219"/>
      <c r="D17" s="374"/>
      <c r="E17" s="464"/>
    </row>
    <row r="18" spans="1:6" ht="12.75">
      <c r="A18" s="264">
        <f>+A16-1</f>
        <v>-6</v>
      </c>
      <c r="B18" t="s">
        <v>320</v>
      </c>
      <c r="D18" s="374">
        <f>ROUND(+C14/C16,2)</f>
        <v>2.79</v>
      </c>
      <c r="E18" s="464"/>
      <c r="F18" s="463">
        <f>+D18*3</f>
        <v>8.370000000000001</v>
      </c>
    </row>
    <row r="19" spans="1:5" ht="12.75">
      <c r="A19" s="264"/>
      <c r="C19" s="219"/>
      <c r="D19" s="374"/>
      <c r="E19" s="464"/>
    </row>
    <row r="20" spans="1:5" ht="12.75">
      <c r="A20" s="264">
        <f>+A18-1</f>
        <v>-7</v>
      </c>
      <c r="B20" t="s">
        <v>321</v>
      </c>
      <c r="C20" s="471">
        <f>+'COS 1'!AO213</f>
        <v>3017917.956940407</v>
      </c>
      <c r="D20" s="374"/>
      <c r="E20" s="464"/>
    </row>
    <row r="21" spans="1:5" ht="12.75">
      <c r="A21" s="264"/>
      <c r="D21" s="374"/>
      <c r="E21" s="464"/>
    </row>
    <row r="22" spans="1:5" ht="12.75">
      <c r="A22" s="264">
        <f>+A20-1</f>
        <v>-8</v>
      </c>
      <c r="B22" t="s">
        <v>428</v>
      </c>
      <c r="C22" s="219">
        <v>366212</v>
      </c>
      <c r="D22" s="374"/>
      <c r="E22" s="464"/>
    </row>
    <row r="23" spans="1:5" ht="12.75">
      <c r="A23" s="264"/>
      <c r="D23" s="374"/>
      <c r="E23" s="464"/>
    </row>
    <row r="24" spans="1:6" ht="12.75">
      <c r="A24" s="264">
        <f>+A22-1</f>
        <v>-9</v>
      </c>
      <c r="B24" t="s">
        <v>322</v>
      </c>
      <c r="D24" s="375">
        <f>ROUND(+C20/C22,2)</f>
        <v>8.24</v>
      </c>
      <c r="E24" s="464"/>
      <c r="F24" s="466">
        <f>+D24</f>
        <v>8.24</v>
      </c>
    </row>
    <row r="25" spans="1:5" ht="12.75">
      <c r="A25" s="264"/>
      <c r="D25" s="374"/>
      <c r="E25" s="464"/>
    </row>
    <row r="26" spans="1:6" ht="12.75">
      <c r="A26" s="264">
        <f>+A24-1</f>
        <v>-10</v>
      </c>
      <c r="B26" t="s">
        <v>313</v>
      </c>
      <c r="D26" s="374">
        <f>+D12+D18+D24</f>
        <v>17.08</v>
      </c>
      <c r="E26"/>
      <c r="F26" s="374">
        <f>+F12+F18+F24</f>
        <v>34.76</v>
      </c>
    </row>
    <row r="27" spans="4:5" ht="12.75">
      <c r="D27" s="374"/>
      <c r="E27" s="464"/>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6:U39"/>
  <sheetViews>
    <sheetView workbookViewId="0" topLeftCell="A1">
      <selection activeCell="H39" sqref="H39"/>
    </sheetView>
  </sheetViews>
  <sheetFormatPr defaultColWidth="8.88671875" defaultRowHeight="12.75"/>
  <cols>
    <col min="2" max="2" width="19.5546875" style="0" customWidth="1"/>
    <col min="3" max="3" width="3.6640625" style="0" customWidth="1"/>
    <col min="4" max="4" width="12.4453125" style="0" customWidth="1"/>
    <col min="5" max="5" width="1.77734375" style="0" customWidth="1"/>
    <col min="6" max="6" width="8.10546875" style="0" customWidth="1"/>
    <col min="7" max="7" width="3.5546875" style="0" customWidth="1"/>
    <col min="8" max="8" width="12.4453125" style="0" bestFit="1" customWidth="1"/>
    <col min="9" max="9" width="1.77734375" style="0" customWidth="1"/>
    <col min="10" max="10" width="8.5546875" style="0" customWidth="1"/>
    <col min="11" max="11" width="3.6640625" style="0" customWidth="1"/>
    <col min="12" max="12" width="12.21484375" style="0" customWidth="1"/>
    <col min="13" max="13" width="1.66796875" style="0" customWidth="1"/>
    <col min="15" max="15" width="3.5546875" style="0" customWidth="1"/>
    <col min="16" max="16" width="11.99609375" style="0" bestFit="1" customWidth="1"/>
    <col min="17" max="17" width="2.3359375" style="0" customWidth="1"/>
    <col min="18" max="18" width="8.3359375" style="0" customWidth="1"/>
  </cols>
  <sheetData>
    <row r="6" spans="2:18" ht="15">
      <c r="B6" s="512" t="s">
        <v>369</v>
      </c>
      <c r="C6" s="512"/>
      <c r="D6" s="512"/>
      <c r="E6" s="512"/>
      <c r="F6" s="512"/>
      <c r="G6" s="512"/>
      <c r="H6" s="512"/>
      <c r="I6" s="512"/>
      <c r="J6" s="512"/>
      <c r="K6" s="512"/>
      <c r="L6" s="512"/>
      <c r="M6" s="512"/>
      <c r="N6" s="512"/>
      <c r="O6" s="512"/>
      <c r="P6" s="512"/>
      <c r="Q6" s="512"/>
      <c r="R6" s="512"/>
    </row>
    <row r="7" spans="2:18" ht="15.75">
      <c r="B7" s="513"/>
      <c r="C7" s="513"/>
      <c r="D7" s="513"/>
      <c r="E7" s="513"/>
      <c r="F7" s="513"/>
      <c r="G7" s="513"/>
      <c r="H7" s="513"/>
      <c r="I7" s="513"/>
      <c r="J7" s="513"/>
      <c r="K7" s="513"/>
      <c r="L7" s="513"/>
      <c r="M7" s="513"/>
      <c r="N7" s="513"/>
      <c r="O7" s="513"/>
      <c r="P7" s="513"/>
      <c r="Q7" s="513"/>
      <c r="R7" s="513"/>
    </row>
    <row r="8" spans="2:18" ht="15">
      <c r="B8" s="251"/>
      <c r="C8" s="251"/>
      <c r="D8" s="251"/>
      <c r="E8" s="251"/>
      <c r="F8" s="251"/>
      <c r="G8" s="251"/>
      <c r="H8" s="251"/>
      <c r="I8" s="251"/>
      <c r="J8" s="251"/>
      <c r="K8" s="251"/>
      <c r="L8" s="251"/>
      <c r="M8" s="252"/>
      <c r="N8" s="252"/>
      <c r="O8" s="252"/>
      <c r="P8" s="252"/>
      <c r="Q8" s="252"/>
      <c r="R8" s="252"/>
    </row>
    <row r="9" spans="2:18" ht="15">
      <c r="B9" s="512" t="s">
        <v>326</v>
      </c>
      <c r="C9" s="512"/>
      <c r="D9" s="512"/>
      <c r="E9" s="512"/>
      <c r="F9" s="512"/>
      <c r="G9" s="512"/>
      <c r="H9" s="512"/>
      <c r="I9" s="512"/>
      <c r="J9" s="512"/>
      <c r="K9" s="512"/>
      <c r="L9" s="512"/>
      <c r="M9" s="512"/>
      <c r="N9" s="512"/>
      <c r="O9" s="512"/>
      <c r="P9" s="512"/>
      <c r="Q9" s="512"/>
      <c r="R9" s="512"/>
    </row>
    <row r="10" spans="2:18" ht="15">
      <c r="B10" s="512" t="s">
        <v>406</v>
      </c>
      <c r="C10" s="512"/>
      <c r="D10" s="512"/>
      <c r="E10" s="512"/>
      <c r="F10" s="512"/>
      <c r="G10" s="512"/>
      <c r="H10" s="512"/>
      <c r="I10" s="512"/>
      <c r="J10" s="512"/>
      <c r="K10" s="512"/>
      <c r="L10" s="512"/>
      <c r="M10" s="512"/>
      <c r="N10" s="512"/>
      <c r="O10" s="512"/>
      <c r="P10" s="512"/>
      <c r="Q10" s="512"/>
      <c r="R10" s="512"/>
    </row>
    <row r="11" spans="2:18" ht="15">
      <c r="B11" s="251"/>
      <c r="C11" s="251"/>
      <c r="D11" s="251"/>
      <c r="E11" s="251"/>
      <c r="F11" s="251"/>
      <c r="G11" s="251"/>
      <c r="H11" s="251"/>
      <c r="I11" s="251"/>
      <c r="J11" s="251"/>
      <c r="K11" s="251"/>
      <c r="L11" s="251"/>
      <c r="M11" s="252"/>
      <c r="N11" s="252"/>
      <c r="O11" s="252"/>
      <c r="P11" s="252"/>
      <c r="Q11" s="252"/>
      <c r="R11" s="252"/>
    </row>
    <row r="12" spans="2:18" ht="15">
      <c r="B12" s="251"/>
      <c r="C12" s="251"/>
      <c r="D12" s="251"/>
      <c r="E12" s="251"/>
      <c r="F12" s="251"/>
      <c r="G12" s="251"/>
      <c r="H12" s="251"/>
      <c r="I12" s="251"/>
      <c r="J12" s="251"/>
      <c r="K12" s="251"/>
      <c r="L12" s="251"/>
      <c r="M12" s="252"/>
      <c r="N12" s="252"/>
      <c r="O12" s="252"/>
      <c r="P12" s="252"/>
      <c r="Q12" s="252"/>
      <c r="R12" s="252"/>
    </row>
    <row r="13" spans="2:18" ht="15">
      <c r="B13" s="253"/>
      <c r="C13" s="253"/>
      <c r="D13" s="511" t="s">
        <v>276</v>
      </c>
      <c r="E13" s="511"/>
      <c r="F13" s="511"/>
      <c r="G13" s="251"/>
      <c r="H13" s="251"/>
      <c r="I13" s="251"/>
      <c r="J13" s="251"/>
      <c r="K13" s="251"/>
      <c r="L13" s="251"/>
      <c r="M13" s="252"/>
      <c r="N13" s="252"/>
      <c r="O13" s="252"/>
      <c r="P13" s="511" t="s">
        <v>277</v>
      </c>
      <c r="Q13" s="511"/>
      <c r="R13" s="511"/>
    </row>
    <row r="14" spans="2:18" ht="15">
      <c r="B14" s="250" t="s">
        <v>100</v>
      </c>
      <c r="C14" s="250"/>
      <c r="D14" s="281" t="s">
        <v>278</v>
      </c>
      <c r="G14" s="251"/>
      <c r="H14" s="511" t="s">
        <v>279</v>
      </c>
      <c r="I14" s="511"/>
      <c r="J14" s="511"/>
      <c r="K14" s="251"/>
      <c r="L14" s="511" t="s">
        <v>280</v>
      </c>
      <c r="M14" s="511"/>
      <c r="N14" s="511"/>
      <c r="O14" s="252"/>
      <c r="P14" s="252"/>
      <c r="Q14" s="252"/>
      <c r="R14" s="250" t="s">
        <v>138</v>
      </c>
    </row>
    <row r="15" spans="2:18" ht="15">
      <c r="B15" s="254" t="s">
        <v>56</v>
      </c>
      <c r="C15" s="253"/>
      <c r="D15" s="254" t="s">
        <v>297</v>
      </c>
      <c r="E15" s="251"/>
      <c r="F15" s="254" t="s">
        <v>138</v>
      </c>
      <c r="G15" s="251"/>
      <c r="H15" s="254" t="s">
        <v>278</v>
      </c>
      <c r="I15" s="251"/>
      <c r="J15" s="254" t="s">
        <v>138</v>
      </c>
      <c r="K15" s="251"/>
      <c r="L15" s="254" t="s">
        <v>278</v>
      </c>
      <c r="M15" s="251"/>
      <c r="N15" s="254" t="s">
        <v>138</v>
      </c>
      <c r="O15" s="252"/>
      <c r="P15" s="254" t="s">
        <v>278</v>
      </c>
      <c r="Q15" s="251"/>
      <c r="R15" s="254" t="s">
        <v>281</v>
      </c>
    </row>
    <row r="16" spans="2:18" ht="15">
      <c r="B16" s="255" t="s">
        <v>58</v>
      </c>
      <c r="C16" s="256"/>
      <c r="D16" s="255" t="s">
        <v>75</v>
      </c>
      <c r="E16" s="256"/>
      <c r="F16" s="255" t="s">
        <v>60</v>
      </c>
      <c r="G16" s="256"/>
      <c r="H16" s="255" t="s">
        <v>77</v>
      </c>
      <c r="I16" s="256"/>
      <c r="J16" s="255" t="s">
        <v>89</v>
      </c>
      <c r="K16" s="251"/>
      <c r="L16" s="255" t="s">
        <v>103</v>
      </c>
      <c r="M16" s="256"/>
      <c r="N16" s="255" t="s">
        <v>110</v>
      </c>
      <c r="O16" s="252"/>
      <c r="P16" s="255" t="s">
        <v>282</v>
      </c>
      <c r="Q16" s="256"/>
      <c r="R16" s="255" t="s">
        <v>283</v>
      </c>
    </row>
    <row r="17" spans="2:18" ht="15">
      <c r="B17" s="251"/>
      <c r="C17" s="251"/>
      <c r="D17" s="251"/>
      <c r="E17" s="251"/>
      <c r="F17" s="251"/>
      <c r="G17" s="251"/>
      <c r="H17" s="251"/>
      <c r="I17" s="251"/>
      <c r="J17" s="251"/>
      <c r="K17" s="251"/>
      <c r="L17" s="251"/>
      <c r="M17" s="251"/>
      <c r="N17" s="251"/>
      <c r="O17" s="252"/>
      <c r="P17" s="251"/>
      <c r="Q17" s="251"/>
      <c r="R17" s="251"/>
    </row>
    <row r="18" spans="1:19" ht="15">
      <c r="A18" s="278"/>
      <c r="B18" s="251" t="s">
        <v>61</v>
      </c>
      <c r="C18" s="251"/>
      <c r="D18" s="257">
        <f>+'COS 1'!J213</f>
        <v>30854762.950877912</v>
      </c>
      <c r="E18" s="251"/>
      <c r="F18" s="249">
        <f>ROUND(D18/D$28,3)</f>
        <v>0.635</v>
      </c>
      <c r="G18" s="251"/>
      <c r="H18" s="257">
        <v>24719008.56427478</v>
      </c>
      <c r="I18" s="251"/>
      <c r="J18" s="249">
        <f>ROUND(H18/H$28,3)+0.001</f>
        <v>0.613</v>
      </c>
      <c r="K18" s="251"/>
      <c r="L18" s="257">
        <v>30846192.73962625</v>
      </c>
      <c r="M18" s="251"/>
      <c r="N18" s="249">
        <f>ROUND(L18/L$28,3)+0.001</f>
        <v>0.635</v>
      </c>
      <c r="O18" s="252"/>
      <c r="P18" s="257">
        <f>+L18-H18</f>
        <v>6127184.175351471</v>
      </c>
      <c r="Q18" s="251"/>
      <c r="R18" s="249">
        <f>+P18/H18</f>
        <v>0.2478733788784232</v>
      </c>
      <c r="S18" s="376"/>
    </row>
    <row r="19" spans="1:18" ht="15">
      <c r="A19" s="278"/>
      <c r="B19" s="251"/>
      <c r="C19" s="251"/>
      <c r="D19" s="251"/>
      <c r="E19" s="251"/>
      <c r="F19" s="249"/>
      <c r="G19" s="251"/>
      <c r="H19" s="257"/>
      <c r="I19" s="251"/>
      <c r="J19" s="249"/>
      <c r="K19" s="251"/>
      <c r="L19" s="371"/>
      <c r="M19" s="251"/>
      <c r="N19" s="249"/>
      <c r="O19" s="252"/>
      <c r="P19" s="251"/>
      <c r="Q19" s="251"/>
      <c r="R19" s="249"/>
    </row>
    <row r="20" spans="1:19" ht="15">
      <c r="A20" s="278"/>
      <c r="B20" s="251" t="s">
        <v>194</v>
      </c>
      <c r="C20" s="251"/>
      <c r="D20" s="256">
        <f>+'COS 1'!L213</f>
        <v>10900376.493921544</v>
      </c>
      <c r="E20" s="251"/>
      <c r="F20" s="249">
        <f>ROUND(D20/D$28,3)</f>
        <v>0.224</v>
      </c>
      <c r="G20" s="251"/>
      <c r="H20" s="277">
        <v>9332034.89</v>
      </c>
      <c r="I20" s="251"/>
      <c r="J20" s="249">
        <f>ROUND(H20/H$28,3)</f>
        <v>0.231</v>
      </c>
      <c r="K20" s="251"/>
      <c r="L20" s="372">
        <v>10886421.731891062</v>
      </c>
      <c r="M20" s="251"/>
      <c r="N20" s="249">
        <f>ROUND(L20/L$28,3)</f>
        <v>0.224</v>
      </c>
      <c r="O20" s="252"/>
      <c r="P20" s="256">
        <f>+L20-H20</f>
        <v>1554386.8418910615</v>
      </c>
      <c r="Q20" s="251"/>
      <c r="R20" s="249">
        <f>+P20/H20</f>
        <v>0.16656461963689265</v>
      </c>
      <c r="S20" s="376"/>
    </row>
    <row r="21" spans="1:18" ht="15">
      <c r="A21" s="278"/>
      <c r="B21" s="251"/>
      <c r="C21" s="251"/>
      <c r="D21" s="256"/>
      <c r="E21" s="251"/>
      <c r="F21" s="249"/>
      <c r="G21" s="251"/>
      <c r="H21" s="277"/>
      <c r="I21" s="251"/>
      <c r="J21" s="249"/>
      <c r="K21" s="251"/>
      <c r="L21" s="371"/>
      <c r="M21" s="251"/>
      <c r="N21" s="249"/>
      <c r="O21" s="252"/>
      <c r="P21" s="256"/>
      <c r="Q21" s="251"/>
      <c r="R21" s="249"/>
    </row>
    <row r="22" spans="1:19" ht="15">
      <c r="A22" s="278"/>
      <c r="B22" s="251" t="s">
        <v>63</v>
      </c>
      <c r="C22" s="251"/>
      <c r="D22" s="256">
        <f>+'COS 1'!N213</f>
        <v>3427144.1281134486</v>
      </c>
      <c r="E22" s="251"/>
      <c r="F22" s="249">
        <f>ROUND(D22/D$28,3)</f>
        <v>0.07</v>
      </c>
      <c r="G22" s="251"/>
      <c r="H22" s="277">
        <v>3160059.59</v>
      </c>
      <c r="I22" s="251"/>
      <c r="J22" s="249">
        <f>ROUND(H22/H$28,3)</f>
        <v>0.078</v>
      </c>
      <c r="K22" s="251"/>
      <c r="L22" s="372">
        <v>3426222.313099328</v>
      </c>
      <c r="M22" s="251"/>
      <c r="N22" s="249">
        <f>ROUND(L22/L$28,3)</f>
        <v>0.07</v>
      </c>
      <c r="O22" s="252"/>
      <c r="P22" s="256">
        <f>+L22-H22</f>
        <v>266162.7230993281</v>
      </c>
      <c r="Q22" s="251"/>
      <c r="R22" s="249">
        <f>+P22/H22</f>
        <v>0.08422712152061922</v>
      </c>
      <c r="S22" s="376"/>
    </row>
    <row r="23" spans="1:18" ht="15">
      <c r="A23" s="278"/>
      <c r="B23" s="251"/>
      <c r="C23" s="251"/>
      <c r="D23" s="256"/>
      <c r="E23" s="251"/>
      <c r="F23" s="249"/>
      <c r="G23" s="251"/>
      <c r="H23" s="277"/>
      <c r="I23" s="251"/>
      <c r="J23" s="249"/>
      <c r="K23" s="251"/>
      <c r="L23" s="371"/>
      <c r="M23" s="251"/>
      <c r="N23" s="249"/>
      <c r="O23" s="252"/>
      <c r="P23" s="256"/>
      <c r="Q23" s="251"/>
      <c r="R23" s="249"/>
    </row>
    <row r="24" spans="1:21" ht="15">
      <c r="A24" s="278"/>
      <c r="B24" s="251" t="s">
        <v>284</v>
      </c>
      <c r="C24" s="251"/>
      <c r="D24" s="256">
        <f>+'COS 1'!P213</f>
        <v>2171179.5917362957</v>
      </c>
      <c r="E24" s="251"/>
      <c r="F24" s="249">
        <f>ROUND(D24/D$28,3)</f>
        <v>0.045</v>
      </c>
      <c r="G24" s="251"/>
      <c r="H24" s="277">
        <v>1948183.22</v>
      </c>
      <c r="I24" s="251"/>
      <c r="J24" s="249">
        <f>ROUND(H24/H$28,3)</f>
        <v>0.048</v>
      </c>
      <c r="K24" s="251"/>
      <c r="L24" s="372">
        <v>2191211.890421134</v>
      </c>
      <c r="M24" s="251"/>
      <c r="N24" s="249">
        <f>ROUND(L24/L$28,3)</f>
        <v>0.045</v>
      </c>
      <c r="O24" s="252"/>
      <c r="P24" s="256">
        <f>+L24-H24</f>
        <v>243028.67042113398</v>
      </c>
      <c r="Q24" s="251"/>
      <c r="R24" s="249">
        <f>+P24/H24</f>
        <v>0.12474631129465019</v>
      </c>
      <c r="S24" s="376"/>
      <c r="U24" s="214"/>
    </row>
    <row r="25" spans="1:18" ht="15">
      <c r="A25" s="278"/>
      <c r="B25" s="251"/>
      <c r="C25" s="251"/>
      <c r="D25" s="256"/>
      <c r="E25" s="251"/>
      <c r="F25" s="249"/>
      <c r="G25" s="251"/>
      <c r="H25" s="277"/>
      <c r="I25" s="251"/>
      <c r="J25" s="249"/>
      <c r="K25" s="251"/>
      <c r="L25" s="371"/>
      <c r="M25" s="251"/>
      <c r="N25" s="249"/>
      <c r="O25" s="252"/>
      <c r="P25" s="256"/>
      <c r="Q25" s="251"/>
      <c r="R25" s="249"/>
    </row>
    <row r="26" spans="1:19" ht="15">
      <c r="A26" s="278"/>
      <c r="B26" s="251" t="s">
        <v>426</v>
      </c>
      <c r="C26" s="251"/>
      <c r="D26" s="259">
        <f>+'COS 1'!R213</f>
        <v>1262630.7873508004</v>
      </c>
      <c r="E26" s="251"/>
      <c r="F26" s="258">
        <f>ROUND(D26/D$28,3)</f>
        <v>0.026</v>
      </c>
      <c r="G26" s="251"/>
      <c r="H26" s="373">
        <v>1200418.32</v>
      </c>
      <c r="I26" s="251"/>
      <c r="J26" s="258">
        <f>ROUND(H26/H$28,3)</f>
        <v>0.03</v>
      </c>
      <c r="K26" s="251"/>
      <c r="L26" s="373">
        <v>1265109.64</v>
      </c>
      <c r="M26" s="251"/>
      <c r="N26" s="258">
        <f>ROUND(L26/L$28,3)</f>
        <v>0.026</v>
      </c>
      <c r="O26" s="252"/>
      <c r="P26" s="259">
        <f>+L26-H26</f>
        <v>64691.31999999983</v>
      </c>
      <c r="Q26" s="251"/>
      <c r="R26" s="258">
        <f>+P26/H26</f>
        <v>0.053890647053770245</v>
      </c>
      <c r="S26" s="376"/>
    </row>
    <row r="27" spans="2:18" ht="15">
      <c r="B27" s="251"/>
      <c r="C27" s="251"/>
      <c r="D27" s="256"/>
      <c r="E27" s="251"/>
      <c r="F27" s="251"/>
      <c r="G27" s="251"/>
      <c r="H27" s="256"/>
      <c r="I27" s="251"/>
      <c r="J27" s="251"/>
      <c r="K27" s="251"/>
      <c r="L27" s="256"/>
      <c r="M27" s="251"/>
      <c r="N27" s="251"/>
      <c r="O27" s="252"/>
      <c r="P27" s="256"/>
      <c r="Q27" s="251"/>
      <c r="R27" s="249"/>
    </row>
    <row r="28" spans="2:19" ht="15.75" thickBot="1">
      <c r="B28" s="251" t="s">
        <v>285</v>
      </c>
      <c r="C28" s="251"/>
      <c r="D28" s="256">
        <f>SUM(D18:D26)</f>
        <v>48616093.952</v>
      </c>
      <c r="E28" s="251"/>
      <c r="F28" s="260">
        <f>SUM(F18:F26)</f>
        <v>1</v>
      </c>
      <c r="G28" s="251"/>
      <c r="H28" s="256">
        <f>SUM(H18:H26)</f>
        <v>40359704.58427478</v>
      </c>
      <c r="I28" s="251"/>
      <c r="J28" s="260">
        <f>SUM(J18:J26)</f>
        <v>1</v>
      </c>
      <c r="K28" s="251"/>
      <c r="L28" s="256">
        <f>SUM(L18:L26)</f>
        <v>48615158.31503777</v>
      </c>
      <c r="M28" s="251"/>
      <c r="N28" s="260">
        <f>SUM(N18:N26)</f>
        <v>1</v>
      </c>
      <c r="O28" s="252"/>
      <c r="P28" s="256">
        <f>SUM(P18:P26)</f>
        <v>8255453.730762994</v>
      </c>
      <c r="Q28" s="251"/>
      <c r="R28" s="249">
        <f>+P28/H28</f>
        <v>0.20454693154467588</v>
      </c>
      <c r="S28" s="376"/>
    </row>
    <row r="29" spans="2:18" ht="15.75" thickTop="1">
      <c r="B29" s="251"/>
      <c r="C29" s="251"/>
      <c r="D29" s="256"/>
      <c r="E29" s="251"/>
      <c r="F29" s="251"/>
      <c r="G29" s="251"/>
      <c r="H29" s="256"/>
      <c r="I29" s="251"/>
      <c r="J29" s="251"/>
      <c r="K29" s="251"/>
      <c r="L29" s="256"/>
      <c r="M29" s="251"/>
      <c r="N29" s="251"/>
      <c r="O29" s="252"/>
      <c r="P29" s="256"/>
      <c r="Q29" s="251"/>
      <c r="R29" s="249"/>
    </row>
    <row r="30" spans="2:18" ht="15">
      <c r="B30" s="261" t="s">
        <v>286</v>
      </c>
      <c r="C30" s="261"/>
      <c r="D30" s="259">
        <v>4865306.138</v>
      </c>
      <c r="E30" s="261"/>
      <c r="F30" s="261"/>
      <c r="G30" s="261"/>
      <c r="H30" s="259">
        <v>4834005.5</v>
      </c>
      <c r="I30" s="261"/>
      <c r="J30" s="261"/>
      <c r="K30" s="261"/>
      <c r="L30" s="259">
        <f>+D30</f>
        <v>4865306.138</v>
      </c>
      <c r="M30" s="261"/>
      <c r="N30" s="261"/>
      <c r="O30" s="262"/>
      <c r="P30" s="259">
        <f>+L30-H30</f>
        <v>31300.637999999337</v>
      </c>
      <c r="Q30" s="261"/>
      <c r="R30" s="249"/>
    </row>
    <row r="31" spans="2:18" ht="15">
      <c r="B31" s="251"/>
      <c r="C31" s="251"/>
      <c r="D31" s="251"/>
      <c r="E31" s="251"/>
      <c r="F31" s="251"/>
      <c r="G31" s="251"/>
      <c r="H31" s="251"/>
      <c r="I31" s="251"/>
      <c r="J31" s="251"/>
      <c r="K31" s="251"/>
      <c r="L31" s="251"/>
      <c r="M31" s="251"/>
      <c r="N31" s="251"/>
      <c r="O31" s="252"/>
      <c r="P31" s="251"/>
      <c r="Q31" s="251"/>
      <c r="R31" s="249"/>
    </row>
    <row r="32" spans="2:19" ht="15.75" thickBot="1">
      <c r="B32" s="251" t="s">
        <v>287</v>
      </c>
      <c r="C32" s="251"/>
      <c r="D32" s="263">
        <f>+D30+D28</f>
        <v>53481400.09</v>
      </c>
      <c r="E32" s="251"/>
      <c r="F32" s="251"/>
      <c r="G32" s="251"/>
      <c r="H32" s="458">
        <f>+H30+H28</f>
        <v>45193710.08427478</v>
      </c>
      <c r="I32" s="251"/>
      <c r="J32" s="251"/>
      <c r="K32" s="251"/>
      <c r="L32" s="263">
        <f>+L30+L28</f>
        <v>53480464.45303777</v>
      </c>
      <c r="M32" s="251"/>
      <c r="N32" s="251"/>
      <c r="O32" s="252"/>
      <c r="P32" s="263">
        <f>+L32-H32</f>
        <v>8286754.368762992</v>
      </c>
      <c r="Q32" s="251"/>
      <c r="R32" s="249">
        <f>+P32/H32</f>
        <v>0.18336078966100156</v>
      </c>
      <c r="S32" s="376"/>
    </row>
    <row r="33" ht="13.5" thickTop="1"/>
    <row r="35" spans="2:12" ht="15">
      <c r="B35" s="37"/>
      <c r="C35" s="37"/>
      <c r="D35" s="272"/>
      <c r="L35" s="214"/>
    </row>
    <row r="36" spans="2:4" ht="15">
      <c r="B36" s="37"/>
      <c r="C36" s="37"/>
      <c r="D36" s="273"/>
    </row>
    <row r="37" ht="12.75">
      <c r="D37" s="214"/>
    </row>
    <row r="38" ht="12.75">
      <c r="D38" s="479"/>
    </row>
    <row r="39" ht="12.75">
      <c r="D39" s="479"/>
    </row>
  </sheetData>
  <mergeCells count="8">
    <mergeCell ref="H14:J14"/>
    <mergeCell ref="L14:N14"/>
    <mergeCell ref="B6:R6"/>
    <mergeCell ref="B9:R9"/>
    <mergeCell ref="B10:R10"/>
    <mergeCell ref="D13:F13"/>
    <mergeCell ref="P13:R13"/>
    <mergeCell ref="B7:R7"/>
  </mergeCells>
  <printOptions/>
  <pageMargins left="0.75" right="0.75" top="1" bottom="1" header="0.5" footer="0.5"/>
  <pageSetup horizontalDpi="600" verticalDpi="600" orientation="landscape" scale="81" r:id="rId1"/>
</worksheet>
</file>

<file path=xl/worksheets/sheet2.xml><?xml version="1.0" encoding="utf-8"?>
<worksheet xmlns="http://schemas.openxmlformats.org/spreadsheetml/2006/main" xmlns:r="http://schemas.openxmlformats.org/officeDocument/2006/relationships">
  <dimension ref="A1:Z1599"/>
  <sheetViews>
    <sheetView workbookViewId="0" topLeftCell="A1">
      <selection activeCell="E37" sqref="E37"/>
    </sheetView>
  </sheetViews>
  <sheetFormatPr defaultColWidth="8.88671875" defaultRowHeight="12.75"/>
  <cols>
    <col min="1" max="1" width="9.6640625" style="37" bestFit="1" customWidth="1"/>
    <col min="2" max="3" width="7.77734375" style="37" customWidth="1"/>
    <col min="4" max="4" width="1.99609375" style="37" customWidth="1"/>
    <col min="5" max="5" width="8.6640625" style="37" customWidth="1"/>
    <col min="6" max="6" width="1.88671875" style="37" customWidth="1"/>
    <col min="7" max="7" width="8.6640625" style="37" customWidth="1"/>
    <col min="8" max="8" width="1.99609375" style="37" customWidth="1"/>
    <col min="9" max="9" width="8.6640625" style="37" customWidth="1"/>
    <col min="10" max="10" width="1.99609375" style="37" customWidth="1"/>
    <col min="11" max="11" width="8.6640625" style="37" customWidth="1"/>
    <col min="12" max="12" width="1.99609375" style="37" customWidth="1"/>
    <col min="13" max="13" width="8.6640625" style="37" customWidth="1"/>
    <col min="14" max="14" width="4.77734375" style="37" customWidth="1"/>
    <col min="15" max="15" width="9.77734375" style="37" customWidth="1"/>
    <col min="16" max="16" width="8.4453125" style="37" bestFit="1" customWidth="1"/>
    <col min="17" max="17" width="15.10546875" style="37" bestFit="1" customWidth="1"/>
    <col min="18" max="18" width="7.77734375" style="37" customWidth="1"/>
    <col min="19" max="19" width="10.77734375" style="37" customWidth="1"/>
    <col min="20" max="20" width="7.77734375" style="37" customWidth="1"/>
    <col min="21" max="21" width="8.77734375" style="37" customWidth="1"/>
    <col min="22" max="22" width="2.77734375" style="37" customWidth="1"/>
    <col min="23" max="23" width="9.77734375" style="37" customWidth="1"/>
    <col min="24" max="24" width="2.77734375" style="37" customWidth="1"/>
    <col min="25" max="25" width="7.77734375" style="37" customWidth="1"/>
    <col min="26" max="16384" width="9.77734375" style="37" customWidth="1"/>
  </cols>
  <sheetData>
    <row r="1" spans="2:13" ht="15">
      <c r="B1" s="36" t="s">
        <v>369</v>
      </c>
      <c r="C1" s="36"/>
      <c r="D1" s="36"/>
      <c r="E1" s="36"/>
      <c r="F1" s="36"/>
      <c r="G1" s="36"/>
      <c r="H1" s="36"/>
      <c r="I1" s="36"/>
      <c r="J1" s="36"/>
      <c r="K1" s="36"/>
      <c r="L1" s="36"/>
      <c r="M1" s="36"/>
    </row>
    <row r="2" spans="2:13" ht="15">
      <c r="B2" s="36"/>
      <c r="C2" s="36"/>
      <c r="D2" s="36"/>
      <c r="E2" s="36"/>
      <c r="F2" s="36"/>
      <c r="G2" s="36"/>
      <c r="H2" s="36"/>
      <c r="I2" s="36"/>
      <c r="J2" s="36"/>
      <c r="K2" s="36"/>
      <c r="L2" s="36"/>
      <c r="M2" s="36"/>
    </row>
    <row r="3" spans="2:13" ht="12.75" customHeight="1">
      <c r="B3" s="36"/>
      <c r="C3" s="36"/>
      <c r="D3" s="36"/>
      <c r="E3" s="36"/>
      <c r="F3" s="36"/>
      <c r="G3" s="36"/>
      <c r="H3" s="36"/>
      <c r="I3" s="36"/>
      <c r="J3" s="36"/>
      <c r="K3" s="36"/>
      <c r="L3" s="36"/>
      <c r="M3" s="36"/>
    </row>
    <row r="4" spans="2:26" ht="12.75" customHeight="1">
      <c r="B4" s="1" t="s">
        <v>49</v>
      </c>
      <c r="C4" s="1"/>
      <c r="D4" s="1"/>
      <c r="E4" s="1"/>
      <c r="F4" s="1"/>
      <c r="G4" s="1"/>
      <c r="H4" s="1"/>
      <c r="I4" s="1"/>
      <c r="J4" s="1"/>
      <c r="K4" s="1"/>
      <c r="L4" s="1"/>
      <c r="M4" s="1"/>
      <c r="N4" s="2"/>
      <c r="O4" s="2"/>
      <c r="P4" s="2"/>
      <c r="Q4" s="2"/>
      <c r="R4" s="2"/>
      <c r="S4" s="2"/>
      <c r="T4" s="2"/>
      <c r="U4" s="2"/>
      <c r="V4" s="2"/>
      <c r="W4" s="2"/>
      <c r="X4" s="2"/>
      <c r="Y4" s="2"/>
      <c r="Z4" s="2"/>
    </row>
    <row r="5" spans="2:26" ht="12.75" customHeight="1">
      <c r="B5" s="2"/>
      <c r="C5" s="2"/>
      <c r="D5" s="2"/>
      <c r="E5" s="2"/>
      <c r="F5" s="2"/>
      <c r="G5" s="2"/>
      <c r="H5" s="2"/>
      <c r="I5" s="2"/>
      <c r="J5" s="2"/>
      <c r="K5" s="2"/>
      <c r="L5" s="2"/>
      <c r="M5" s="2"/>
      <c r="N5" s="2"/>
      <c r="O5" s="2"/>
      <c r="P5" s="2"/>
      <c r="Q5" s="2"/>
      <c r="R5" s="2"/>
      <c r="S5" s="2"/>
      <c r="T5" s="2"/>
      <c r="U5" s="2"/>
      <c r="V5" s="2"/>
      <c r="W5" s="2"/>
      <c r="X5" s="2"/>
      <c r="Y5" s="2"/>
      <c r="Z5" s="2"/>
    </row>
    <row r="6" spans="2:26" ht="12.75" customHeight="1">
      <c r="B6" s="2"/>
      <c r="C6" s="2"/>
      <c r="D6" s="2"/>
      <c r="E6" s="2"/>
      <c r="F6" s="2"/>
      <c r="G6" s="2"/>
      <c r="H6" s="2"/>
      <c r="I6" s="2"/>
      <c r="J6" s="2"/>
      <c r="K6" s="2"/>
      <c r="L6" s="2"/>
      <c r="M6" s="2"/>
      <c r="N6" s="2"/>
      <c r="O6" s="2"/>
      <c r="P6" s="2"/>
      <c r="Q6" s="2"/>
      <c r="R6" s="2"/>
      <c r="S6" s="2"/>
      <c r="T6" s="2"/>
      <c r="U6" s="2"/>
      <c r="V6" s="2"/>
      <c r="W6" s="2"/>
      <c r="X6" s="2"/>
      <c r="Y6" s="2"/>
      <c r="Z6" s="2"/>
    </row>
    <row r="7" spans="2:26" ht="12.75" customHeight="1">
      <c r="B7" s="2" t="s">
        <v>50</v>
      </c>
      <c r="C7" s="2"/>
      <c r="D7" s="2"/>
      <c r="E7" s="2"/>
      <c r="F7" s="2"/>
      <c r="G7" s="2"/>
      <c r="H7" s="2"/>
      <c r="I7" s="2"/>
      <c r="J7" s="2"/>
      <c r="K7" s="2"/>
      <c r="L7" s="2"/>
      <c r="M7" s="2"/>
      <c r="N7" s="2"/>
      <c r="O7" s="2"/>
      <c r="P7" s="2"/>
      <c r="Q7" s="2"/>
      <c r="R7" s="2"/>
      <c r="S7" s="2"/>
      <c r="T7" s="2"/>
      <c r="U7" s="2"/>
      <c r="V7" s="2"/>
      <c r="W7" s="2"/>
      <c r="X7" s="2"/>
      <c r="Y7" s="2"/>
      <c r="Z7" s="2"/>
    </row>
    <row r="8" spans="2:26" ht="12.75" customHeight="1">
      <c r="B8" s="2"/>
      <c r="C8" s="2"/>
      <c r="D8" s="2"/>
      <c r="E8" s="2"/>
      <c r="F8" s="2"/>
      <c r="G8" s="2"/>
      <c r="H8" s="2"/>
      <c r="I8" s="2"/>
      <c r="J8" s="2"/>
      <c r="K8" s="2"/>
      <c r="L8" s="2"/>
      <c r="M8" s="2"/>
      <c r="N8" s="2"/>
      <c r="O8" s="2"/>
      <c r="P8" s="2"/>
      <c r="Q8" s="2"/>
      <c r="R8" s="2"/>
      <c r="S8" s="2"/>
      <c r="T8" s="2"/>
      <c r="U8" s="2"/>
      <c r="V8" s="2"/>
      <c r="W8" s="2"/>
      <c r="X8" s="2"/>
      <c r="Y8" s="2"/>
      <c r="Z8" s="2"/>
    </row>
    <row r="9" spans="2:26" ht="24.75" customHeight="1">
      <c r="B9" s="490" t="s">
        <v>51</v>
      </c>
      <c r="C9" s="490"/>
      <c r="D9" s="490"/>
      <c r="E9" s="490"/>
      <c r="F9" s="490"/>
      <c r="G9" s="490"/>
      <c r="H9" s="490"/>
      <c r="I9" s="490"/>
      <c r="J9" s="490"/>
      <c r="K9" s="490"/>
      <c r="L9" s="490"/>
      <c r="M9" s="490"/>
      <c r="N9" s="2"/>
      <c r="O9" s="2"/>
      <c r="P9" s="2"/>
      <c r="Q9" s="2"/>
      <c r="R9" s="2"/>
      <c r="S9" s="2"/>
      <c r="T9" s="2"/>
      <c r="U9" s="2"/>
      <c r="V9" s="2"/>
      <c r="W9" s="2"/>
      <c r="X9" s="2"/>
      <c r="Y9" s="2"/>
      <c r="Z9" s="2"/>
    </row>
    <row r="10" spans="2:26" ht="10.5" customHeight="1">
      <c r="B10" s="2"/>
      <c r="C10" s="2"/>
      <c r="D10" s="2"/>
      <c r="E10" s="2"/>
      <c r="F10" s="2"/>
      <c r="G10" s="2"/>
      <c r="H10" s="2"/>
      <c r="I10" s="2"/>
      <c r="J10" s="2"/>
      <c r="K10" s="2"/>
      <c r="L10" s="2"/>
      <c r="M10" s="2"/>
      <c r="N10" s="2"/>
      <c r="O10" s="2"/>
      <c r="P10" s="2"/>
      <c r="Q10" s="2"/>
      <c r="R10" s="2"/>
      <c r="S10" s="2"/>
      <c r="T10" s="2"/>
      <c r="U10" s="2"/>
      <c r="V10" s="2"/>
      <c r="W10" s="2"/>
      <c r="X10" s="2"/>
      <c r="Y10" s="2"/>
      <c r="Z10" s="2"/>
    </row>
    <row r="11" spans="2:26" ht="12.75" customHeight="1">
      <c r="B11" s="2"/>
      <c r="C11" s="2"/>
      <c r="D11" s="2"/>
      <c r="E11" s="2"/>
      <c r="F11" s="1" t="s">
        <v>52</v>
      </c>
      <c r="G11" s="36"/>
      <c r="H11" s="1"/>
      <c r="I11" s="2"/>
      <c r="J11" s="2"/>
      <c r="K11" s="2"/>
      <c r="L11" s="2"/>
      <c r="M11" s="2"/>
      <c r="N11" s="2"/>
      <c r="O11" s="2"/>
      <c r="P11" s="2"/>
      <c r="Q11" s="2"/>
      <c r="R11" s="2"/>
      <c r="S11" s="2"/>
      <c r="T11" s="2"/>
      <c r="U11" s="2"/>
      <c r="V11" s="2"/>
      <c r="W11" s="2"/>
      <c r="X11" s="2"/>
      <c r="Y11" s="2"/>
      <c r="Z11" s="2"/>
    </row>
    <row r="12" spans="2:26" ht="12.75" customHeight="1">
      <c r="B12" s="1" t="s">
        <v>53</v>
      </c>
      <c r="C12" s="1"/>
      <c r="D12" s="2"/>
      <c r="E12" s="2"/>
      <c r="F12" s="1" t="s">
        <v>54</v>
      </c>
      <c r="G12" s="36"/>
      <c r="H12" s="1"/>
      <c r="I12" s="2"/>
      <c r="J12" s="1" t="s">
        <v>55</v>
      </c>
      <c r="K12" s="36"/>
      <c r="L12" s="1"/>
      <c r="M12" s="2"/>
      <c r="N12" s="2"/>
      <c r="O12" s="2"/>
      <c r="P12" s="2"/>
      <c r="Q12" s="2"/>
      <c r="R12" s="2"/>
      <c r="S12" s="2"/>
      <c r="T12" s="2"/>
      <c r="U12" s="2"/>
      <c r="V12" s="2"/>
      <c r="W12" s="2"/>
      <c r="X12" s="2"/>
      <c r="Y12" s="2"/>
      <c r="Z12" s="2"/>
    </row>
    <row r="13" spans="2:26" ht="12.75" customHeight="1">
      <c r="B13" s="1" t="s">
        <v>56</v>
      </c>
      <c r="C13" s="1"/>
      <c r="D13" s="2"/>
      <c r="E13" s="2"/>
      <c r="F13" s="1" t="s">
        <v>197</v>
      </c>
      <c r="G13" s="36"/>
      <c r="H13" s="1"/>
      <c r="I13" s="2"/>
      <c r="J13" s="1" t="s">
        <v>57</v>
      </c>
      <c r="K13" s="36"/>
      <c r="L13" s="1"/>
      <c r="M13" s="2"/>
      <c r="N13" s="2"/>
      <c r="O13" s="2"/>
      <c r="P13" s="2"/>
      <c r="Q13" s="2"/>
      <c r="R13" s="2"/>
      <c r="S13" s="2"/>
      <c r="T13" s="2"/>
      <c r="U13" s="2"/>
      <c r="V13" s="2"/>
      <c r="W13" s="2"/>
      <c r="X13" s="2"/>
      <c r="Y13" s="2"/>
      <c r="Z13" s="2"/>
    </row>
    <row r="14" spans="2:26" ht="12.75" customHeight="1">
      <c r="B14" s="3" t="s">
        <v>58</v>
      </c>
      <c r="C14" s="3"/>
      <c r="D14" s="2"/>
      <c r="E14" s="2"/>
      <c r="F14" s="3" t="s">
        <v>59</v>
      </c>
      <c r="G14" s="132"/>
      <c r="H14" s="3"/>
      <c r="I14" s="2"/>
      <c r="J14" s="3" t="s">
        <v>60</v>
      </c>
      <c r="K14" s="132"/>
      <c r="L14" s="3"/>
      <c r="M14" s="2"/>
      <c r="N14" s="2"/>
      <c r="O14" s="2"/>
      <c r="P14" s="2"/>
      <c r="Q14" s="2"/>
      <c r="R14" s="2"/>
      <c r="S14" s="2"/>
      <c r="T14" s="2"/>
      <c r="U14" s="2"/>
      <c r="V14" s="2"/>
      <c r="W14" s="2"/>
      <c r="X14" s="2"/>
      <c r="Y14" s="2"/>
      <c r="Z14" s="2"/>
    </row>
    <row r="15" spans="2:26" ht="8.25" customHeight="1">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303"/>
      <c r="B16" s="2" t="s">
        <v>61</v>
      </c>
      <c r="C16" s="2"/>
      <c r="D16" s="2"/>
      <c r="E16" s="2"/>
      <c r="F16" s="2"/>
      <c r="G16" s="304">
        <v>15760</v>
      </c>
      <c r="I16" s="2"/>
      <c r="J16" s="2"/>
      <c r="K16" s="4">
        <f>ROUND(G16/G$24,4)+0.0001</f>
        <v>0.5229</v>
      </c>
      <c r="L16" s="2"/>
      <c r="M16" s="2"/>
      <c r="N16" s="2"/>
      <c r="O16" s="9"/>
      <c r="P16" s="303"/>
      <c r="Q16" s="2"/>
      <c r="R16" s="304"/>
      <c r="S16" s="2"/>
      <c r="T16" s="2"/>
      <c r="U16" s="2"/>
      <c r="V16" s="2"/>
      <c r="W16" s="2"/>
      <c r="X16" s="2"/>
      <c r="Y16" s="2"/>
      <c r="Z16" s="2"/>
    </row>
    <row r="17" spans="1:26" ht="12.75" customHeight="1">
      <c r="A17" s="303"/>
      <c r="B17" s="2" t="s">
        <v>194</v>
      </c>
      <c r="C17" s="2"/>
      <c r="D17" s="2"/>
      <c r="E17" s="2"/>
      <c r="F17" s="2"/>
      <c r="G17" s="304">
        <v>7857</v>
      </c>
      <c r="I17" s="2"/>
      <c r="J17" s="2"/>
      <c r="K17" s="4">
        <f aca="true" t="shared" si="0" ref="K17:K22">ROUND(G17/G$24,4)</f>
        <v>0.2606</v>
      </c>
      <c r="L17" s="2"/>
      <c r="M17" s="2"/>
      <c r="N17" s="2"/>
      <c r="O17" s="9"/>
      <c r="P17" s="303"/>
      <c r="Q17" s="2"/>
      <c r="R17" s="304"/>
      <c r="S17" s="2"/>
      <c r="T17" s="2"/>
      <c r="U17" s="2"/>
      <c r="V17" s="2"/>
      <c r="W17" s="2"/>
      <c r="X17" s="2"/>
      <c r="Y17" s="2"/>
      <c r="Z17" s="2"/>
    </row>
    <row r="18" spans="1:26" ht="12.75" customHeight="1">
      <c r="A18" s="303"/>
      <c r="B18" s="2" t="s">
        <v>63</v>
      </c>
      <c r="C18" s="2"/>
      <c r="D18" s="2"/>
      <c r="E18" s="2"/>
      <c r="F18" s="2"/>
      <c r="G18" s="304">
        <v>3107</v>
      </c>
      <c r="I18" s="2"/>
      <c r="J18" s="2"/>
      <c r="K18" s="4">
        <f t="shared" si="0"/>
        <v>0.1031</v>
      </c>
      <c r="L18" s="2"/>
      <c r="M18" s="2"/>
      <c r="N18" s="2"/>
      <c r="O18" s="9"/>
      <c r="P18" s="303"/>
      <c r="Q18" s="2"/>
      <c r="R18" s="304"/>
      <c r="S18" s="2"/>
      <c r="T18" s="2"/>
      <c r="U18" s="2"/>
      <c r="V18" s="2"/>
      <c r="W18" s="2"/>
      <c r="X18" s="2"/>
      <c r="Y18" s="2"/>
      <c r="Z18" s="2"/>
    </row>
    <row r="19" spans="1:26" ht="12.75" customHeight="1">
      <c r="A19" s="303"/>
      <c r="B19" s="2" t="s">
        <v>64</v>
      </c>
      <c r="C19" s="2"/>
      <c r="D19" s="2"/>
      <c r="E19" s="2"/>
      <c r="F19" s="2"/>
      <c r="G19" s="304">
        <v>1761</v>
      </c>
      <c r="I19" s="2"/>
      <c r="J19" s="2"/>
      <c r="K19" s="4">
        <f t="shared" si="0"/>
        <v>0.0584</v>
      </c>
      <c r="L19" s="2"/>
      <c r="M19" s="2"/>
      <c r="N19" s="2"/>
      <c r="O19" s="9"/>
      <c r="P19" s="303"/>
      <c r="Q19" s="2"/>
      <c r="R19" s="304"/>
      <c r="S19" s="2"/>
      <c r="T19" s="2"/>
      <c r="U19" s="2"/>
      <c r="V19" s="2"/>
      <c r="W19" s="2"/>
      <c r="X19" s="2"/>
      <c r="Y19" s="2"/>
      <c r="Z19" s="2"/>
    </row>
    <row r="20" spans="1:26" ht="13.5" customHeight="1">
      <c r="A20" s="303"/>
      <c r="B20" s="2" t="s">
        <v>427</v>
      </c>
      <c r="C20" s="2"/>
      <c r="D20" s="2"/>
      <c r="E20" s="2"/>
      <c r="F20" s="2"/>
      <c r="G20" s="304">
        <v>1477</v>
      </c>
      <c r="I20" s="2"/>
      <c r="J20" s="2"/>
      <c r="K20" s="4">
        <f t="shared" si="0"/>
        <v>0.049</v>
      </c>
      <c r="L20" s="2"/>
      <c r="M20" s="2"/>
      <c r="N20" s="2"/>
      <c r="O20" s="9"/>
      <c r="P20" s="303"/>
      <c r="Q20" s="2"/>
      <c r="R20" s="304"/>
      <c r="S20" s="2"/>
      <c r="T20" s="2"/>
      <c r="U20" s="2"/>
      <c r="V20" s="2"/>
      <c r="W20" s="2"/>
      <c r="X20" s="2"/>
      <c r="Y20" s="2"/>
      <c r="Z20" s="2"/>
    </row>
    <row r="21" spans="2:26" ht="12.75" customHeight="1">
      <c r="B21" s="2" t="s">
        <v>65</v>
      </c>
      <c r="C21" s="134"/>
      <c r="D21" s="134"/>
      <c r="E21" s="134"/>
      <c r="F21" s="134"/>
      <c r="G21" s="304">
        <v>0</v>
      </c>
      <c r="H21" s="338"/>
      <c r="I21" s="134"/>
      <c r="J21" s="134"/>
      <c r="K21" s="4">
        <f t="shared" si="0"/>
        <v>0</v>
      </c>
      <c r="L21" s="2"/>
      <c r="M21" s="2"/>
      <c r="N21" s="2"/>
      <c r="O21" s="9"/>
      <c r="P21" s="303"/>
      <c r="Q21" s="2"/>
      <c r="R21" s="2"/>
      <c r="S21" s="2"/>
      <c r="T21" s="2"/>
      <c r="U21" s="2"/>
      <c r="V21" s="2"/>
      <c r="W21" s="2"/>
      <c r="X21" s="2"/>
      <c r="Y21" s="2"/>
      <c r="Z21" s="2"/>
    </row>
    <row r="22" spans="2:26" ht="12.75" customHeight="1">
      <c r="B22" s="2" t="s">
        <v>99</v>
      </c>
      <c r="C22" s="134"/>
      <c r="D22" s="134"/>
      <c r="E22" s="134"/>
      <c r="F22" s="134"/>
      <c r="G22" s="304">
        <v>182</v>
      </c>
      <c r="H22" s="338"/>
      <c r="I22" s="134"/>
      <c r="J22" s="134"/>
      <c r="K22" s="4">
        <f t="shared" si="0"/>
        <v>0.006</v>
      </c>
      <c r="L22" s="2"/>
      <c r="M22" s="2"/>
      <c r="N22" s="2"/>
      <c r="O22" s="2"/>
      <c r="P22" s="303"/>
      <c r="Q22" s="2"/>
      <c r="R22" s="9"/>
      <c r="S22" s="2"/>
      <c r="T22" s="2"/>
      <c r="U22" s="2"/>
      <c r="V22" s="2"/>
      <c r="W22" s="2"/>
      <c r="X22" s="2"/>
      <c r="Y22" s="2"/>
      <c r="Z22" s="2"/>
    </row>
    <row r="23" spans="2:26" ht="12.75" customHeight="1">
      <c r="B23" s="2"/>
      <c r="C23" s="2"/>
      <c r="D23" s="2"/>
      <c r="E23" s="2"/>
      <c r="F23" s="2"/>
      <c r="G23" s="172"/>
      <c r="I23" s="2"/>
      <c r="J23" s="2"/>
      <c r="K23" s="6"/>
      <c r="L23" s="2"/>
      <c r="M23" s="2"/>
      <c r="N23" s="2"/>
      <c r="O23" s="2"/>
      <c r="P23" s="303"/>
      <c r="Q23" s="2"/>
      <c r="R23" s="9"/>
      <c r="S23" s="2"/>
      <c r="T23" s="2"/>
      <c r="U23" s="2"/>
      <c r="V23" s="2"/>
      <c r="W23" s="2"/>
      <c r="X23" s="2"/>
      <c r="Y23" s="2"/>
      <c r="Z23" s="2"/>
    </row>
    <row r="24" spans="2:26" ht="12.75" customHeight="1" thickBot="1">
      <c r="B24" s="2" t="s">
        <v>66</v>
      </c>
      <c r="C24" s="2"/>
      <c r="D24" s="2"/>
      <c r="E24" s="2"/>
      <c r="F24" s="2"/>
      <c r="G24" s="181">
        <f>SUM(G16:G23)</f>
        <v>30144</v>
      </c>
      <c r="I24" s="2"/>
      <c r="J24" s="2"/>
      <c r="K24" s="4">
        <f>SUM(K16:K23)</f>
        <v>1</v>
      </c>
      <c r="L24" s="2"/>
      <c r="M24" s="2"/>
      <c r="N24" s="2"/>
      <c r="O24" s="2"/>
      <c r="P24" s="303"/>
      <c r="Q24" s="2"/>
      <c r="R24" s="2"/>
      <c r="S24" s="2"/>
      <c r="T24" s="2"/>
      <c r="U24" s="2"/>
      <c r="V24" s="2"/>
      <c r="W24" s="2"/>
      <c r="X24" s="2"/>
      <c r="Y24" s="2"/>
      <c r="Z24" s="2"/>
    </row>
    <row r="25" spans="2:26" ht="12.75" customHeight="1" thickTop="1">
      <c r="B25" s="2"/>
      <c r="C25" s="2"/>
      <c r="D25" s="2"/>
      <c r="E25" s="2"/>
      <c r="F25" s="2"/>
      <c r="G25" s="169"/>
      <c r="H25" s="2"/>
      <c r="I25" s="2"/>
      <c r="J25" s="2"/>
      <c r="K25" s="8"/>
      <c r="L25" s="2"/>
      <c r="M25" s="2"/>
      <c r="N25" s="2"/>
      <c r="O25" s="2"/>
      <c r="P25" s="303"/>
      <c r="Q25" s="2"/>
      <c r="R25" s="2"/>
      <c r="S25" s="2"/>
      <c r="T25" s="2"/>
      <c r="U25" s="2"/>
      <c r="V25" s="2"/>
      <c r="W25" s="2"/>
      <c r="X25" s="2"/>
      <c r="Y25" s="2"/>
      <c r="Z25" s="2"/>
    </row>
    <row r="26" spans="2:26" ht="12.75" customHeight="1">
      <c r="B26" s="2"/>
      <c r="C26" s="2"/>
      <c r="D26" s="2"/>
      <c r="E26" s="2"/>
      <c r="F26" s="2"/>
      <c r="G26" s="9"/>
      <c r="H26" s="2"/>
      <c r="I26" s="2"/>
      <c r="J26" s="2"/>
      <c r="K26" s="2"/>
      <c r="L26" s="2"/>
      <c r="M26" s="2"/>
      <c r="N26" s="2"/>
      <c r="O26" s="2"/>
      <c r="P26" s="303"/>
      <c r="Q26" s="2"/>
      <c r="R26" s="2"/>
      <c r="S26" s="2"/>
      <c r="T26" s="2"/>
      <c r="U26" s="2"/>
      <c r="V26" s="2"/>
      <c r="W26" s="2"/>
      <c r="X26" s="2"/>
      <c r="Y26" s="2"/>
      <c r="Z26" s="2"/>
    </row>
    <row r="27" spans="2:26" ht="12.75" customHeight="1">
      <c r="B27" s="2" t="s">
        <v>67</v>
      </c>
      <c r="C27" s="2"/>
      <c r="D27" s="2"/>
      <c r="E27" s="2"/>
      <c r="F27" s="2"/>
      <c r="G27" s="2"/>
      <c r="H27" s="2"/>
      <c r="I27" s="2"/>
      <c r="J27" s="2"/>
      <c r="K27" s="2"/>
      <c r="L27" s="2"/>
      <c r="M27" s="2"/>
      <c r="N27" s="2"/>
      <c r="O27" s="2"/>
      <c r="P27" s="2"/>
      <c r="Q27" s="2"/>
      <c r="R27" s="2"/>
      <c r="S27" s="2"/>
      <c r="T27" s="2"/>
      <c r="U27" s="2"/>
      <c r="V27" s="2"/>
      <c r="W27" s="2"/>
      <c r="X27" s="2"/>
      <c r="Y27" s="2"/>
      <c r="Z27" s="2"/>
    </row>
    <row r="28" spans="2:26" ht="12.75" customHeight="1">
      <c r="B28" s="2" t="s">
        <v>68</v>
      </c>
      <c r="C28" s="2"/>
      <c r="D28" s="2"/>
      <c r="E28" s="2"/>
      <c r="F28" s="2"/>
      <c r="G28" s="2"/>
      <c r="H28" s="2"/>
      <c r="I28" s="2"/>
      <c r="J28" s="2"/>
      <c r="K28" s="2"/>
      <c r="L28" s="2"/>
      <c r="M28" s="2"/>
      <c r="N28" s="2"/>
      <c r="O28" s="2"/>
      <c r="P28" s="2"/>
      <c r="Q28" s="2"/>
      <c r="R28" s="2"/>
      <c r="S28" s="2"/>
      <c r="T28" s="2"/>
      <c r="U28" s="2"/>
      <c r="V28" s="2"/>
      <c r="W28" s="2"/>
      <c r="X28" s="2"/>
      <c r="Y28" s="2"/>
      <c r="Z28" s="2"/>
    </row>
    <row r="29" spans="2:26" ht="9" customHeight="1">
      <c r="B29" s="2"/>
      <c r="C29" s="2"/>
      <c r="D29" s="2"/>
      <c r="E29" s="2"/>
      <c r="F29" s="2"/>
      <c r="G29" s="2"/>
      <c r="H29" s="2"/>
      <c r="I29" s="2"/>
      <c r="J29" s="2"/>
      <c r="K29" s="2"/>
      <c r="L29" s="2"/>
      <c r="M29" s="2"/>
      <c r="N29" s="2"/>
      <c r="O29" s="2"/>
      <c r="P29" s="2"/>
      <c r="Q29" s="2"/>
      <c r="R29" s="2"/>
      <c r="S29" s="2"/>
      <c r="T29" s="2"/>
      <c r="U29" s="2"/>
      <c r="V29" s="2"/>
      <c r="W29" s="2"/>
      <c r="X29" s="2"/>
      <c r="Y29" s="2"/>
      <c r="Z29" s="2"/>
    </row>
    <row r="30" spans="2:26" ht="27" customHeight="1">
      <c r="B30" s="490" t="s">
        <v>69</v>
      </c>
      <c r="C30" s="490"/>
      <c r="D30" s="490"/>
      <c r="E30" s="490"/>
      <c r="F30" s="490"/>
      <c r="G30" s="490"/>
      <c r="H30" s="490"/>
      <c r="I30" s="490"/>
      <c r="J30" s="490"/>
      <c r="K30" s="490"/>
      <c r="L30" s="490"/>
      <c r="M30" s="490"/>
      <c r="N30" s="2"/>
      <c r="O30" s="2"/>
      <c r="P30" s="2"/>
      <c r="Q30" s="2"/>
      <c r="R30" s="2"/>
      <c r="S30" s="2"/>
      <c r="T30" s="2"/>
      <c r="U30" s="2"/>
      <c r="V30" s="2"/>
      <c r="W30" s="2"/>
      <c r="X30" s="2"/>
      <c r="Y30" s="2"/>
      <c r="Z30" s="2"/>
    </row>
    <row r="31" spans="2:26" ht="7.5" customHeight="1">
      <c r="B31" s="2"/>
      <c r="C31" s="2"/>
      <c r="D31" s="2"/>
      <c r="E31" s="2"/>
      <c r="F31" s="2"/>
      <c r="G31" s="2"/>
      <c r="H31" s="2"/>
      <c r="I31" s="2"/>
      <c r="J31" s="2"/>
      <c r="K31" s="2"/>
      <c r="L31" s="2"/>
      <c r="M31" s="2"/>
      <c r="N31" s="2"/>
      <c r="O31" s="2"/>
      <c r="P31" s="2"/>
      <c r="Q31" s="2"/>
      <c r="R31" s="2"/>
      <c r="S31" s="2"/>
      <c r="T31" s="2"/>
      <c r="U31" s="2"/>
      <c r="V31" s="2"/>
      <c r="W31" s="2"/>
      <c r="X31" s="2"/>
      <c r="Y31" s="2"/>
      <c r="Z31" s="2"/>
    </row>
    <row r="32" spans="2:26" ht="12.75" customHeight="1">
      <c r="B32" s="2"/>
      <c r="C32" s="2"/>
      <c r="D32" s="2"/>
      <c r="E32" s="1" t="s">
        <v>52</v>
      </c>
      <c r="F32" s="1"/>
      <c r="G32" s="1"/>
      <c r="H32" s="2"/>
      <c r="I32" s="1" t="s">
        <v>70</v>
      </c>
      <c r="J32" s="1"/>
      <c r="K32" s="1"/>
      <c r="L32" s="2"/>
      <c r="M32" s="2"/>
      <c r="N32" s="2"/>
      <c r="O32" s="2"/>
      <c r="P32" s="2"/>
      <c r="Q32" s="2"/>
      <c r="R32" s="2"/>
      <c r="S32" s="2"/>
      <c r="T32" s="2"/>
      <c r="U32" s="2"/>
      <c r="V32" s="2"/>
      <c r="W32" s="2"/>
      <c r="X32" s="2"/>
      <c r="Y32" s="2"/>
      <c r="Z32" s="2"/>
    </row>
    <row r="33" spans="2:26" ht="12.75" customHeight="1">
      <c r="B33" s="2"/>
      <c r="C33" s="2"/>
      <c r="D33" s="2"/>
      <c r="E33" s="1" t="s">
        <v>71</v>
      </c>
      <c r="F33" s="1"/>
      <c r="G33" s="1"/>
      <c r="H33" s="2"/>
      <c r="I33" s="1" t="s">
        <v>72</v>
      </c>
      <c r="J33" s="1"/>
      <c r="K33" s="1"/>
      <c r="L33" s="2"/>
      <c r="M33" s="2"/>
      <c r="N33" s="2"/>
      <c r="O33" s="2"/>
      <c r="P33" s="2"/>
      <c r="Q33" s="2"/>
      <c r="R33" s="2"/>
      <c r="S33" s="2"/>
      <c r="T33" s="2"/>
      <c r="U33" s="2"/>
      <c r="V33" s="2"/>
      <c r="W33" s="2"/>
      <c r="X33" s="2"/>
      <c r="Y33" s="2"/>
      <c r="Z33" s="2"/>
    </row>
    <row r="34" spans="2:26" ht="12.75" customHeight="1">
      <c r="B34" s="1" t="s">
        <v>53</v>
      </c>
      <c r="C34" s="1"/>
      <c r="D34" s="2"/>
      <c r="E34" s="10" t="s">
        <v>55</v>
      </c>
      <c r="F34" s="10"/>
      <c r="G34" s="10" t="s">
        <v>73</v>
      </c>
      <c r="H34" s="11"/>
      <c r="I34" s="10" t="s">
        <v>55</v>
      </c>
      <c r="J34" s="10"/>
      <c r="K34" s="10" t="s">
        <v>73</v>
      </c>
      <c r="L34" s="11"/>
      <c r="M34" s="11" t="s">
        <v>55</v>
      </c>
      <c r="N34" s="2"/>
      <c r="O34" s="2"/>
      <c r="P34" s="2"/>
      <c r="Q34" s="2"/>
      <c r="R34" s="2"/>
      <c r="S34" s="2"/>
      <c r="T34" s="2"/>
      <c r="U34" s="2"/>
      <c r="V34" s="2"/>
      <c r="W34" s="2"/>
      <c r="X34" s="2"/>
      <c r="Y34" s="2"/>
      <c r="Z34" s="2"/>
    </row>
    <row r="35" spans="2:26" ht="12.75" customHeight="1">
      <c r="B35" s="1" t="s">
        <v>56</v>
      </c>
      <c r="C35" s="1"/>
      <c r="D35" s="2"/>
      <c r="E35" s="11" t="s">
        <v>74</v>
      </c>
      <c r="F35" s="11"/>
      <c r="G35" s="11" t="s">
        <v>57</v>
      </c>
      <c r="H35" s="11"/>
      <c r="I35" s="11" t="s">
        <v>57</v>
      </c>
      <c r="J35" s="11"/>
      <c r="K35" s="11" t="s">
        <v>57</v>
      </c>
      <c r="L35" s="11"/>
      <c r="M35" s="11" t="s">
        <v>57</v>
      </c>
      <c r="N35" s="2"/>
      <c r="O35" s="2"/>
      <c r="P35" s="2"/>
      <c r="Q35" s="2"/>
      <c r="R35" s="2"/>
      <c r="S35" s="2"/>
      <c r="T35" s="2"/>
      <c r="U35" s="2"/>
      <c r="V35" s="2"/>
      <c r="W35" s="2"/>
      <c r="X35" s="2"/>
      <c r="Y35" s="2"/>
      <c r="Z35" s="2"/>
    </row>
    <row r="36" spans="2:26" ht="12.75" customHeight="1">
      <c r="B36" s="3" t="s">
        <v>58</v>
      </c>
      <c r="C36" s="3"/>
      <c r="D36" s="2"/>
      <c r="E36" s="10" t="s">
        <v>75</v>
      </c>
      <c r="F36" s="2"/>
      <c r="G36" s="12" t="s">
        <v>76</v>
      </c>
      <c r="H36" s="2"/>
      <c r="I36" s="10" t="s">
        <v>77</v>
      </c>
      <c r="J36" s="2"/>
      <c r="K36" s="12" t="s">
        <v>78</v>
      </c>
      <c r="L36" s="2"/>
      <c r="M36" s="10" t="s">
        <v>79</v>
      </c>
      <c r="N36" s="2"/>
      <c r="O36" s="2"/>
      <c r="P36" s="2"/>
      <c r="Q36" s="2"/>
      <c r="R36" s="2"/>
      <c r="S36" s="2"/>
      <c r="T36" s="2"/>
      <c r="U36" s="2"/>
      <c r="V36" s="2"/>
      <c r="W36" s="2"/>
      <c r="X36" s="2"/>
      <c r="Y36" s="2"/>
      <c r="Z36" s="2"/>
    </row>
    <row r="37" spans="2:26" ht="12.75" customHeight="1">
      <c r="B37" s="2"/>
      <c r="C37" s="2"/>
      <c r="D37" s="2"/>
      <c r="E37" s="2"/>
      <c r="F37" s="2"/>
      <c r="G37" s="4">
        <f>'F 2 B'!$H$33</f>
        <v>0.625</v>
      </c>
      <c r="H37" s="2"/>
      <c r="I37" s="2"/>
      <c r="J37" s="2"/>
      <c r="K37" s="4">
        <f>'F 2 B'!$H$35</f>
        <v>0.375</v>
      </c>
      <c r="L37" s="2"/>
      <c r="M37" s="2"/>
      <c r="N37" s="2"/>
      <c r="O37" s="2"/>
      <c r="P37" s="2"/>
      <c r="Q37" s="2"/>
      <c r="R37" s="2"/>
      <c r="S37" s="2"/>
      <c r="T37" s="2"/>
      <c r="U37" s="2"/>
      <c r="V37" s="2"/>
      <c r="W37" s="2"/>
      <c r="X37" s="2"/>
      <c r="Y37" s="2"/>
      <c r="Z37" s="2"/>
    </row>
    <row r="38" spans="2:26" ht="8.25" customHeight="1">
      <c r="B38" s="2"/>
      <c r="C38" s="2"/>
      <c r="D38" s="2"/>
      <c r="E38" s="2"/>
      <c r="F38" s="2"/>
      <c r="G38" s="2"/>
      <c r="H38" s="2"/>
      <c r="I38" s="2"/>
      <c r="J38" s="2"/>
      <c r="K38" s="2"/>
      <c r="L38" s="2"/>
      <c r="M38" s="2"/>
      <c r="N38" s="2"/>
      <c r="O38" s="2"/>
      <c r="P38" s="2"/>
      <c r="Q38" s="2"/>
      <c r="R38" s="2"/>
      <c r="S38" s="2"/>
      <c r="T38" s="2"/>
      <c r="U38" s="2"/>
      <c r="V38" s="2"/>
      <c r="W38" s="2"/>
      <c r="X38" s="2"/>
      <c r="Y38" s="2"/>
      <c r="Z38" s="2"/>
    </row>
    <row r="39" spans="2:26" ht="12.75" customHeight="1">
      <c r="B39" s="2" t="s">
        <v>61</v>
      </c>
      <c r="C39" s="2"/>
      <c r="D39" s="2"/>
      <c r="E39" s="4">
        <f aca="true" t="shared" si="1" ref="E39:E45">K16</f>
        <v>0.5229</v>
      </c>
      <c r="F39" s="2"/>
      <c r="G39" s="4">
        <f aca="true" t="shared" si="2" ref="G39:G44">ROUND(E39*G$37,4)</f>
        <v>0.3268</v>
      </c>
      <c r="H39" s="2"/>
      <c r="I39" s="4">
        <f>'F 2 B'!$J$17</f>
        <v>0.5858</v>
      </c>
      <c r="J39" s="2"/>
      <c r="K39" s="4">
        <f>ROUND(I39*K$37,4)-0.0001</f>
        <v>0.21960000000000002</v>
      </c>
      <c r="L39" s="2"/>
      <c r="M39" s="4">
        <f aca="true" t="shared" si="3" ref="M39:M45">G39+K39</f>
        <v>0.5464</v>
      </c>
      <c r="N39" s="2"/>
      <c r="O39" s="4"/>
      <c r="P39" s="2"/>
      <c r="Q39" s="2"/>
      <c r="R39" s="2"/>
      <c r="S39" s="2"/>
      <c r="T39" s="2"/>
      <c r="U39" s="2"/>
      <c r="V39" s="2"/>
      <c r="W39" s="2"/>
      <c r="X39" s="2"/>
      <c r="Y39" s="2"/>
      <c r="Z39" s="2"/>
    </row>
    <row r="40" spans="2:26" ht="12.75" customHeight="1">
      <c r="B40" s="2" t="s">
        <v>194</v>
      </c>
      <c r="C40" s="2"/>
      <c r="D40" s="2"/>
      <c r="E40" s="4">
        <f t="shared" si="1"/>
        <v>0.2606</v>
      </c>
      <c r="F40" s="2"/>
      <c r="G40" s="4">
        <f t="shared" si="2"/>
        <v>0.1629</v>
      </c>
      <c r="H40" s="2"/>
      <c r="I40" s="4">
        <f>'F 2 B'!$J$18</f>
        <v>0.2373</v>
      </c>
      <c r="J40" s="2"/>
      <c r="K40" s="4">
        <f>ROUND(I40*K$37,4)</f>
        <v>0.089</v>
      </c>
      <c r="L40" s="2"/>
      <c r="M40" s="4">
        <f t="shared" si="3"/>
        <v>0.2519</v>
      </c>
      <c r="N40" s="2"/>
      <c r="O40" s="4"/>
      <c r="P40" s="2"/>
      <c r="Q40" s="2"/>
      <c r="R40" s="2"/>
      <c r="S40" s="2"/>
      <c r="T40" s="2"/>
      <c r="U40" s="2"/>
      <c r="V40" s="2"/>
      <c r="W40" s="2"/>
      <c r="X40" s="2"/>
      <c r="Y40" s="2"/>
      <c r="Z40" s="2"/>
    </row>
    <row r="41" spans="2:26" ht="12.75" customHeight="1">
      <c r="B41" s="2" t="s">
        <v>63</v>
      </c>
      <c r="C41" s="2"/>
      <c r="D41" s="2"/>
      <c r="E41" s="4">
        <f t="shared" si="1"/>
        <v>0.1031</v>
      </c>
      <c r="F41" s="2"/>
      <c r="G41" s="4">
        <f t="shared" si="2"/>
        <v>0.0644</v>
      </c>
      <c r="H41" s="2"/>
      <c r="I41" s="4">
        <f>'F 2 B'!$J$19</f>
        <v>0.0866</v>
      </c>
      <c r="J41" s="2"/>
      <c r="K41" s="4">
        <f>ROUND(I41*K$37,4)</f>
        <v>0.0325</v>
      </c>
      <c r="L41" s="2"/>
      <c r="M41" s="4">
        <f t="shared" si="3"/>
        <v>0.0969</v>
      </c>
      <c r="N41" s="2"/>
      <c r="O41" s="4"/>
      <c r="P41" s="2"/>
      <c r="Q41" s="2"/>
      <c r="R41" s="2"/>
      <c r="S41" s="2"/>
      <c r="T41" s="2"/>
      <c r="U41" s="2"/>
      <c r="V41" s="2"/>
      <c r="W41" s="2"/>
      <c r="X41" s="2"/>
      <c r="Y41" s="2"/>
      <c r="Z41" s="2"/>
    </row>
    <row r="42" spans="2:26" ht="15" customHeight="1">
      <c r="B42" s="2" t="s">
        <v>64</v>
      </c>
      <c r="C42" s="2"/>
      <c r="D42" s="2"/>
      <c r="E42" s="4">
        <f t="shared" si="1"/>
        <v>0.0584</v>
      </c>
      <c r="F42" s="2"/>
      <c r="G42" s="4">
        <f t="shared" si="2"/>
        <v>0.0365</v>
      </c>
      <c r="H42" s="2"/>
      <c r="I42" s="4">
        <f>'F 2 B'!$J$20</f>
        <v>0.0491</v>
      </c>
      <c r="J42" s="2"/>
      <c r="K42" s="4">
        <f>ROUND(I42*K$37,4)</f>
        <v>0.0184</v>
      </c>
      <c r="L42" s="2"/>
      <c r="M42" s="4">
        <f t="shared" si="3"/>
        <v>0.0549</v>
      </c>
      <c r="N42" s="2"/>
      <c r="O42" s="4"/>
      <c r="P42" s="2"/>
      <c r="Q42" s="2"/>
      <c r="R42" s="2"/>
      <c r="S42" s="2"/>
      <c r="T42" s="2"/>
      <c r="U42" s="2"/>
      <c r="V42" s="2"/>
      <c r="W42" s="2"/>
      <c r="X42" s="2"/>
      <c r="Y42" s="2"/>
      <c r="Z42" s="2"/>
    </row>
    <row r="43" spans="2:26" ht="12.75" customHeight="1">
      <c r="B43" s="2" t="s">
        <v>427</v>
      </c>
      <c r="C43" s="2"/>
      <c r="D43" s="2"/>
      <c r="E43" s="4">
        <f t="shared" si="1"/>
        <v>0.049</v>
      </c>
      <c r="F43" s="2"/>
      <c r="G43" s="4">
        <f t="shared" si="2"/>
        <v>0.0306</v>
      </c>
      <c r="H43" s="2"/>
      <c r="I43" s="4">
        <f>'F 2 B'!$J$21</f>
        <v>0.0412</v>
      </c>
      <c r="J43" s="2"/>
      <c r="K43" s="4">
        <f>ROUND(I43*K$37,4)</f>
        <v>0.0155</v>
      </c>
      <c r="L43" s="2"/>
      <c r="M43" s="4">
        <f t="shared" si="3"/>
        <v>0.0461</v>
      </c>
      <c r="N43" s="2"/>
      <c r="O43" s="4"/>
      <c r="P43" s="2"/>
      <c r="Q43" s="2"/>
      <c r="R43" s="2"/>
      <c r="S43" s="2"/>
      <c r="T43" s="2"/>
      <c r="U43" s="2"/>
      <c r="V43" s="2"/>
      <c r="W43" s="2"/>
      <c r="X43" s="2"/>
      <c r="Y43" s="2"/>
      <c r="Z43" s="2"/>
    </row>
    <row r="44" spans="2:26" ht="12.75" customHeight="1">
      <c r="B44" s="2" t="s">
        <v>65</v>
      </c>
      <c r="C44" s="2"/>
      <c r="D44" s="2"/>
      <c r="E44" s="4">
        <f t="shared" si="1"/>
        <v>0</v>
      </c>
      <c r="F44" s="2"/>
      <c r="G44" s="4">
        <f t="shared" si="2"/>
        <v>0</v>
      </c>
      <c r="H44" s="2"/>
      <c r="I44" s="2"/>
      <c r="J44" s="2"/>
      <c r="K44" s="2"/>
      <c r="L44" s="2"/>
      <c r="M44" s="4">
        <f t="shared" si="3"/>
        <v>0</v>
      </c>
      <c r="N44" s="2"/>
      <c r="O44" s="4"/>
      <c r="P44" s="2"/>
      <c r="Q44" s="2"/>
      <c r="R44" s="2"/>
      <c r="S44" s="2"/>
      <c r="T44" s="2"/>
      <c r="U44" s="2"/>
      <c r="V44" s="2"/>
      <c r="W44" s="2"/>
      <c r="X44" s="2"/>
      <c r="Y44" s="2"/>
      <c r="Z44" s="2"/>
    </row>
    <row r="45" spans="2:26" ht="12.75" customHeight="1">
      <c r="B45" s="2" t="s">
        <v>99</v>
      </c>
      <c r="C45" s="2"/>
      <c r="D45" s="2"/>
      <c r="E45" s="4">
        <f t="shared" si="1"/>
        <v>0.006</v>
      </c>
      <c r="F45" s="2"/>
      <c r="G45" s="305">
        <f>ROUND(E45*G$37,4)+0</f>
        <v>0.0038</v>
      </c>
      <c r="H45" s="2"/>
      <c r="I45" s="2"/>
      <c r="J45" s="2"/>
      <c r="K45" s="2"/>
      <c r="L45" s="2"/>
      <c r="M45" s="4">
        <f t="shared" si="3"/>
        <v>0.0038</v>
      </c>
      <c r="N45" s="2"/>
      <c r="O45" s="4"/>
      <c r="P45" s="2"/>
      <c r="Q45" s="2"/>
      <c r="R45" s="2"/>
      <c r="S45" s="2"/>
      <c r="T45" s="2"/>
      <c r="U45" s="2"/>
      <c r="V45" s="2"/>
      <c r="W45" s="2"/>
      <c r="X45" s="2"/>
      <c r="Y45" s="2"/>
      <c r="Z45" s="2"/>
    </row>
    <row r="46" spans="2:26" ht="8.25" customHeight="1">
      <c r="B46" s="2"/>
      <c r="C46" s="2"/>
      <c r="D46" s="2"/>
      <c r="E46" s="6"/>
      <c r="F46" s="2"/>
      <c r="G46" s="6"/>
      <c r="H46" s="2"/>
      <c r="I46" s="6"/>
      <c r="J46" s="2"/>
      <c r="K46" s="6"/>
      <c r="L46" s="2"/>
      <c r="M46" s="6"/>
      <c r="N46" s="2"/>
      <c r="O46" s="13"/>
      <c r="P46" s="2"/>
      <c r="Q46" s="2"/>
      <c r="R46" s="2"/>
      <c r="S46" s="2"/>
      <c r="T46" s="2"/>
      <c r="U46" s="2"/>
      <c r="V46" s="2"/>
      <c r="W46" s="2"/>
      <c r="X46" s="2"/>
      <c r="Y46" s="2"/>
      <c r="Z46" s="2"/>
    </row>
    <row r="47" spans="2:26" ht="12.75" customHeight="1" thickBot="1">
      <c r="B47" s="2" t="s">
        <v>66</v>
      </c>
      <c r="C47" s="2"/>
      <c r="D47" s="2"/>
      <c r="E47" s="4">
        <f>SUM(E39:E46)</f>
        <v>1</v>
      </c>
      <c r="F47" s="2"/>
      <c r="G47" s="165">
        <f>SUM(G39:G46)</f>
        <v>0.6249999999999999</v>
      </c>
      <c r="H47" s="2"/>
      <c r="I47" s="4">
        <f>SUM(I39:I46)</f>
        <v>1</v>
      </c>
      <c r="J47" s="2"/>
      <c r="K47" s="4">
        <f>SUM(K39:K46)</f>
        <v>0.37499999999999994</v>
      </c>
      <c r="L47" s="2"/>
      <c r="M47" s="4">
        <f>SUM(M39:M46)</f>
        <v>1</v>
      </c>
      <c r="N47" s="2"/>
      <c r="O47" s="4"/>
      <c r="P47" s="2"/>
      <c r="Q47" s="2"/>
      <c r="R47" s="2"/>
      <c r="S47" s="2"/>
      <c r="T47" s="2"/>
      <c r="U47" s="2"/>
      <c r="V47" s="2"/>
      <c r="W47" s="2"/>
      <c r="X47" s="2"/>
      <c r="Y47" s="2"/>
      <c r="Z47" s="2"/>
    </row>
    <row r="48" spans="5:26" ht="12.75" customHeight="1" thickTop="1">
      <c r="E48" s="306"/>
      <c r="G48" s="307"/>
      <c r="I48" s="306"/>
      <c r="K48" s="306"/>
      <c r="M48" s="306"/>
      <c r="N48" s="2"/>
      <c r="O48" s="2"/>
      <c r="P48" s="2"/>
      <c r="Q48" s="2"/>
      <c r="R48" s="2"/>
      <c r="S48" s="2"/>
      <c r="T48" s="2"/>
      <c r="U48" s="2"/>
      <c r="V48" s="2"/>
      <c r="W48" s="2"/>
      <c r="X48" s="2"/>
      <c r="Y48" s="2"/>
      <c r="Z48" s="2"/>
    </row>
    <row r="49" spans="2:26" ht="25.5" customHeight="1">
      <c r="B49" s="491" t="s">
        <v>80</v>
      </c>
      <c r="C49" s="491"/>
      <c r="D49" s="491"/>
      <c r="E49" s="491"/>
      <c r="F49" s="491"/>
      <c r="G49" s="491"/>
      <c r="H49" s="491"/>
      <c r="I49" s="491"/>
      <c r="J49" s="491"/>
      <c r="K49" s="491"/>
      <c r="L49" s="491"/>
      <c r="M49" s="491"/>
      <c r="N49" s="2"/>
      <c r="O49" s="2"/>
      <c r="P49" s="2"/>
      <c r="Q49" s="2"/>
      <c r="R49" s="2"/>
      <c r="S49" s="2"/>
      <c r="T49" s="2"/>
      <c r="U49" s="2"/>
      <c r="V49" s="2"/>
      <c r="W49" s="2"/>
      <c r="X49" s="2"/>
      <c r="Y49" s="2"/>
      <c r="Z49" s="2"/>
    </row>
    <row r="50" spans="14:26" ht="12.75" customHeight="1">
      <c r="N50" s="2"/>
      <c r="O50" s="2"/>
      <c r="P50" s="2"/>
      <c r="Q50" s="2"/>
      <c r="R50" s="2"/>
      <c r="S50" s="2"/>
      <c r="T50" s="2"/>
      <c r="U50" s="2"/>
      <c r="V50" s="2"/>
      <c r="W50" s="2"/>
      <c r="X50" s="2"/>
      <c r="Y50" s="2"/>
      <c r="Z50" s="2"/>
    </row>
    <row r="51" spans="2:26" ht="12.75" customHeight="1">
      <c r="B51" s="2"/>
      <c r="C51" s="2"/>
      <c r="D51" s="2"/>
      <c r="E51" s="2"/>
      <c r="F51" s="2"/>
      <c r="G51" s="2"/>
      <c r="H51" s="2"/>
      <c r="I51" s="2"/>
      <c r="J51" s="2"/>
      <c r="K51" s="2"/>
      <c r="L51" s="2"/>
      <c r="M51" s="2"/>
      <c r="N51" s="2"/>
      <c r="O51" s="2"/>
      <c r="P51" s="2"/>
      <c r="Q51" s="2"/>
      <c r="R51" s="2"/>
      <c r="S51" s="2"/>
      <c r="T51" s="2"/>
      <c r="U51" s="2"/>
      <c r="V51" s="2"/>
      <c r="W51" s="2"/>
      <c r="X51" s="2"/>
      <c r="Y51" s="2"/>
      <c r="Z51" s="2"/>
    </row>
    <row r="52" spans="2:26" ht="15">
      <c r="B52" s="2"/>
      <c r="C52" s="2"/>
      <c r="D52" s="2"/>
      <c r="E52" s="2"/>
      <c r="F52" s="2"/>
      <c r="G52" s="2"/>
      <c r="H52" s="2"/>
      <c r="I52" s="2"/>
      <c r="J52" s="2"/>
      <c r="K52" s="2"/>
      <c r="L52" s="2"/>
      <c r="M52" s="2"/>
      <c r="N52" s="2"/>
      <c r="O52" s="2"/>
      <c r="P52" s="2"/>
      <c r="Q52" s="2"/>
      <c r="R52" s="2"/>
      <c r="S52" s="2"/>
      <c r="T52" s="2"/>
      <c r="U52" s="2"/>
      <c r="V52" s="2"/>
      <c r="W52" s="2"/>
      <c r="X52" s="2"/>
      <c r="Y52" s="2"/>
      <c r="Z52" s="2"/>
    </row>
    <row r="53" spans="2:26" ht="15">
      <c r="B53" s="2"/>
      <c r="C53" s="2"/>
      <c r="D53" s="2"/>
      <c r="E53" s="2"/>
      <c r="F53" s="2"/>
      <c r="G53" s="2"/>
      <c r="H53" s="2"/>
      <c r="I53" s="2"/>
      <c r="J53" s="2"/>
      <c r="K53" s="2"/>
      <c r="L53" s="2"/>
      <c r="M53" s="2"/>
      <c r="N53" s="2"/>
      <c r="O53" s="2"/>
      <c r="P53" s="2"/>
      <c r="Q53" s="2"/>
      <c r="R53" s="2"/>
      <c r="S53" s="2"/>
      <c r="T53" s="2"/>
      <c r="U53" s="2"/>
      <c r="V53" s="2"/>
      <c r="W53" s="2"/>
      <c r="X53" s="2"/>
      <c r="Y53" s="2"/>
      <c r="Z53" s="2"/>
    </row>
    <row r="54" spans="2:26" ht="15">
      <c r="B54" s="2"/>
      <c r="C54" s="2"/>
      <c r="D54" s="2"/>
      <c r="E54" s="2"/>
      <c r="F54" s="2"/>
      <c r="G54" s="2"/>
      <c r="H54" s="2"/>
      <c r="I54" s="2"/>
      <c r="J54" s="2"/>
      <c r="K54" s="2"/>
      <c r="L54" s="2"/>
      <c r="M54" s="2"/>
      <c r="N54" s="2"/>
      <c r="O54" s="2"/>
      <c r="P54" s="2"/>
      <c r="Q54" s="2"/>
      <c r="R54" s="2"/>
      <c r="S54" s="2"/>
      <c r="T54" s="2"/>
      <c r="U54" s="2"/>
      <c r="V54" s="2"/>
      <c r="W54" s="2"/>
      <c r="X54" s="2"/>
      <c r="Y54" s="2"/>
      <c r="Z54" s="2"/>
    </row>
    <row r="55" spans="2:26" ht="15">
      <c r="B55" s="2"/>
      <c r="C55" s="2"/>
      <c r="D55" s="2"/>
      <c r="E55" s="2"/>
      <c r="F55" s="2"/>
      <c r="G55" s="2"/>
      <c r="H55" s="2"/>
      <c r="I55" s="2"/>
      <c r="J55" s="2"/>
      <c r="K55" s="2"/>
      <c r="L55" s="2"/>
      <c r="M55" s="2"/>
      <c r="N55" s="2"/>
      <c r="O55" s="2"/>
      <c r="P55" s="2"/>
      <c r="Q55" s="2"/>
      <c r="R55" s="2"/>
      <c r="S55" s="2"/>
      <c r="T55" s="2"/>
      <c r="U55" s="2"/>
      <c r="V55" s="2"/>
      <c r="W55" s="2"/>
      <c r="X55" s="2"/>
      <c r="Y55" s="2"/>
      <c r="Z55" s="2"/>
    </row>
    <row r="56" spans="2:26" ht="15">
      <c r="B56" s="2"/>
      <c r="C56" s="2"/>
      <c r="D56" s="2"/>
      <c r="E56" s="2"/>
      <c r="F56" s="2"/>
      <c r="G56" s="2"/>
      <c r="H56" s="2"/>
      <c r="I56" s="2"/>
      <c r="J56" s="2"/>
      <c r="K56" s="2"/>
      <c r="L56" s="2"/>
      <c r="M56" s="2"/>
      <c r="N56" s="2"/>
      <c r="O56" s="2"/>
      <c r="P56" s="2"/>
      <c r="Q56" s="2"/>
      <c r="R56" s="2"/>
      <c r="S56" s="2"/>
      <c r="T56" s="2"/>
      <c r="U56" s="2"/>
      <c r="V56" s="2"/>
      <c r="W56" s="2"/>
      <c r="X56" s="2"/>
      <c r="Y56" s="2"/>
      <c r="Z56" s="2"/>
    </row>
    <row r="57" spans="2:26" ht="15">
      <c r="B57" s="2"/>
      <c r="C57" s="2"/>
      <c r="D57" s="2"/>
      <c r="E57" s="2"/>
      <c r="F57" s="2"/>
      <c r="G57" s="2"/>
      <c r="H57" s="2"/>
      <c r="I57" s="2"/>
      <c r="J57" s="2"/>
      <c r="K57" s="2"/>
      <c r="L57" s="2"/>
      <c r="M57" s="2"/>
      <c r="N57" s="2"/>
      <c r="O57" s="2"/>
      <c r="P57" s="2"/>
      <c r="Q57" s="2"/>
      <c r="R57" s="2"/>
      <c r="S57" s="2"/>
      <c r="T57" s="2"/>
      <c r="U57" s="2"/>
      <c r="V57" s="2"/>
      <c r="W57" s="2"/>
      <c r="X57" s="2"/>
      <c r="Y57" s="2"/>
      <c r="Z57" s="2"/>
    </row>
    <row r="58" spans="2:26" ht="15">
      <c r="B58" s="2"/>
      <c r="C58" s="2"/>
      <c r="D58" s="2"/>
      <c r="E58" s="2"/>
      <c r="F58" s="2"/>
      <c r="G58" s="2"/>
      <c r="H58" s="2"/>
      <c r="I58" s="2"/>
      <c r="J58" s="2"/>
      <c r="K58" s="2"/>
      <c r="L58" s="2"/>
      <c r="M58" s="2"/>
      <c r="N58" s="2"/>
      <c r="O58" s="2"/>
      <c r="P58" s="2"/>
      <c r="Q58" s="2"/>
      <c r="R58" s="2"/>
      <c r="S58" s="2"/>
      <c r="T58" s="2"/>
      <c r="U58" s="2"/>
      <c r="V58" s="2"/>
      <c r="W58" s="2"/>
      <c r="X58" s="2"/>
      <c r="Y58" s="2"/>
      <c r="Z58" s="2"/>
    </row>
    <row r="59" spans="2:26" ht="15">
      <c r="B59" s="2"/>
      <c r="C59" s="2"/>
      <c r="D59" s="2"/>
      <c r="E59" s="2"/>
      <c r="F59" s="2"/>
      <c r="G59" s="2"/>
      <c r="H59" s="2"/>
      <c r="I59" s="2"/>
      <c r="J59" s="2"/>
      <c r="K59" s="2"/>
      <c r="L59" s="2"/>
      <c r="M59" s="2"/>
      <c r="N59" s="2"/>
      <c r="O59" s="2"/>
      <c r="P59" s="2"/>
      <c r="Q59" s="2"/>
      <c r="R59" s="2"/>
      <c r="S59" s="2"/>
      <c r="T59" s="2"/>
      <c r="U59" s="2"/>
      <c r="V59" s="2"/>
      <c r="W59" s="2"/>
      <c r="X59" s="2"/>
      <c r="Y59" s="2"/>
      <c r="Z59" s="2"/>
    </row>
    <row r="60" spans="2:26" ht="15">
      <c r="B60" s="2"/>
      <c r="C60" s="2"/>
      <c r="D60" s="2"/>
      <c r="E60" s="2"/>
      <c r="F60" s="2"/>
      <c r="G60" s="2"/>
      <c r="H60" s="2"/>
      <c r="I60" s="2"/>
      <c r="J60" s="2"/>
      <c r="K60" s="2"/>
      <c r="L60" s="2"/>
      <c r="M60" s="2"/>
      <c r="N60" s="2"/>
      <c r="O60" s="2"/>
      <c r="P60" s="2"/>
      <c r="Q60" s="2"/>
      <c r="R60" s="2"/>
      <c r="S60" s="2"/>
      <c r="T60" s="2"/>
      <c r="U60" s="2"/>
      <c r="V60" s="2"/>
      <c r="W60" s="2"/>
      <c r="X60" s="2"/>
      <c r="Y60" s="2"/>
      <c r="Z60" s="2"/>
    </row>
    <row r="61" spans="2:26" ht="15">
      <c r="B61" s="2"/>
      <c r="C61" s="2"/>
      <c r="D61" s="2"/>
      <c r="E61" s="2"/>
      <c r="F61" s="2"/>
      <c r="G61" s="2"/>
      <c r="H61" s="2"/>
      <c r="I61" s="2"/>
      <c r="J61" s="2"/>
      <c r="K61" s="2"/>
      <c r="L61" s="2"/>
      <c r="M61" s="2"/>
      <c r="N61" s="2"/>
      <c r="O61" s="2"/>
      <c r="P61" s="2"/>
      <c r="Q61" s="2"/>
      <c r="R61" s="2"/>
      <c r="S61" s="2"/>
      <c r="T61" s="2"/>
      <c r="U61" s="2"/>
      <c r="V61" s="2"/>
      <c r="W61" s="2"/>
      <c r="X61" s="2"/>
      <c r="Y61" s="2"/>
      <c r="Z61" s="2"/>
    </row>
    <row r="62" spans="2:26" ht="15">
      <c r="B62" s="2"/>
      <c r="C62" s="2"/>
      <c r="D62" s="2"/>
      <c r="E62" s="2"/>
      <c r="F62" s="2"/>
      <c r="G62" s="2"/>
      <c r="H62" s="2"/>
      <c r="I62" s="2"/>
      <c r="J62" s="2"/>
      <c r="K62" s="2"/>
      <c r="L62" s="2"/>
      <c r="M62" s="2"/>
      <c r="N62" s="2"/>
      <c r="O62" s="2"/>
      <c r="P62" s="2"/>
      <c r="Q62" s="2"/>
      <c r="R62" s="2"/>
      <c r="S62" s="2"/>
      <c r="T62" s="2"/>
      <c r="U62" s="2"/>
      <c r="V62" s="2"/>
      <c r="W62" s="2"/>
      <c r="X62" s="2"/>
      <c r="Y62" s="2"/>
      <c r="Z62" s="2"/>
    </row>
    <row r="63" spans="2:26" ht="15">
      <c r="B63" s="2"/>
      <c r="C63" s="2"/>
      <c r="D63" s="2"/>
      <c r="E63" s="2"/>
      <c r="F63" s="2"/>
      <c r="G63" s="2"/>
      <c r="H63" s="2"/>
      <c r="I63" s="2"/>
      <c r="J63" s="2"/>
      <c r="K63" s="2"/>
      <c r="L63" s="2"/>
      <c r="M63" s="2"/>
      <c r="N63" s="2"/>
      <c r="O63" s="2"/>
      <c r="P63" s="2"/>
      <c r="Q63" s="2"/>
      <c r="R63" s="2"/>
      <c r="S63" s="2"/>
      <c r="T63" s="2"/>
      <c r="U63" s="2"/>
      <c r="V63" s="2"/>
      <c r="W63" s="2"/>
      <c r="X63" s="2"/>
      <c r="Y63" s="2"/>
      <c r="Z63" s="2"/>
    </row>
    <row r="64" spans="2:26" ht="15">
      <c r="B64" s="2"/>
      <c r="C64" s="2"/>
      <c r="D64" s="2"/>
      <c r="E64" s="2"/>
      <c r="F64" s="2"/>
      <c r="G64" s="2"/>
      <c r="H64" s="2"/>
      <c r="I64" s="2"/>
      <c r="J64" s="2"/>
      <c r="K64" s="2"/>
      <c r="L64" s="2"/>
      <c r="M64" s="2"/>
      <c r="N64" s="2"/>
      <c r="O64" s="2"/>
      <c r="Z64" s="2"/>
    </row>
    <row r="65" spans="2:26" ht="15">
      <c r="B65" s="2"/>
      <c r="C65" s="2"/>
      <c r="D65" s="2"/>
      <c r="E65" s="2"/>
      <c r="F65" s="2"/>
      <c r="G65" s="2"/>
      <c r="H65" s="2"/>
      <c r="I65" s="2"/>
      <c r="J65" s="2"/>
      <c r="K65" s="2"/>
      <c r="L65" s="2"/>
      <c r="M65" s="2"/>
      <c r="N65" s="2"/>
      <c r="O65" s="2"/>
      <c r="Z65" s="2"/>
    </row>
    <row r="66" spans="2:26" ht="15">
      <c r="B66" s="2"/>
      <c r="C66" s="2"/>
      <c r="D66" s="2"/>
      <c r="E66" s="2"/>
      <c r="F66" s="2"/>
      <c r="G66" s="2"/>
      <c r="H66" s="2"/>
      <c r="I66" s="2"/>
      <c r="J66" s="2"/>
      <c r="K66" s="2"/>
      <c r="L66" s="2"/>
      <c r="M66" s="2"/>
      <c r="N66" s="2"/>
      <c r="O66" s="2"/>
      <c r="Z66" s="2"/>
    </row>
    <row r="67" spans="2:26" ht="15">
      <c r="B67" s="2"/>
      <c r="C67" s="2"/>
      <c r="D67" s="2"/>
      <c r="E67" s="2"/>
      <c r="F67" s="2"/>
      <c r="G67" s="2"/>
      <c r="H67" s="2"/>
      <c r="I67" s="2"/>
      <c r="J67" s="2"/>
      <c r="K67" s="2"/>
      <c r="L67" s="2"/>
      <c r="M67" s="2"/>
      <c r="N67" s="2"/>
      <c r="O67" s="2"/>
      <c r="Z67" s="2"/>
    </row>
    <row r="68" spans="2:26" ht="15">
      <c r="B68" s="2"/>
      <c r="C68" s="2"/>
      <c r="D68" s="2"/>
      <c r="E68" s="2"/>
      <c r="F68" s="2"/>
      <c r="G68" s="2"/>
      <c r="H68" s="2"/>
      <c r="I68" s="2"/>
      <c r="J68" s="2"/>
      <c r="K68" s="2"/>
      <c r="L68" s="2"/>
      <c r="M68" s="2"/>
      <c r="N68" s="2"/>
      <c r="O68" s="2"/>
      <c r="Z68" s="2"/>
    </row>
    <row r="69" spans="2:26" ht="15">
      <c r="B69" s="2"/>
      <c r="C69" s="2"/>
      <c r="D69" s="2"/>
      <c r="E69" s="2"/>
      <c r="F69" s="2"/>
      <c r="G69" s="2"/>
      <c r="H69" s="2"/>
      <c r="I69" s="2"/>
      <c r="J69" s="2"/>
      <c r="K69" s="2"/>
      <c r="L69" s="2"/>
      <c r="M69" s="2"/>
      <c r="N69" s="2"/>
      <c r="O69" s="2"/>
      <c r="Z69" s="2"/>
    </row>
    <row r="70" spans="2:26" ht="15">
      <c r="B70" s="2"/>
      <c r="C70" s="2"/>
      <c r="D70" s="2"/>
      <c r="E70" s="2"/>
      <c r="F70" s="2"/>
      <c r="G70" s="2"/>
      <c r="H70" s="2"/>
      <c r="I70" s="2"/>
      <c r="J70" s="2"/>
      <c r="K70" s="2"/>
      <c r="L70" s="2"/>
      <c r="M70" s="2"/>
      <c r="N70" s="2"/>
      <c r="O70" s="2"/>
      <c r="Z70" s="2"/>
    </row>
    <row r="71" spans="2:26" ht="15">
      <c r="B71" s="2"/>
      <c r="C71" s="2"/>
      <c r="D71" s="2"/>
      <c r="E71" s="2"/>
      <c r="F71" s="2"/>
      <c r="G71" s="2"/>
      <c r="H71" s="2"/>
      <c r="I71" s="2"/>
      <c r="J71" s="2"/>
      <c r="K71" s="2"/>
      <c r="L71" s="2"/>
      <c r="M71" s="2"/>
      <c r="N71" s="2"/>
      <c r="O71" s="2"/>
      <c r="Z71" s="2"/>
    </row>
    <row r="72" spans="2:26" ht="15">
      <c r="B72" s="2"/>
      <c r="C72" s="2"/>
      <c r="D72" s="2"/>
      <c r="E72" s="2"/>
      <c r="F72" s="2"/>
      <c r="G72" s="2"/>
      <c r="H72" s="2"/>
      <c r="I72" s="2"/>
      <c r="J72" s="2"/>
      <c r="K72" s="2"/>
      <c r="L72" s="2"/>
      <c r="M72" s="2"/>
      <c r="N72" s="2"/>
      <c r="O72" s="2"/>
      <c r="Z72" s="2"/>
    </row>
    <row r="73" spans="2:26" ht="15">
      <c r="B73" s="2"/>
      <c r="C73" s="2"/>
      <c r="D73" s="2"/>
      <c r="E73" s="2"/>
      <c r="F73" s="2"/>
      <c r="G73" s="2"/>
      <c r="H73" s="2"/>
      <c r="I73" s="2"/>
      <c r="J73" s="2"/>
      <c r="K73" s="2"/>
      <c r="L73" s="2"/>
      <c r="M73" s="2"/>
      <c r="N73" s="2"/>
      <c r="O73" s="2"/>
      <c r="Z73" s="2"/>
    </row>
    <row r="74" spans="2:26" ht="15">
      <c r="B74" s="2"/>
      <c r="C74" s="2"/>
      <c r="D74" s="2"/>
      <c r="E74" s="2"/>
      <c r="F74" s="2"/>
      <c r="G74" s="2"/>
      <c r="H74" s="2"/>
      <c r="I74" s="2"/>
      <c r="J74" s="2"/>
      <c r="K74" s="2"/>
      <c r="L74" s="2"/>
      <c r="M74" s="2"/>
      <c r="N74" s="2"/>
      <c r="O74" s="2"/>
      <c r="Z74" s="2"/>
    </row>
    <row r="75" spans="2:26" ht="15">
      <c r="B75" s="2"/>
      <c r="C75" s="2"/>
      <c r="D75" s="2"/>
      <c r="E75" s="2"/>
      <c r="F75" s="2"/>
      <c r="G75" s="2"/>
      <c r="H75" s="2"/>
      <c r="I75" s="2"/>
      <c r="J75" s="2"/>
      <c r="K75" s="2"/>
      <c r="L75" s="2"/>
      <c r="M75" s="2"/>
      <c r="N75" s="2"/>
      <c r="O75" s="2"/>
      <c r="Z75" s="2"/>
    </row>
    <row r="76" spans="2:26" ht="15">
      <c r="B76" s="2"/>
      <c r="C76" s="2"/>
      <c r="D76" s="2"/>
      <c r="E76" s="2"/>
      <c r="F76" s="2"/>
      <c r="G76" s="2"/>
      <c r="H76" s="2"/>
      <c r="I76" s="2"/>
      <c r="J76" s="2"/>
      <c r="K76" s="2"/>
      <c r="L76" s="2"/>
      <c r="M76" s="2"/>
      <c r="N76" s="2"/>
      <c r="O76" s="2"/>
      <c r="Z76" s="2"/>
    </row>
    <row r="77" spans="2:26" ht="15">
      <c r="B77" s="2"/>
      <c r="C77" s="2"/>
      <c r="D77" s="2"/>
      <c r="E77" s="2"/>
      <c r="F77" s="2"/>
      <c r="G77" s="2"/>
      <c r="H77" s="2"/>
      <c r="I77" s="2"/>
      <c r="J77" s="2"/>
      <c r="K77" s="2"/>
      <c r="L77" s="2"/>
      <c r="M77" s="2"/>
      <c r="N77" s="2"/>
      <c r="O77" s="2"/>
      <c r="Z77" s="2"/>
    </row>
    <row r="78" spans="2:26" ht="12.75" customHeight="1">
      <c r="B78" s="2"/>
      <c r="C78" s="2"/>
      <c r="D78" s="2"/>
      <c r="E78" s="2"/>
      <c r="F78" s="2"/>
      <c r="G78" s="2"/>
      <c r="H78" s="2"/>
      <c r="I78" s="2"/>
      <c r="J78" s="2"/>
      <c r="K78" s="2"/>
      <c r="L78" s="2"/>
      <c r="M78" s="2"/>
      <c r="N78" s="2"/>
      <c r="O78" s="2"/>
      <c r="Z78" s="2"/>
    </row>
    <row r="79" spans="2:26" ht="15">
      <c r="B79" s="2"/>
      <c r="C79" s="2"/>
      <c r="D79" s="2"/>
      <c r="E79" s="2"/>
      <c r="F79" s="2"/>
      <c r="G79" s="2"/>
      <c r="H79" s="2"/>
      <c r="I79" s="2"/>
      <c r="J79" s="2"/>
      <c r="K79" s="2"/>
      <c r="L79" s="2"/>
      <c r="M79" s="2"/>
      <c r="N79" s="2"/>
      <c r="O79" s="2"/>
      <c r="Z79" s="2"/>
    </row>
    <row r="80" spans="2:26" ht="15">
      <c r="B80" s="2"/>
      <c r="C80" s="2"/>
      <c r="D80" s="2"/>
      <c r="E80" s="2"/>
      <c r="F80" s="2"/>
      <c r="G80" s="2"/>
      <c r="H80" s="2"/>
      <c r="I80" s="2"/>
      <c r="J80" s="2"/>
      <c r="K80" s="2"/>
      <c r="L80" s="2"/>
      <c r="M80" s="2"/>
      <c r="N80" s="2"/>
      <c r="O80" s="2"/>
      <c r="Z80" s="2"/>
    </row>
    <row r="81" spans="2:26" ht="15">
      <c r="B81" s="2"/>
      <c r="C81" s="2"/>
      <c r="D81" s="2"/>
      <c r="E81" s="2"/>
      <c r="F81" s="2"/>
      <c r="G81" s="2"/>
      <c r="H81" s="2"/>
      <c r="I81" s="2"/>
      <c r="J81" s="2"/>
      <c r="K81" s="2"/>
      <c r="L81" s="2"/>
      <c r="M81" s="2"/>
      <c r="N81" s="2"/>
      <c r="O81" s="2"/>
      <c r="Z81" s="2"/>
    </row>
    <row r="82" spans="2:26" ht="15">
      <c r="B82" s="2"/>
      <c r="C82" s="2"/>
      <c r="D82" s="2"/>
      <c r="E82" s="2"/>
      <c r="F82" s="2"/>
      <c r="G82" s="2"/>
      <c r="H82" s="2"/>
      <c r="I82" s="2"/>
      <c r="J82" s="2"/>
      <c r="K82" s="2"/>
      <c r="L82" s="2"/>
      <c r="M82" s="2"/>
      <c r="N82" s="2"/>
      <c r="O82" s="2"/>
      <c r="Z82" s="2"/>
    </row>
    <row r="83" spans="2:26" ht="15">
      <c r="B83" s="2"/>
      <c r="C83" s="2"/>
      <c r="D83" s="2"/>
      <c r="E83" s="2"/>
      <c r="F83" s="2"/>
      <c r="G83" s="2"/>
      <c r="H83" s="2"/>
      <c r="I83" s="2"/>
      <c r="J83" s="2"/>
      <c r="K83" s="2"/>
      <c r="L83" s="2"/>
      <c r="M83" s="2"/>
      <c r="N83" s="2"/>
      <c r="O83" s="2"/>
      <c r="Z83" s="2"/>
    </row>
    <row r="84" spans="2:26" ht="15">
      <c r="B84" s="2"/>
      <c r="C84" s="2"/>
      <c r="D84" s="2"/>
      <c r="E84" s="2"/>
      <c r="F84" s="2"/>
      <c r="G84" s="2"/>
      <c r="H84" s="2"/>
      <c r="I84" s="2"/>
      <c r="J84" s="2"/>
      <c r="K84" s="2"/>
      <c r="L84" s="2"/>
      <c r="M84" s="2"/>
      <c r="N84" s="2"/>
      <c r="O84" s="2"/>
      <c r="Z84" s="2"/>
    </row>
    <row r="85" spans="2:26" ht="15">
      <c r="B85" s="2"/>
      <c r="C85" s="2"/>
      <c r="D85" s="2"/>
      <c r="E85" s="2"/>
      <c r="F85" s="2"/>
      <c r="G85" s="2"/>
      <c r="H85" s="2"/>
      <c r="I85" s="2"/>
      <c r="J85" s="2"/>
      <c r="K85" s="2"/>
      <c r="L85" s="2"/>
      <c r="M85" s="2"/>
      <c r="N85" s="2"/>
      <c r="O85" s="2"/>
      <c r="Y85" s="308"/>
      <c r="Z85" s="2"/>
    </row>
    <row r="86" spans="2:26" ht="15">
      <c r="B86" s="2"/>
      <c r="C86" s="2"/>
      <c r="D86" s="2"/>
      <c r="E86" s="2"/>
      <c r="F86" s="2"/>
      <c r="G86" s="2"/>
      <c r="H86" s="2"/>
      <c r="I86" s="2"/>
      <c r="J86" s="2"/>
      <c r="K86" s="2"/>
      <c r="L86" s="2"/>
      <c r="M86" s="2"/>
      <c r="N86" s="2"/>
      <c r="O86" s="2"/>
      <c r="Y86" s="308"/>
      <c r="Z86" s="2"/>
    </row>
    <row r="87" spans="2:26" ht="15">
      <c r="B87" s="2"/>
      <c r="C87" s="2"/>
      <c r="D87" s="2"/>
      <c r="E87" s="2"/>
      <c r="F87" s="2"/>
      <c r="G87" s="2"/>
      <c r="H87" s="2"/>
      <c r="I87" s="2"/>
      <c r="J87" s="2"/>
      <c r="K87" s="2"/>
      <c r="L87" s="2"/>
      <c r="M87" s="2"/>
      <c r="N87" s="2"/>
      <c r="O87" s="2"/>
      <c r="Z87" s="2"/>
    </row>
    <row r="88" spans="2:26" ht="15">
      <c r="B88" s="2"/>
      <c r="C88" s="2"/>
      <c r="D88" s="2"/>
      <c r="E88" s="2"/>
      <c r="F88" s="2"/>
      <c r="G88" s="2"/>
      <c r="H88" s="2"/>
      <c r="I88" s="2"/>
      <c r="J88" s="2"/>
      <c r="K88" s="2"/>
      <c r="L88" s="2"/>
      <c r="M88" s="2"/>
      <c r="N88" s="2"/>
      <c r="O88" s="2"/>
      <c r="Z88" s="2"/>
    </row>
    <row r="89" spans="2:26" ht="15">
      <c r="B89" s="2"/>
      <c r="C89" s="2"/>
      <c r="D89" s="2"/>
      <c r="E89" s="2"/>
      <c r="F89" s="2"/>
      <c r="G89" s="2"/>
      <c r="H89" s="2"/>
      <c r="I89" s="2"/>
      <c r="J89" s="2"/>
      <c r="K89" s="2"/>
      <c r="L89" s="2"/>
      <c r="M89" s="2"/>
      <c r="N89" s="2"/>
      <c r="O89" s="2"/>
      <c r="Z89" s="2"/>
    </row>
    <row r="90" spans="2:26" ht="15">
      <c r="B90" s="2"/>
      <c r="C90" s="2"/>
      <c r="D90" s="2"/>
      <c r="E90" s="2"/>
      <c r="F90" s="2"/>
      <c r="G90" s="2"/>
      <c r="H90" s="2"/>
      <c r="I90" s="2"/>
      <c r="J90" s="2"/>
      <c r="K90" s="2"/>
      <c r="L90" s="2"/>
      <c r="M90" s="2"/>
      <c r="N90" s="2"/>
      <c r="O90" s="2"/>
      <c r="Z90" s="2"/>
    </row>
    <row r="91" spans="2:26" ht="15">
      <c r="B91" s="2"/>
      <c r="C91" s="2"/>
      <c r="D91" s="2"/>
      <c r="E91" s="2"/>
      <c r="F91" s="2"/>
      <c r="G91" s="2"/>
      <c r="H91" s="2"/>
      <c r="I91" s="2"/>
      <c r="J91" s="2"/>
      <c r="K91" s="2"/>
      <c r="L91" s="2"/>
      <c r="M91" s="2"/>
      <c r="N91" s="2"/>
      <c r="O91" s="2"/>
      <c r="Z91" s="2"/>
    </row>
    <row r="92" spans="2:26" ht="15">
      <c r="B92" s="2"/>
      <c r="C92" s="2"/>
      <c r="D92" s="2"/>
      <c r="E92" s="2"/>
      <c r="F92" s="2"/>
      <c r="G92" s="2"/>
      <c r="H92" s="2"/>
      <c r="I92" s="2"/>
      <c r="J92" s="2"/>
      <c r="K92" s="2"/>
      <c r="L92" s="2"/>
      <c r="M92" s="2"/>
      <c r="N92" s="2"/>
      <c r="O92" s="2"/>
      <c r="Z92" s="2"/>
    </row>
    <row r="93" spans="2:26" ht="15">
      <c r="B93" s="2"/>
      <c r="C93" s="2"/>
      <c r="D93" s="2"/>
      <c r="E93" s="2"/>
      <c r="F93" s="2"/>
      <c r="G93" s="2"/>
      <c r="H93" s="2"/>
      <c r="I93" s="2"/>
      <c r="J93" s="2"/>
      <c r="K93" s="2"/>
      <c r="L93" s="2"/>
      <c r="M93" s="2"/>
      <c r="N93" s="2"/>
      <c r="O93" s="2"/>
      <c r="Z93" s="2"/>
    </row>
    <row r="94" spans="2:26" ht="15">
      <c r="B94" s="2"/>
      <c r="C94" s="2"/>
      <c r="D94" s="2"/>
      <c r="E94" s="2"/>
      <c r="F94" s="2"/>
      <c r="G94" s="2"/>
      <c r="H94" s="2"/>
      <c r="I94" s="2"/>
      <c r="J94" s="2"/>
      <c r="K94" s="2"/>
      <c r="L94" s="2"/>
      <c r="M94" s="2"/>
      <c r="N94" s="2"/>
      <c r="O94" s="2"/>
      <c r="Z94" s="2"/>
    </row>
    <row r="95" spans="2:26" ht="15">
      <c r="B95" s="2"/>
      <c r="C95" s="2"/>
      <c r="D95" s="2"/>
      <c r="E95" s="2"/>
      <c r="F95" s="2"/>
      <c r="G95" s="2"/>
      <c r="H95" s="2"/>
      <c r="I95" s="2"/>
      <c r="J95" s="2"/>
      <c r="K95" s="2"/>
      <c r="L95" s="2"/>
      <c r="M95" s="2"/>
      <c r="N95" s="2"/>
      <c r="O95" s="2"/>
      <c r="Z95" s="2"/>
    </row>
    <row r="96" spans="2:26" ht="15">
      <c r="B96" s="2"/>
      <c r="C96" s="2"/>
      <c r="D96" s="2"/>
      <c r="E96" s="2"/>
      <c r="F96" s="2"/>
      <c r="G96" s="2"/>
      <c r="H96" s="2"/>
      <c r="I96" s="2"/>
      <c r="J96" s="2"/>
      <c r="K96" s="2"/>
      <c r="L96" s="2"/>
      <c r="M96" s="2"/>
      <c r="N96" s="2"/>
      <c r="O96" s="2"/>
      <c r="Z96" s="2"/>
    </row>
    <row r="97" spans="2:26" ht="15">
      <c r="B97" s="2"/>
      <c r="C97" s="2"/>
      <c r="D97" s="2"/>
      <c r="E97" s="2"/>
      <c r="F97" s="2"/>
      <c r="G97" s="2"/>
      <c r="H97" s="2"/>
      <c r="I97" s="2"/>
      <c r="J97" s="2"/>
      <c r="K97" s="2"/>
      <c r="L97" s="2"/>
      <c r="M97" s="2"/>
      <c r="N97" s="2"/>
      <c r="O97" s="2"/>
      <c r="Z97" s="2"/>
    </row>
    <row r="98" spans="2:26" ht="15">
      <c r="B98" s="2"/>
      <c r="C98" s="2"/>
      <c r="D98" s="2"/>
      <c r="E98" s="2"/>
      <c r="F98" s="2"/>
      <c r="G98" s="2"/>
      <c r="H98" s="2"/>
      <c r="I98" s="2"/>
      <c r="J98" s="2"/>
      <c r="K98" s="2"/>
      <c r="L98" s="2"/>
      <c r="M98" s="2"/>
      <c r="N98" s="2"/>
      <c r="O98" s="2"/>
      <c r="Z98" s="2"/>
    </row>
    <row r="99" spans="2:26" ht="15">
      <c r="B99" s="2"/>
      <c r="C99" s="2"/>
      <c r="D99" s="2"/>
      <c r="E99" s="2"/>
      <c r="F99" s="2"/>
      <c r="G99" s="2"/>
      <c r="H99" s="2"/>
      <c r="I99" s="2"/>
      <c r="J99" s="2"/>
      <c r="K99" s="2"/>
      <c r="L99" s="2"/>
      <c r="M99" s="2"/>
      <c r="N99" s="2"/>
      <c r="O99" s="2"/>
      <c r="Z99" s="2"/>
    </row>
    <row r="100" spans="2:26" ht="15">
      <c r="B100" s="2"/>
      <c r="C100" s="2"/>
      <c r="D100" s="2"/>
      <c r="E100" s="2"/>
      <c r="F100" s="2"/>
      <c r="G100" s="2"/>
      <c r="H100" s="2"/>
      <c r="I100" s="2"/>
      <c r="J100" s="2"/>
      <c r="K100" s="2"/>
      <c r="L100" s="2"/>
      <c r="M100" s="2"/>
      <c r="N100" s="2"/>
      <c r="O100" s="2"/>
      <c r="Z100" s="2"/>
    </row>
    <row r="101" spans="2:26" ht="15">
      <c r="B101" s="2"/>
      <c r="C101" s="2"/>
      <c r="D101" s="2"/>
      <c r="E101" s="2"/>
      <c r="F101" s="2"/>
      <c r="G101" s="2"/>
      <c r="H101" s="2"/>
      <c r="I101" s="2"/>
      <c r="J101" s="2"/>
      <c r="K101" s="2"/>
      <c r="L101" s="2"/>
      <c r="M101" s="2"/>
      <c r="N101" s="2"/>
      <c r="O101" s="2"/>
      <c r="Z101" s="2"/>
    </row>
    <row r="102" spans="2:26" ht="15">
      <c r="B102" s="2"/>
      <c r="C102" s="2"/>
      <c r="D102" s="2"/>
      <c r="E102" s="2"/>
      <c r="F102" s="2"/>
      <c r="G102" s="2"/>
      <c r="H102" s="2"/>
      <c r="I102" s="2"/>
      <c r="J102" s="2"/>
      <c r="K102" s="2"/>
      <c r="L102" s="2"/>
      <c r="M102" s="2"/>
      <c r="N102" s="2"/>
      <c r="O102" s="2"/>
      <c r="Z102" s="2"/>
    </row>
    <row r="103" spans="2:26" ht="15">
      <c r="B103" s="2"/>
      <c r="C103" s="2"/>
      <c r="D103" s="2"/>
      <c r="E103" s="2"/>
      <c r="F103" s="2"/>
      <c r="G103" s="2"/>
      <c r="H103" s="2"/>
      <c r="I103" s="2"/>
      <c r="J103" s="2"/>
      <c r="K103" s="2"/>
      <c r="L103" s="2"/>
      <c r="M103" s="2"/>
      <c r="N103" s="2"/>
      <c r="O103" s="2"/>
      <c r="Z103" s="2"/>
    </row>
    <row r="104" spans="2:26" ht="15">
      <c r="B104" s="2"/>
      <c r="C104" s="2"/>
      <c r="D104" s="2"/>
      <c r="E104" s="2"/>
      <c r="F104" s="2"/>
      <c r="G104" s="2"/>
      <c r="H104" s="2"/>
      <c r="I104" s="2"/>
      <c r="J104" s="2"/>
      <c r="K104" s="2"/>
      <c r="L104" s="2"/>
      <c r="M104" s="2"/>
      <c r="N104" s="2"/>
      <c r="O104" s="2"/>
      <c r="Z104" s="2"/>
    </row>
    <row r="105" spans="2:26" ht="15">
      <c r="B105" s="2"/>
      <c r="C105" s="2"/>
      <c r="D105" s="2"/>
      <c r="E105" s="2"/>
      <c r="F105" s="2"/>
      <c r="G105" s="2"/>
      <c r="H105" s="2"/>
      <c r="I105" s="2"/>
      <c r="J105" s="2"/>
      <c r="K105" s="2"/>
      <c r="L105" s="2"/>
      <c r="M105" s="2"/>
      <c r="N105" s="2"/>
      <c r="O105" s="2"/>
      <c r="Z105" s="2"/>
    </row>
    <row r="106" spans="2:26" ht="15">
      <c r="B106" s="2"/>
      <c r="C106" s="2"/>
      <c r="D106" s="2"/>
      <c r="E106" s="2"/>
      <c r="F106" s="2"/>
      <c r="G106" s="2"/>
      <c r="H106" s="2"/>
      <c r="I106" s="2"/>
      <c r="J106" s="2"/>
      <c r="K106" s="2"/>
      <c r="L106" s="2"/>
      <c r="M106" s="2"/>
      <c r="N106" s="2"/>
      <c r="O106" s="2"/>
      <c r="Z106" s="2"/>
    </row>
    <row r="107" spans="2:26" ht="15">
      <c r="B107" s="2"/>
      <c r="C107" s="2"/>
      <c r="D107" s="2"/>
      <c r="E107" s="2"/>
      <c r="F107" s="2"/>
      <c r="G107" s="2"/>
      <c r="H107" s="2"/>
      <c r="I107" s="2"/>
      <c r="J107" s="2"/>
      <c r="K107" s="2"/>
      <c r="L107" s="2"/>
      <c r="M107" s="2"/>
      <c r="N107" s="2"/>
      <c r="O107" s="2"/>
      <c r="Z107" s="2"/>
    </row>
    <row r="108" spans="2:26" ht="15">
      <c r="B108" s="2"/>
      <c r="C108" s="2"/>
      <c r="D108" s="2"/>
      <c r="E108" s="2"/>
      <c r="F108" s="2"/>
      <c r="G108" s="2"/>
      <c r="H108" s="2"/>
      <c r="I108" s="2"/>
      <c r="J108" s="2"/>
      <c r="K108" s="2"/>
      <c r="L108" s="2"/>
      <c r="M108" s="2"/>
      <c r="N108" s="2"/>
      <c r="O108" s="2"/>
      <c r="P108" s="2" t="s">
        <v>81</v>
      </c>
      <c r="Q108" s="2"/>
      <c r="R108" s="2"/>
      <c r="S108" s="2"/>
      <c r="T108" s="2"/>
      <c r="U108" s="2"/>
      <c r="V108" s="2"/>
      <c r="W108" s="2"/>
      <c r="X108" s="2"/>
      <c r="Y108" s="2"/>
      <c r="Z108" s="2"/>
    </row>
    <row r="109" spans="2:26" ht="15">
      <c r="B109" s="2"/>
      <c r="C109" s="2"/>
      <c r="D109" s="2"/>
      <c r="E109" s="2"/>
      <c r="F109" s="2"/>
      <c r="G109" s="2"/>
      <c r="H109" s="2"/>
      <c r="I109" s="2"/>
      <c r="J109" s="2"/>
      <c r="K109" s="2"/>
      <c r="L109" s="2"/>
      <c r="M109" s="2"/>
      <c r="N109" s="2"/>
      <c r="O109" s="2"/>
      <c r="P109" s="2"/>
      <c r="Q109" s="2"/>
      <c r="R109" s="2"/>
      <c r="S109" s="2"/>
      <c r="T109" s="2"/>
      <c r="U109" s="13"/>
      <c r="V109" s="2"/>
      <c r="W109" s="2"/>
      <c r="X109" s="2"/>
      <c r="Y109" s="2"/>
      <c r="Z109" s="2"/>
    </row>
    <row r="110" spans="2:26" ht="15">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2:26" ht="15">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2:26" ht="15">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2:26" ht="15">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2:26" ht="15">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2:26" ht="15">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2:26" ht="15">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2:26" ht="15">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2:26" ht="15">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2:26" ht="15">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2:26" ht="15">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2:26" ht="15">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2:26" ht="15">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2:26" ht="15">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2:26" ht="15">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2:26" ht="15">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2:26" ht="15">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2:26" ht="15">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2:26" ht="15">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2:26" ht="15">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2:26" ht="15">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2:26" ht="15">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2:26" ht="15">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2:26" ht="15">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2:26" ht="15">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2:26" ht="15">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2:26" ht="15">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2:26" ht="15">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2:26" ht="15">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2:26" ht="15">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2:26" ht="15">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2:26" ht="15">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2:26" ht="15">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2:26" ht="15">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2:26" ht="15">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2:26" ht="15">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2:26" ht="15">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2:26" ht="15">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2:26" ht="15">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2:26" ht="15">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2:26" ht="15">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2:26" ht="15">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2:26" ht="15">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2:26" ht="15">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2:26" ht="15">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2:26" ht="15">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2:26" ht="15">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2:26" ht="15">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2:26" ht="15">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2:26" ht="15">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2:26" ht="15">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2:26" ht="15">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2:26" ht="15">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2:26" ht="15">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2:26" ht="15">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2:26" ht="15">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2:26" ht="15">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2:26" ht="15">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2:26" ht="15">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2:26" ht="15">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2:26" ht="15">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2:26" ht="15">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2:26" ht="15">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2:26" ht="15">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2:26" ht="15">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2:26" ht="15">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2:26" ht="15">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2:26" ht="15">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2:26" ht="15">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2:26" ht="15">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2:26" ht="15">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2:26" ht="15">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2:26" ht="15">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2:26" ht="15">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2:26" ht="15">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2:26" ht="15">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2:26" ht="15">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2:26" ht="15">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2:26" ht="15">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2:26" ht="15">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2:26" ht="15">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2:26" ht="15">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2:26" ht="15">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2:26" ht="15">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2:26" ht="15">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2:26" ht="15">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2:26" ht="15">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2:26" ht="15">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2:26" ht="15">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2:26" ht="15">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2:26" ht="15">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2:26" ht="15">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2:26" ht="15">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2:26" ht="15">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2:26" ht="15">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2:26" ht="15">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2:26" ht="15">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2:26" ht="15">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2:26" ht="15">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2:26" ht="15">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2:26" ht="15">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2:26" ht="15">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2:26" ht="15">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2:26" ht="15">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2:26" ht="15">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2:26" ht="15">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2:26" ht="15">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2:26" ht="15">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2:26" ht="15">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2:26" ht="15">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2:26" ht="15">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2:26" ht="15">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2:26" ht="15">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2:26" ht="15">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2:26" ht="15">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2:26" ht="15">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2:26" ht="15">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2:26" ht="15">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2:26" ht="15">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2:26" ht="15">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2:26" ht="15">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2:26" ht="15">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2:26" ht="15">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2:26" ht="15">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2:26" ht="15">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2:26" ht="15">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2:26" ht="15">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2:26" ht="15">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2:26" ht="15">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2:26" ht="15">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2:26" ht="15">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2:26" ht="15">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2:26" ht="15">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2:26" ht="15">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2:26" ht="15">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2:26" ht="15">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2:26" ht="15">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2:26" ht="15">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2:26" ht="15">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2:26" ht="15">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2:26" ht="15">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2:26" ht="15">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2:26" ht="15">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2:26" ht="15">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2:26" ht="15">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2:26" ht="15">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2:26" ht="15">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2:26" ht="15">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2:26" ht="15">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2:26" ht="15">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2:26" ht="15">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2:26" ht="15">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2:26" ht="15">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2:26" ht="15">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2:26" ht="15">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2:26" ht="15">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2:26" ht="15">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2:26" ht="15">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2:26" ht="15">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2:26" ht="15">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2:26" ht="15">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2:26" ht="15">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2:26" ht="15">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2:26" ht="15">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2:26" ht="15">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2:26" ht="15">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2:26" ht="15">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2:26" ht="15">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2:26" ht="15">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2:26" ht="15">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2:26" ht="15">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2:26" ht="15">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2:26" ht="15">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2:26" ht="15">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2:26" ht="15">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2:26" ht="15">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2:26" ht="15">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2:26" ht="15">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2:26" ht="15">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2:26" ht="15">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2:26" ht="15">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2:26" ht="15">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2:26" ht="15">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2:26" ht="15">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2:26" ht="15">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2:26" ht="15">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2:26" ht="15">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2:26" ht="15">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2:26" ht="15">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2:26" ht="15">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2:26" ht="15">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2:26" ht="15">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2:26" ht="15">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2:26" ht="15">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2:26" ht="15">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2:26" ht="15">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2:26" ht="15">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2:26" ht="15">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2:26" ht="15">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2:26" ht="15">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2:26" ht="15">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2:26" ht="15">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2:26" ht="15">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2:26" ht="15">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2:26" ht="15">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2:26" ht="15">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2:26" ht="15">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2:26" ht="15">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2:26" ht="15">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2:26" ht="15">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2:26" ht="15">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2:26" ht="15">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2:26" ht="15">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2:26" ht="15">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2:26" ht="15">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2:26" ht="15">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2:26" ht="15">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2:26" ht="15">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2:26" ht="15">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2:26" ht="15">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2:26" ht="15">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2:26" ht="15">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2:26" ht="15">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2:26" ht="15">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2:26" ht="15">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2:26" ht="15">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2:26" ht="15">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2:26" ht="15">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2:26" ht="15">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2:26" ht="15">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2:26" ht="15">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2:26" ht="15">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2:26" ht="15">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2:26" ht="15">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2:26" ht="15">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2:26" ht="15">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2:26" ht="15">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2:26" ht="15">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2:26" ht="15">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2:26" ht="15">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2:26" ht="15">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2:26" ht="15">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2:26" ht="15">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2:26" ht="15">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2:26" ht="15">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2:26" ht="15">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2:26" ht="15">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2:26" ht="15">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2:26" ht="15">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2:26" ht="15">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2:26" ht="15">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2:26" ht="15">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2:26" ht="15">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2:26" ht="15">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2:26" ht="15">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2:26" ht="15">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2:26" ht="15">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2:26" ht="15">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2:26" ht="15">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2:26" ht="15">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2:26" ht="15">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2:26" ht="15">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2:26" ht="15">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2:26" ht="15">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2:26" ht="15">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2:26" ht="15">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2:26" ht="15">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2:26" ht="15">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2:26" ht="15">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2:26" ht="15">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2:26" ht="15">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2:26" ht="15">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2:26" ht="15">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2:26" ht="15">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2:26" ht="15">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2:26" ht="15">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2:26" ht="15">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2:26" ht="15">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2:26" ht="15">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2:26" ht="15">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2:26" ht="15">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2:26" ht="15">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2:26" ht="15">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2:26" ht="15">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2:26" ht="15">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2:26" ht="15">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2:26" ht="15">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2:26" ht="15">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2:26" ht="15">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2:26" ht="15">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2:26" ht="15">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2:26" ht="15">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2:26" ht="15">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2:26" ht="15">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2:26" ht="15">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2:26" ht="15">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2:26" ht="15">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2:26" ht="15">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2:26" ht="15">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2:26" ht="15">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2:26" ht="15">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2:26" ht="15">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2:26" ht="15">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2:26" ht="15">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2:26" ht="15">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2:26" ht="15">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2:26" ht="15">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2:26" ht="15">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2:26" ht="15">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2:26" ht="15">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2:26" ht="15">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2:26" ht="15">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2:26" ht="15">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2:26" ht="15">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2:26" ht="15">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2:26" ht="15">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2:26" ht="15">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2:26" ht="15">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2:26" ht="15">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2:26" ht="15">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2:26" ht="15">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2:26" ht="15">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2:26" ht="15">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2:26" ht="15">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2:26" ht="15">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2:26" ht="15">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2:26" ht="15">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2:26" ht="15">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2:26" ht="15">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2:26" ht="15">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2:26" ht="15">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2:26" ht="15">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2:26" ht="15">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2:26" ht="15">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2:26" ht="15">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2:26" ht="15">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2:26" ht="15">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2:26" ht="15">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2:26" ht="15">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2:26" ht="15">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2:26" ht="15">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2:26" ht="15">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2:26" ht="15">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2:26" ht="15">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2:26" ht="15">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2:26" ht="15">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2:26" ht="15">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2:26" ht="15">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2:26" ht="15">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2:26" ht="15">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2:26" ht="15">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2:26" ht="15">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2:26" ht="15">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2:26" ht="15">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2:26" ht="15">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2:26" ht="15">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2:26" ht="15">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2:26" ht="15">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2:26" ht="15">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2:26" ht="15">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2:26" ht="15">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2:26" ht="15">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2:26" ht="15">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2:26" ht="15">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2:26" ht="15">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2:26" ht="15">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2:26" ht="15">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2:26" ht="15">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2:26" ht="15">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2:26" ht="15">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2:26" ht="15">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2:26" ht="15">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2:26" ht="15">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2:26" ht="15">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2:26" ht="15">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2:26" ht="15">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2:26" ht="15">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2:26" ht="15">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2:26" ht="15">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2:26" ht="15">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2:26" ht="15">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2:26" ht="15">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2:26" ht="15">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2:26" ht="15">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2:26" ht="15">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2:26" ht="15">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2:26" ht="15">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2:26" ht="15">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2:26" ht="15">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2:26" ht="15">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2:26" ht="15">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2:26" ht="15">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2:26" ht="15">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2:26" ht="15">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2:26" ht="15">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2:26" ht="15">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2:26" ht="15">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2:26" ht="15">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2:26" ht="15">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2:26" ht="15">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2:26" ht="15">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2:26" ht="15">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2:26" ht="15">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2:26" ht="15">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2:26" ht="15">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2:26" ht="15">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2:26" ht="15">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2:26" ht="15">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2:26" ht="15">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2:26" ht="15">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2:26" ht="15">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2:26" ht="15">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2:26" ht="15">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2:26" ht="15">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2:26" ht="15">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2:26" ht="15">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2:26" ht="15">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2:26" ht="15">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2:26" ht="15">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2:26" ht="15">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2:26" ht="15">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2:26" ht="15">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2:26" ht="15">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2:26" ht="15">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2:26" ht="15">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2:26" ht="15">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2:26" ht="15">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2:26" ht="15">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2:26" ht="15">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2:26" ht="15">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2:26" ht="15">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2:26" ht="15">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2:26" ht="15">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2:26" ht="15">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2:26" ht="15">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2:26" ht="15">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2:26" ht="15">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2:26" ht="15">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2:26" ht="15">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2:26" ht="15">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2:26" ht="15">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2:26" ht="15">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2:26" ht="15">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2:26" ht="15">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2:26" ht="15">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2:26" ht="15">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2:26" ht="15">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2:26" ht="15">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2:26" ht="15">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2:26" ht="15">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2:26" ht="15">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2:26" ht="15">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2:26" ht="15">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2:26" ht="15">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2:26" ht="15">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2:26" ht="15">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2:26" ht="15">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2:26" ht="15">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2:26" ht="15">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2:26" ht="15">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2:26" ht="15">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2:26" ht="15">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2:26" ht="15">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2:26" ht="15">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2:26" ht="15">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2:26" ht="15">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2:26" ht="15">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2:26" ht="15">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2:26" ht="15">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2:26" ht="15">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2:26" ht="15">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2:26" ht="15">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2:26" ht="15">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2:26" ht="15">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2:26" ht="15">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2:26" ht="15">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2:26" ht="15">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2:26" ht="15">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2:26" ht="15">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2:26" ht="15">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2:26" ht="15">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2:26" ht="15">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2:26" ht="15">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2:26" ht="15">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2:26" ht="15">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2:26" ht="15">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2:26" ht="15">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2:26" ht="15">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2:26" ht="15">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2:26" ht="15">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2:26" ht="15">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2:26" ht="15">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2:26" ht="15">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2:26" ht="15">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2:26" ht="15">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2:26" ht="15">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2:26" ht="15">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2:26" ht="15">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2:26" ht="15">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2:26" ht="15">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2:26" ht="15">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2:26" ht="15">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2:26" ht="15">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2:26" ht="15">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2:26" ht="15">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2:26" ht="15">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2:26" ht="15">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2:26" ht="15">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2:26" ht="15">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2:26" ht="15">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2:26" ht="15">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2:26" ht="15">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2:26" ht="15">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2:26" ht="15">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2:26" ht="15">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2:26" ht="15">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2:26" ht="15">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2:26" ht="15">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2:26" ht="15">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2:26" ht="15">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2:26" ht="15">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2:26" ht="15">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2:26" ht="15">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2:26" ht="15">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2:26" ht="15">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2:26" ht="15">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2:26" ht="15">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2:26" ht="15">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2:26" ht="15">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2:26" ht="15">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2:26" ht="15">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2:26" ht="15">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2:26" ht="15">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2:26" ht="15">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2:26" ht="15">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2:26" ht="15">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2:26" ht="15">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2:26" ht="15">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2:26" ht="15">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2:26" ht="15">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2:26" ht="15">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2:26" ht="15">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2:26" ht="15">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2:26" ht="15">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2:26" ht="15">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2:26" ht="15">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2:26" ht="15">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2:26" ht="15">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2:26" ht="15">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2:26" ht="15">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2:26" ht="15">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2:26" ht="15">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2:26" ht="15">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2:26" ht="15">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2:26" ht="15">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2:26" ht="15">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2:26" ht="15">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2:26" ht="15">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2:26" ht="15">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2:26" ht="15">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2:26" ht="15">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2:26" ht="15">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2:26" ht="15">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2:26" ht="15">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2:26" ht="15">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2:26" ht="15">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2:26" ht="15">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2:26" ht="15">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2:26" ht="15">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2:26" ht="15">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2:26" ht="15">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2:26" ht="15">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2:26" ht="15">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2:26" ht="15">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2:26" ht="15">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2:26" ht="15">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2:26" ht="15">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2:26" ht="15">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2:26" ht="15">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2:26" ht="15">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2:26" ht="15">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2:26" ht="15">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2:26" ht="15">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2:26" ht="15">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2:26" ht="15">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2:26" ht="15">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2:26" ht="15">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2:26" ht="15">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2:26" ht="15">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2:26" ht="15">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2:26" ht="15">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2:26" ht="15">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2:26" ht="15">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2:26" ht="15">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2:26" ht="15">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2:26" ht="15">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2:26" ht="15">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2:26" ht="15">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2:26" ht="15">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2:26" ht="15">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2:26" ht="15">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2:26" ht="15">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2:26" ht="15">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2:26" ht="15">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2:26" ht="15">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2:26" ht="15">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2:26" ht="15">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2:26" ht="15">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2:26" ht="15">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2:26" ht="15">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2:26" ht="15">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2:26" ht="15">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2:26" ht="15">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2:26" ht="15">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2:26" ht="15">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2:26" ht="15">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2:26" ht="15">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2:26" ht="15">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2:26" ht="15">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2:26" ht="15">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2:26" ht="15">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2:26" ht="15">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2:26" ht="15">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2:26" ht="15">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2:26" ht="15">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2:26" ht="15">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2:26" ht="15">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2:26" ht="15">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2:26" ht="15">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2:26" ht="15">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2:26" ht="15">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2:26" ht="15">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2:26" ht="15">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2:26" ht="15">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2:26" ht="15">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2:26" ht="15">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2:26" ht="15">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2:26" ht="15">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2:26" ht="15">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2:26" ht="15">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2:26" ht="15">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2:26" ht="15">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2:26" ht="15">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2:26" ht="15">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2:26" ht="15">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2:26" ht="15">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2:26" ht="15">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2:26" ht="15">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2:26" ht="15">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2:26" ht="15">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2:26" ht="15">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2:26" ht="15">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2:26" ht="15">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2:26" ht="15">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2:26" ht="15">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2:26" ht="15">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2:26" ht="15">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2:26" ht="15">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2:26" ht="15">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2:26" ht="15">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2:26" ht="15">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2:26" ht="15">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2:26" ht="15">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2:26" ht="15">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2:26" ht="15">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2:26" ht="15">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2:26" ht="15">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2:26" ht="15">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2:26" ht="15">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2:26" ht="15">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2:26" ht="15">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2:26" ht="15">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2:26" ht="15">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2:26" ht="15">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2:26" ht="15">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2:26" ht="15">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2:26" ht="15">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2:26" ht="15">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2:26" ht="15">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2:26" ht="15">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2:26" ht="15">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2:26" ht="15">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2:26" ht="15">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2:26" ht="15">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2:26" ht="15">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2:26" ht="15">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2:26" ht="15">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2:26" ht="15">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2:26" ht="15">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2:26" ht="15">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2:26" ht="15">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2:26" ht="15">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2:26" ht="15">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2:26" ht="15">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2:26" ht="15">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2:26" ht="15">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2:26" ht="15">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2:26" ht="15">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2:26" ht="15">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2:26" ht="15">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2:26" ht="15">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2:26" ht="15">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2:26" ht="15">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2:26" ht="15">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2:26" ht="15">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2:26" ht="15">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2:26" ht="15">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2:26" ht="15">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2:26" ht="15">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2:26" ht="15">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2:26" ht="15">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2:26" ht="15">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2:26" ht="15">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2:26" ht="15">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2:26" ht="15">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2:26" ht="15">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2:26" ht="15">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2:26" ht="15">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2:26" ht="15">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2:26" ht="15">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2:26" ht="15">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2:26" ht="15">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2:26" ht="15">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2:26" ht="15">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2:26" ht="15">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2:26" ht="15">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2:26" ht="15">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2:26" ht="15">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2:26" ht="15">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2:26" ht="15">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2:26" ht="15">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2:26" ht="15">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2:26" ht="15">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2:26" ht="15">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2:26" ht="15">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2:26" ht="15">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2:26" ht="15">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2:26" ht="15">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2:26" ht="15">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2:26" ht="15">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2:26" ht="15">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2:26" ht="15">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2:26" ht="15">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2:26" ht="15">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2:26" ht="15">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2:26" ht="15">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2:26" ht="15">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2:26" ht="15">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2:26" ht="15">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2:26" ht="15">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2:26" ht="15">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2:26" ht="15">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2:26" ht="15">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2:26" ht="15">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2:26" ht="15">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2:26" ht="15">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2:26" ht="15">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2:26" ht="15">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2:26" ht="15">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2:26" ht="15">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2:26" ht="15">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2:26" ht="15">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2:26" ht="15">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2:26" ht="15">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2:26" ht="15">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2:26" ht="15">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2:26" ht="15">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2:26" ht="15">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2:26" ht="15">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2:26" ht="15">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2:26" ht="15">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2:26" ht="15">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2:26" ht="15">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2:26" ht="15">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2:26" ht="15">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2:26" ht="15">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2:26" ht="15">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2:26" ht="15">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2:26" ht="15">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2:26" ht="15">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2:26" ht="15">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2:26" ht="15">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2:26" ht="15">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2:26" ht="15">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2:26" ht="15">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2:26" ht="15">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2:26" ht="15">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2:26" ht="15">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2:26" ht="15">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2:26" ht="15">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2:26" ht="15">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2:26" ht="15">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2:26" ht="15">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2:26" ht="15">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2:26" ht="15">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2:26" ht="15">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2:26" ht="15">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2:26" ht="15">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2:26" ht="15">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2:26" ht="15">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2:26" ht="15">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2:26" ht="15">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2:26" ht="15">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2:26" ht="15">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2:26" ht="15">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2:26" ht="15">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2:26" ht="15">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2:26" ht="15">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2:26" ht="15">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2:26" ht="15">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2:26" ht="15">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2:26" ht="15">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2:26" ht="15">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2:26" ht="15">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2:26" ht="15">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2:26" ht="15">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2:26" ht="15">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2:26" ht="15">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2:26" ht="15">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2:26" ht="15">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2:26" ht="15">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2:26" ht="15">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2:26" ht="15">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2:26" ht="15">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2:26" ht="15">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2:26" ht="15">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2:26" ht="15">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2:26" ht="15">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2:26" ht="15">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2:26" ht="15">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2:26" ht="15">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2:26" ht="15">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2:26" ht="15">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2:26" ht="15">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2:26" ht="15">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2:26" ht="15">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2:26" ht="15">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2:26" ht="15">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2:26" ht="15">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2:26" ht="15">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2:26" ht="15">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2:26" ht="15">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2:26" ht="15">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2:26" ht="15">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2:26" ht="15">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2:26" ht="15">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2:26" ht="15">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2:26" ht="15">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2:26" ht="15">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2:26" ht="15">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2:26" ht="15">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2:26" ht="15">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2:26" ht="15">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2:26" ht="15">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2:26" ht="15">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2:26" ht="15">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2:26" ht="15">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2:26" ht="15">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2:26" ht="15">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2:26" ht="15">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2:26" ht="15">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2:26" ht="15">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2:26" ht="15">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2:26" ht="15">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2:26" ht="15">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2:26" ht="15">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2:26" ht="15">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2:26" ht="15">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2:26" ht="15">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2:26" ht="15">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2:26" ht="15">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2:26" ht="15">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2:26" ht="15">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2:26" ht="15">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2:26" ht="15">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2:26" ht="15">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2:26" ht="15">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2:26" ht="15">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2:26" ht="15">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2:26" ht="15">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2:26" ht="15">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2:26" ht="15">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2:26" ht="15">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2:26" ht="15">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2:26" ht="15">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2:26" ht="15">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2:26" ht="15">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2:26" ht="15">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2:26" ht="15">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2:26" ht="15">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2:26" ht="15">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2:26" ht="15">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2:26" ht="15">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2:26" ht="15">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2:26" ht="15">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2:26" ht="15">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2:26" ht="15">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2:26" ht="15">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2:26" ht="15">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2:26" ht="15">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2:26" ht="15">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2:26" ht="15">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2:26" ht="15">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2:26" ht="15">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2:26" ht="15">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2:26" ht="15">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2:26" ht="15">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2:26" ht="15">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2:26" ht="15">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2:26" ht="15">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2:26" ht="15">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2:26" ht="15">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2:26" ht="15">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2:26" ht="15">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2:26" ht="15">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2:26" ht="15">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2:26" ht="15">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spans="2:26" ht="15">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row>
    <row r="1028" spans="2:26" ht="15">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row>
    <row r="1029" spans="2:26" ht="15">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row>
    <row r="1030" spans="2:26" ht="15">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row>
    <row r="1031" spans="2:26" ht="15">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row>
    <row r="1032" spans="2:26" ht="15">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row>
    <row r="1033" spans="2:26" ht="15">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row>
    <row r="1034" spans="2:26" ht="15">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row>
    <row r="1035" spans="2:26" ht="15">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row>
    <row r="1036" spans="2:26" ht="15">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row>
    <row r="1037" spans="2:26" ht="15">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row>
    <row r="1038" spans="2:26" ht="15">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row>
    <row r="1039" spans="2:26" ht="15">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row>
    <row r="1040" spans="2:26" ht="15">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row>
    <row r="1041" spans="2:26" ht="15">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row>
    <row r="1042" spans="2:26" ht="15">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row>
    <row r="1043" spans="2:26" ht="15">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row>
    <row r="1044" spans="2:26" ht="15">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row>
    <row r="1045" spans="2:26" ht="15">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row>
    <row r="1046" spans="2:26" ht="15">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row>
    <row r="1047" spans="2:26" ht="15">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row>
    <row r="1048" spans="2:26" ht="15">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row>
    <row r="1049" spans="2:26" ht="15">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row>
    <row r="1050" spans="2:26" ht="15">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row>
    <row r="1051" spans="2:26" ht="15">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row>
    <row r="1052" spans="2:26" ht="15">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row>
    <row r="1053" spans="2:26" ht="15">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row>
    <row r="1054" spans="2:26" ht="15">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row>
    <row r="1055" spans="2:26" ht="15">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row>
    <row r="1056" spans="2:26" ht="15">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row>
    <row r="1057" spans="2:26" ht="15">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row>
    <row r="1058" spans="2:26" ht="15">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row>
    <row r="1059" spans="2:26" ht="15">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row>
    <row r="1060" spans="2:26" ht="15">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row>
    <row r="1061" spans="2:26" ht="15">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row>
    <row r="1062" spans="2:26" ht="15">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row>
    <row r="1063" spans="2:26" ht="15">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row>
    <row r="1064" spans="2:26" ht="15">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row>
    <row r="1065" spans="2:26" ht="15">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row>
    <row r="1066" spans="2:26" ht="15">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row>
    <row r="1067" spans="2:26" ht="15">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row>
    <row r="1068" spans="2:26" ht="15">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row>
    <row r="1069" spans="2:26" ht="15">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row>
    <row r="1070" spans="2:26" ht="15">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row>
    <row r="1071" spans="2:26" ht="15">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row>
    <row r="1072" spans="2:26" ht="15">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row>
    <row r="1073" spans="2:26" ht="15">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row>
    <row r="1074" spans="2:26" ht="15">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row>
    <row r="1075" spans="2:26" ht="15">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row>
    <row r="1076" spans="2:26" ht="15">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row>
    <row r="1077" spans="2:26" ht="15">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row>
    <row r="1078" spans="2:26" ht="15">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row>
    <row r="1079" spans="2:26" ht="15">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row>
    <row r="1080" spans="2:26" ht="15">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row>
    <row r="1081" spans="2:26" ht="15">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row>
    <row r="1082" spans="2:26" ht="15">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row>
    <row r="1083" spans="2:26" ht="15">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row>
    <row r="1084" spans="2:26" ht="15">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row>
    <row r="1085" spans="2:26" ht="15">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row>
    <row r="1086" spans="2:26" ht="15">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row>
    <row r="1087" spans="2:26" ht="15">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row>
    <row r="1088" spans="2:26" ht="15">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row>
    <row r="1089" spans="2:26" ht="15">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row>
    <row r="1090" spans="2:26" ht="15">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row>
    <row r="1091" spans="2:26" ht="15">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row>
    <row r="1092" spans="2:26" ht="15">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row>
    <row r="1093" spans="2:26" ht="15">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row>
    <row r="1094" spans="2:26" ht="15">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row>
    <row r="1095" spans="2:26" ht="15">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row>
    <row r="1096" spans="2:26" ht="15">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row>
    <row r="1097" spans="2:26" ht="15">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row>
    <row r="1098" spans="2:26" ht="15">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row>
    <row r="1099" spans="2:26" ht="15">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row>
    <row r="1100" spans="2:26" ht="15">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row>
    <row r="1101" spans="2:26" ht="15">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row>
    <row r="1102" spans="2:26" ht="15">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row>
    <row r="1103" spans="2:26" ht="15">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row>
    <row r="1104" spans="2:26" ht="15">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row>
    <row r="1105" spans="2:26" ht="15">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row>
    <row r="1106" spans="2:26" ht="15">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row>
    <row r="1107" spans="2:26" ht="15">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row>
    <row r="1108" spans="2:26" ht="15">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row>
    <row r="1109" spans="2:26" ht="15">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row>
    <row r="1110" spans="2:26" ht="15">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row>
    <row r="1111" spans="2:26" ht="15">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row>
    <row r="1112" spans="2:26" ht="15">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row>
    <row r="1113" spans="2:26" ht="15">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row>
    <row r="1114" spans="2:26" ht="15">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row>
    <row r="1115" spans="2:26" ht="15">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row>
    <row r="1116" spans="2:26" ht="15">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row>
    <row r="1117" spans="2:26" ht="15">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row>
    <row r="1118" spans="2:26" ht="15">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row>
    <row r="1119" spans="2:26" ht="15">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row>
    <row r="1120" spans="2:26" ht="15">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row>
    <row r="1121" spans="2:26" ht="15">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row>
    <row r="1122" spans="2:26" ht="15">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row>
    <row r="1123" spans="2:26" ht="15">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row>
    <row r="1124" spans="2:26" ht="15">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row>
    <row r="1125" spans="2:26" ht="15">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row>
    <row r="1126" spans="2:26" ht="15">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row>
    <row r="1127" spans="2:26" ht="15">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row>
    <row r="1128" spans="2:26" ht="15">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row>
    <row r="1129" spans="2:26" ht="15">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row>
    <row r="1130" spans="2:26" ht="15">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row>
    <row r="1131" spans="2:26" ht="15">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row>
    <row r="1132" spans="2:26" ht="15">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row>
    <row r="1133" spans="2:26" ht="15">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row>
    <row r="1134" spans="2:26" ht="15">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row>
    <row r="1135" spans="2:26" ht="15">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row>
    <row r="1136" spans="2:26" ht="15">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row>
    <row r="1137" spans="2:26" ht="15">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row>
    <row r="1138" spans="2:26" ht="15">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row>
    <row r="1139" spans="2:26" ht="15">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row>
    <row r="1140" spans="2:26" ht="15">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row>
    <row r="1141" spans="2:26" ht="15">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row>
    <row r="1142" spans="2:26" ht="15">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row>
    <row r="1143" spans="2:26" ht="15">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row>
    <row r="1144" spans="2:26" ht="15">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row>
    <row r="1145" spans="2:26" ht="15">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row>
    <row r="1146" spans="2:26" ht="15">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row>
    <row r="1147" spans="2:26" ht="15">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row>
    <row r="1148" spans="2:26" ht="15">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row>
    <row r="1149" spans="2:26" ht="15">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row>
    <row r="1150" spans="2:26" ht="15">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row>
    <row r="1151" spans="2:26" ht="15">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row>
    <row r="1152" spans="2:26" ht="15">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row>
    <row r="1153" spans="2:26" ht="15">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row>
    <row r="1154" spans="2:26" ht="15">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row>
    <row r="1155" spans="2:26" ht="15">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row>
    <row r="1156" spans="2:26" ht="15">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row>
    <row r="1157" spans="2:26" ht="15">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row>
    <row r="1158" spans="2:26" ht="15">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row>
    <row r="1159" spans="2:26" ht="15">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row>
    <row r="1160" spans="2:26" ht="15">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row>
    <row r="1161" spans="2:26" ht="15">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row>
    <row r="1162" spans="2:26" ht="15">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row>
    <row r="1163" spans="2:26" ht="15">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row>
    <row r="1164" spans="2:26" ht="15">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row>
    <row r="1165" spans="2:26" ht="15">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row>
    <row r="1166" spans="2:26" ht="15">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row>
    <row r="1167" spans="2:26" ht="15">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row>
    <row r="1168" spans="2:26" ht="15">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row>
    <row r="1169" spans="2:26" ht="15">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row>
    <row r="1170" spans="2:26" ht="15">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row>
    <row r="1171" spans="2:26" ht="15">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row>
    <row r="1172" spans="2:26" ht="15">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row>
    <row r="1173" spans="2:26" ht="15">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row>
    <row r="1174" spans="2:26" ht="15">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row>
    <row r="1175" spans="2:26" ht="15">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row>
    <row r="1176" spans="2:26" ht="15">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row>
    <row r="1177" spans="2:26" ht="15">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row>
    <row r="1178" spans="2:26" ht="15">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row>
    <row r="1179" spans="2:26" ht="15">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row>
    <row r="1180" spans="2:26" ht="15">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row>
    <row r="1181" spans="2:26" ht="15">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row>
    <row r="1182" spans="2:26" ht="15">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row>
    <row r="1183" spans="2:26" ht="15">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row>
    <row r="1184" spans="2:26" ht="15">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row>
    <row r="1185" spans="2:26" ht="15">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row>
    <row r="1186" spans="2:26" ht="15">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row>
    <row r="1187" spans="2:26" ht="15">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row>
    <row r="1188" spans="2:26" ht="15">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row>
    <row r="1189" spans="2:26" ht="15">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row>
    <row r="1190" spans="2:26" ht="15">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row>
    <row r="1191" spans="2:26" ht="15">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row>
    <row r="1192" spans="2:26" ht="15">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row>
    <row r="1193" spans="2:26" ht="15">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row>
    <row r="1194" spans="2:26" ht="15">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row>
    <row r="1195" spans="2:26" ht="15">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row>
    <row r="1196" spans="2:26" ht="15">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row>
    <row r="1197" spans="2:26" ht="15">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row>
    <row r="1198" spans="2:26" ht="15">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row>
    <row r="1199" spans="2:26" ht="15">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row>
    <row r="1200" spans="2:26" ht="15">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row>
    <row r="1201" spans="2:26" ht="15">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row>
    <row r="1202" spans="2:26" ht="15">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row>
    <row r="1203" spans="2:26" ht="15">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row>
    <row r="1204" spans="2:26" ht="15">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row>
    <row r="1205" spans="2:26" ht="15">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row>
    <row r="1206" spans="2:26" ht="15">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row>
    <row r="1207" spans="2:26" ht="15">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row>
    <row r="1208" spans="2:26" ht="15">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row>
    <row r="1209" spans="2:26" ht="15">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row>
    <row r="1210" spans="2:26" ht="15">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row>
    <row r="1211" spans="2:26" ht="15">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row>
    <row r="1212" spans="2:26" ht="15">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row>
    <row r="1213" spans="2:26" ht="15">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row>
    <row r="1214" spans="2:26" ht="15">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row>
    <row r="1215" spans="2:26" ht="15">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row>
    <row r="1216" spans="2:26" ht="15">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row>
    <row r="1217" spans="2:26" ht="15">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row>
    <row r="1218" spans="2:26" ht="15">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row>
    <row r="1219" spans="2:26" ht="15">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row>
    <row r="1220" spans="2:26" ht="15">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row>
    <row r="1221" spans="2:26" ht="15">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row>
    <row r="1222" spans="2:26" ht="15">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row>
    <row r="1223" spans="2:26" ht="15">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row>
    <row r="1224" spans="2:26" ht="15">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row>
    <row r="1225" spans="2:26" ht="15">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row>
    <row r="1226" spans="2:26" ht="15">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row>
    <row r="1227" spans="2:26" ht="15">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row>
    <row r="1228" spans="2:26" ht="15">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row>
    <row r="1229" spans="2:26" ht="15">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row>
    <row r="1230" spans="2:26" ht="15">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row>
    <row r="1231" spans="2:26" ht="15">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row>
    <row r="1232" spans="2:26" ht="15">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row>
    <row r="1233" spans="2:26" ht="15">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row>
    <row r="1234" spans="2:26" ht="15">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row>
    <row r="1235" spans="2:26" ht="15">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row>
    <row r="1236" spans="2:26" ht="15">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row>
    <row r="1237" spans="2:26" ht="15">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row>
    <row r="1238" spans="2:26" ht="15">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row>
    <row r="1239" spans="2:26" ht="15">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row>
    <row r="1240" spans="2:26" ht="15">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row>
    <row r="1241" spans="2:26" ht="15">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row>
    <row r="1242" spans="2:26" ht="15">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row>
    <row r="1243" spans="2:26" ht="15">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row>
    <row r="1244" spans="2:26" ht="15">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row>
    <row r="1245" spans="2:26" ht="15">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row>
    <row r="1246" spans="2:26" ht="15">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row>
    <row r="1247" spans="2:26" ht="15">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row>
    <row r="1248" spans="2:26" ht="15">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row>
    <row r="1249" spans="2:26" ht="15">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row>
    <row r="1250" spans="2:26" ht="15">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row>
    <row r="1251" spans="2:26" ht="15">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row>
    <row r="1252" spans="2:26" ht="15">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row>
    <row r="1253" spans="2:26" ht="15">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row>
    <row r="1254" spans="2:26" ht="15">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row>
    <row r="1255" spans="2:26" ht="15">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row>
    <row r="1256" spans="2:26" ht="15">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row>
    <row r="1257" spans="2:26" ht="15">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row>
    <row r="1258" spans="2:26" ht="15">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row>
    <row r="1259" spans="2:26" ht="15">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row>
    <row r="1260" spans="2:26" ht="15">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row>
    <row r="1261" spans="2:26" ht="15">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row>
    <row r="1262" spans="2:26" ht="15">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row>
    <row r="1263" spans="2:26" ht="15">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row>
    <row r="1264" spans="2:26" ht="15">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row>
    <row r="1265" spans="2:26" ht="15">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row>
    <row r="1266" spans="2:26" ht="15">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row>
    <row r="1267" spans="2:26" ht="15">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row>
    <row r="1268" spans="2:26" ht="15">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row>
    <row r="1269" spans="2:26" ht="15">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row>
    <row r="1270" spans="2:26" ht="15">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row>
    <row r="1271" spans="2:26" ht="15">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row>
    <row r="1272" spans="2:26" ht="15">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row>
    <row r="1273" spans="2:26" ht="15">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row>
    <row r="1274" spans="2:26" ht="15">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row>
    <row r="1275" spans="2:26" ht="15">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row>
    <row r="1276" spans="2:26" ht="15">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row>
    <row r="1277" spans="2:26" ht="15">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row>
    <row r="1278" spans="2:26" ht="15">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row>
    <row r="1279" spans="2:26" ht="15">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row>
    <row r="1280" spans="2:26" ht="15">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row>
    <row r="1281" spans="2:26" ht="15">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row>
    <row r="1282" spans="2:26" ht="15">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row>
    <row r="1283" spans="2:26" ht="15">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row>
    <row r="1284" spans="2:26" ht="15">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row>
    <row r="1285" spans="2:26" ht="15">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row>
    <row r="1286" spans="2:26" ht="15">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row>
    <row r="1287" spans="2:26" ht="15">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row>
    <row r="1288" spans="2:26" ht="15">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row>
    <row r="1289" spans="2:26" ht="15">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row>
    <row r="1290" spans="2:26" ht="15">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row>
    <row r="1291" spans="2:26" ht="15">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row>
    <row r="1292" spans="2:26" ht="15">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row>
    <row r="1293" spans="2:26" ht="15">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row>
    <row r="1294" spans="2:26" ht="15">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row>
    <row r="1295" spans="2:26" ht="15">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row>
    <row r="1296" spans="2:26" ht="15">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row>
    <row r="1297" spans="2:26" ht="15">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row>
    <row r="1298" spans="2:26" ht="15">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row>
    <row r="1299" spans="2:26" ht="15">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row>
    <row r="1300" spans="2:26" ht="15">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row>
    <row r="1301" spans="2:26" ht="15">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row>
    <row r="1302" spans="2:26" ht="15">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row>
    <row r="1303" spans="2:26" ht="15">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row>
    <row r="1304" spans="2:26" ht="15">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row>
    <row r="1305" spans="2:26" ht="15">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row>
    <row r="1306" spans="2:26" ht="15">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row>
    <row r="1307" spans="2:26" ht="15">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row>
    <row r="1308" spans="2:26" ht="15">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row>
    <row r="1309" spans="2:26" ht="15">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row>
    <row r="1310" spans="2:26" ht="15">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row>
    <row r="1311" spans="2:26" ht="15">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row>
    <row r="1312" spans="2:26" ht="15">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row>
    <row r="1313" spans="2:26" ht="15">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row>
    <row r="1314" spans="2:26" ht="15">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row>
    <row r="1315" spans="2:26" ht="15">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row>
    <row r="1316" spans="2:26" ht="15">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row>
    <row r="1317" spans="2:26" ht="15">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row>
    <row r="1318" spans="2:26" ht="15">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row>
    <row r="1319" spans="2:26" ht="15">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row>
    <row r="1320" spans="2:26" ht="15">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row>
    <row r="1321" spans="2:26" ht="15">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row>
    <row r="1322" spans="2:26" ht="15">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row>
    <row r="1323" spans="2:26" ht="15">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row>
    <row r="1324" spans="2:26" ht="15">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row>
    <row r="1325" spans="2:26" ht="15">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row>
    <row r="1326" spans="2:26" ht="15">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row>
    <row r="1327" spans="2:26" ht="15">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row>
    <row r="1328" spans="2:26" ht="15">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row>
    <row r="1329" spans="2:26" ht="15">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row>
    <row r="1330" spans="2:26" ht="15">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row>
    <row r="1331" spans="2:26" ht="15">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row>
    <row r="1332" spans="2:26" ht="15">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row>
    <row r="1333" spans="2:26" ht="15">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row>
    <row r="1334" spans="2:26" ht="15">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row>
    <row r="1335" spans="2:26" ht="15">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row>
    <row r="1336" spans="2:26" ht="15">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row>
    <row r="1337" spans="2:26" ht="15">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row>
    <row r="1338" spans="2:26" ht="15">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row>
    <row r="1339" spans="2:26" ht="15">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row>
    <row r="1340" spans="2:26" ht="15">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row>
    <row r="1341" spans="2:26" ht="15">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row>
    <row r="1342" spans="2:26" ht="15">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row>
    <row r="1343" spans="2:26" ht="15">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row>
    <row r="1344" spans="2:26" ht="15">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row>
    <row r="1345" spans="2:26" ht="15">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row>
    <row r="1346" spans="2:26" ht="15">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row>
    <row r="1347" spans="2:26" ht="15">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row>
    <row r="1348" spans="2:26" ht="15">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row>
    <row r="1349" spans="2:26" ht="15">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row>
    <row r="1350" spans="2:26" ht="15">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row>
    <row r="1351" spans="2:26" ht="15">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row>
    <row r="1352" spans="2:26" ht="15">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row>
    <row r="1353" spans="2:26" ht="15">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row>
    <row r="1354" spans="2:26" ht="15">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row>
    <row r="1355" spans="2:26" ht="15">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row>
    <row r="1356" spans="2:26" ht="15">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row>
    <row r="1357" spans="2:26" ht="15">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row>
    <row r="1358" spans="2:26" ht="15">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row>
    <row r="1359" spans="2:26" ht="15">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row>
    <row r="1360" spans="2:26" ht="15">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row>
    <row r="1361" spans="2:26" ht="15">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row>
    <row r="1362" spans="2:26" ht="15">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row>
    <row r="1363" spans="2:26" ht="15">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row>
    <row r="1364" spans="2:26" ht="15">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row>
    <row r="1365" spans="2:26" ht="15">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row>
    <row r="1366" spans="2:26" ht="15">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row>
    <row r="1367" spans="2:26" ht="15">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row>
    <row r="1368" spans="2:26" ht="15">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row>
    <row r="1369" spans="2:26" ht="15">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row>
    <row r="1370" spans="2:26" ht="15">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row>
    <row r="1371" spans="2:26" ht="15">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row>
    <row r="1372" spans="2:26" ht="15">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row>
    <row r="1373" spans="2:26" ht="15">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row>
    <row r="1374" spans="2:26" ht="15">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row>
    <row r="1375" spans="2:26" ht="15">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row>
    <row r="1376" spans="2:26" ht="15">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row>
    <row r="1377" spans="2:26" ht="15">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row>
    <row r="1378" spans="2:26" ht="15">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row>
    <row r="1379" spans="2:26" ht="15">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row>
    <row r="1380" spans="2:26" ht="15">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row>
    <row r="1381" spans="2:26" ht="15">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row>
    <row r="1382" spans="2:26" ht="15">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row>
    <row r="1383" spans="2:26" ht="15">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row>
    <row r="1384" spans="2:26" ht="15">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row>
    <row r="1385" spans="2:26" ht="15">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row>
    <row r="1386" spans="2:26" ht="15">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row>
    <row r="1387" spans="2:26" ht="15">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row>
    <row r="1388" spans="2:26" ht="15">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row>
    <row r="1389" spans="2:26" ht="15">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row>
    <row r="1390" spans="2:26" ht="15">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row>
    <row r="1391" spans="2:26" ht="15">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row>
    <row r="1392" spans="2:26" ht="15">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row>
    <row r="1393" spans="2:26" ht="15">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row>
    <row r="1394" spans="2:26" ht="15">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row>
    <row r="1395" spans="2:26" ht="15">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row>
    <row r="1396" spans="2:26" ht="15">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row>
    <row r="1397" spans="2:26" ht="15">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row>
    <row r="1398" spans="2:26" ht="15">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row>
    <row r="1399" spans="2:26" ht="15">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row>
    <row r="1400" spans="2:26" ht="15">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row>
    <row r="1401" spans="2:26" ht="15">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row>
    <row r="1402" spans="2:26" ht="15">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row>
    <row r="1403" spans="2:26" ht="15">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row>
    <row r="1404" spans="2:26" ht="15">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row>
    <row r="1405" spans="2:26" ht="15">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row>
    <row r="1406" spans="2:26" ht="15">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row>
    <row r="1407" spans="2:26" ht="15">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row>
    <row r="1408" spans="2:26" ht="15">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row>
    <row r="1409" spans="2:26" ht="15">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row>
    <row r="1410" spans="2:26" ht="15">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row>
    <row r="1411" spans="2:26" ht="15">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row>
    <row r="1412" spans="2:26" ht="15">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row>
    <row r="1413" spans="2:26" ht="15">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row>
    <row r="1414" spans="2:26" ht="15">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row>
    <row r="1415" spans="2:26" ht="15">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row>
    <row r="1416" spans="2:26" ht="15">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row>
    <row r="1417" spans="2:26" ht="15">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row>
    <row r="1418" spans="2:26" ht="15">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row>
    <row r="1419" spans="2:26" ht="15">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row>
    <row r="1420" spans="2:26" ht="15">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row>
    <row r="1421" spans="2:26" ht="15">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row>
    <row r="1422" spans="2:26" ht="15">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row>
    <row r="1423" spans="2:26" ht="15">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row>
    <row r="1424" spans="2:26" ht="15">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row>
    <row r="1425" spans="2:26" ht="15">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row>
    <row r="1426" spans="2:26" ht="15">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row>
    <row r="1427" spans="2:26" ht="15">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row>
    <row r="1428" spans="2:26" ht="15">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row>
    <row r="1429" spans="2:26" ht="15">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row>
    <row r="1430" spans="2:26" ht="15">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row>
    <row r="1431" spans="2:26" ht="15">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row>
    <row r="1432" spans="2:26" ht="15">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row>
    <row r="1433" spans="2:26" ht="15">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row>
    <row r="1434" spans="2:26" ht="15">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row>
    <row r="1435" spans="2:26" ht="15">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row>
    <row r="1436" spans="2:26" ht="15">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row>
    <row r="1437" spans="2:26" ht="15">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row>
    <row r="1438" spans="2:26" ht="15">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row>
    <row r="1439" spans="2:26" ht="15">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row>
    <row r="1440" spans="2:26" ht="15">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row>
    <row r="1441" spans="2:26" ht="15">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row>
    <row r="1442" spans="2:26" ht="15">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row>
    <row r="1443" spans="2:26" ht="15">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row>
    <row r="1444" spans="2:26" ht="15">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row>
    <row r="1445" spans="2:26" ht="15">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row>
    <row r="1446" spans="2:26" ht="15">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row>
    <row r="1447" spans="2:26" ht="15">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row>
    <row r="1448" spans="2:26" ht="15">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row>
    <row r="1449" spans="2:26" ht="15">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row>
    <row r="1450" spans="2:26" ht="15">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row>
    <row r="1451" spans="2:26" ht="15">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row>
    <row r="1452" spans="2:26" ht="15">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row>
    <row r="1453" spans="2:26" ht="15">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row>
    <row r="1454" spans="2:26" ht="15">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row>
    <row r="1455" spans="2:26" ht="15">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row>
    <row r="1456" spans="2:26" ht="15">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row>
    <row r="1457" spans="2:26" ht="15">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row>
    <row r="1458" spans="2:26" ht="15">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row>
    <row r="1459" spans="2:26" ht="15">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row>
    <row r="1460" spans="2:26" ht="15">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row>
    <row r="1461" spans="2:26" ht="15">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row>
    <row r="1462" spans="2:26" ht="15">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row>
    <row r="1463" spans="2:26" ht="15">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row>
    <row r="1464" spans="2:26" ht="15">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row>
    <row r="1465" spans="2:26" ht="15">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row>
    <row r="1466" spans="2:26" ht="15">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row>
    <row r="1467" spans="2:26" ht="15">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row>
    <row r="1468" spans="2:26" ht="15">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row>
    <row r="1469" spans="2:26" ht="15">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row>
    <row r="1470" spans="2:26" ht="15">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row>
    <row r="1471" spans="2:26" ht="15">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row>
    <row r="1472" spans="2:26" ht="15">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row>
    <row r="1473" spans="2:26" ht="15">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row>
    <row r="1474" spans="2:26" ht="15">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row>
    <row r="1475" spans="2:26" ht="15">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row>
    <row r="1476" spans="2:26" ht="15">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row>
    <row r="1477" spans="2:26" ht="15">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row>
    <row r="1478" spans="2:26" ht="15">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row>
    <row r="1479" spans="2:26" ht="15">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row>
    <row r="1480" spans="2:26" ht="15">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row>
    <row r="1481" spans="2:26" ht="15">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row>
    <row r="1482" spans="2:26" ht="15">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row>
    <row r="1483" spans="2:26" ht="15">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row>
    <row r="1484" spans="2:26" ht="15">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row>
    <row r="1485" spans="2:26" ht="15">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row>
    <row r="1486" spans="2:26" ht="15">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row>
    <row r="1487" spans="2:26" ht="15">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row>
    <row r="1488" spans="2:26" ht="15">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row>
    <row r="1489" spans="2:26" ht="15">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row>
    <row r="1490" spans="2:26" ht="15">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row>
    <row r="1491" spans="2:26" ht="15">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row>
    <row r="1492" spans="2:26" ht="15">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row>
    <row r="1493" spans="2:26" ht="15">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row>
    <row r="1494" spans="2:26" ht="15">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row>
    <row r="1495" spans="2:26" ht="15">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row>
    <row r="1496" spans="2:26" ht="15">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row>
    <row r="1497" spans="2:26" ht="15">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row>
    <row r="1498" spans="2:26" ht="15">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row>
    <row r="1499" spans="2:26" ht="15">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row>
    <row r="1500" spans="2:26" ht="15">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row>
    <row r="1501" spans="2:26" ht="15">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row>
    <row r="1502" spans="2:26" ht="15">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row>
    <row r="1503" spans="2:26" ht="15">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row>
    <row r="1504" spans="2:26" ht="15">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row>
    <row r="1505" spans="2:26" ht="15">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row>
    <row r="1506" spans="2:26" ht="15">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row>
    <row r="1507" spans="2:26" ht="15">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row>
    <row r="1508" spans="2:26" ht="15">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row>
    <row r="1509" spans="2:26" ht="15">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row>
    <row r="1510" spans="2:26" ht="15">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row>
    <row r="1511" spans="2:26" ht="15">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row>
    <row r="1512" spans="2:26" ht="15">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row>
    <row r="1513" spans="2:26" ht="15">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row>
    <row r="1514" spans="2:26" ht="15">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row>
    <row r="1515" spans="2:26" ht="15">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row>
    <row r="1516" spans="2:26" ht="15">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row>
    <row r="1517" spans="2:26" ht="15">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row>
    <row r="1518" spans="2:26" ht="15">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row>
    <row r="1519" spans="2:26" ht="15">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row>
    <row r="1520" spans="2:26" ht="15">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row>
    <row r="1521" spans="2:26" ht="15">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row>
    <row r="1522" spans="2:26" ht="15">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row>
    <row r="1523" spans="2:26" ht="15">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row>
    <row r="1524" spans="2:26" ht="15">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row>
    <row r="1525" spans="2:26" ht="15">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row>
    <row r="1526" spans="2:26" ht="15">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row>
    <row r="1527" spans="2:26" ht="15">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row>
    <row r="1528" spans="2:26" ht="15">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row>
    <row r="1529" spans="2:26" ht="15">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row>
    <row r="1530" spans="2:26" ht="15">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row>
    <row r="1531" spans="2:26" ht="15">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row>
    <row r="1532" spans="2:26" ht="15">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row>
    <row r="1533" spans="2:26" ht="15">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row>
    <row r="1534" spans="2:26" ht="15">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row>
    <row r="1535" spans="2:26" ht="15">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row>
    <row r="1536" spans="2:26" ht="15">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row>
    <row r="1537" spans="2:26" ht="15">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row>
    <row r="1538" spans="2:26" ht="15">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row>
    <row r="1539" spans="2:26" ht="15">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row>
    <row r="1540" spans="2:26" ht="15">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row>
    <row r="1541" spans="2:26" ht="15">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row>
    <row r="1542" spans="2:26" ht="15">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row>
    <row r="1543" spans="2:26" ht="15">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row>
    <row r="1544" spans="2:26" ht="15">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row>
    <row r="1545" spans="2:26" ht="15">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row>
    <row r="1546" spans="2:26" ht="15">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row>
    <row r="1547" spans="2:26" ht="15">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row>
    <row r="1548" spans="2:26" ht="15">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row>
    <row r="1549" spans="2:26" ht="15">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row>
    <row r="1550" spans="2:26" ht="15">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row>
    <row r="1551" spans="2:26" ht="15">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row>
    <row r="1552" spans="2:26" ht="15">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row>
    <row r="1553" spans="2:26" ht="15">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row>
    <row r="1554" spans="2:26" ht="15">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row>
    <row r="1555" spans="2:26" ht="15">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row>
    <row r="1556" spans="2:26" ht="15">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row>
    <row r="1557" spans="2:26" ht="15">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row>
    <row r="1558" spans="2:26" ht="15">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row>
    <row r="1559" spans="2:26" ht="15">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row>
    <row r="1560" spans="2:26" ht="15">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row>
    <row r="1561" spans="2:26" ht="15">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row>
    <row r="1562" spans="2:26" ht="15">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row>
    <row r="1563" spans="2:26" ht="15">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row>
    <row r="1564" spans="2:26" ht="15">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row>
    <row r="1565" spans="2:26" ht="15">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row>
    <row r="1566" spans="2:26" ht="15">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row>
    <row r="1567" spans="2:26" ht="15">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row>
    <row r="1568" spans="2:26" ht="15">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row>
    <row r="1569" spans="2:26" ht="15">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row>
    <row r="1570" spans="2:26" ht="15">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row>
    <row r="1571" spans="2:26" ht="15">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row>
    <row r="1572" spans="2:26" ht="15">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row>
    <row r="1573" spans="2:26" ht="15">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row>
    <row r="1574" spans="2:26" ht="15">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row>
    <row r="1575" spans="2:26" ht="15">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row>
    <row r="1576" spans="2:26" ht="15">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row>
    <row r="1577" spans="2:26" ht="15">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row>
    <row r="1578" spans="2:26" ht="15">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row>
    <row r="1579" spans="2:26" ht="15">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row>
    <row r="1580" spans="2:26" ht="15">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row>
    <row r="1581" spans="2:26" ht="15">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row>
    <row r="1582" spans="2:26" ht="15">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row>
    <row r="1583" spans="2:26" ht="15">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row>
    <row r="1584" spans="2:26" ht="15">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row>
    <row r="1585" spans="2:26" ht="15">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row>
    <row r="1586" spans="2:26" ht="15">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row>
    <row r="1587" spans="2:26" ht="15">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row>
    <row r="1588" spans="2:26" ht="15">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row>
    <row r="1589" spans="2:26" ht="15">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row>
    <row r="1590" spans="2:26" ht="15">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row>
    <row r="1591" spans="2:26" ht="15">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row>
    <row r="1592" spans="2:26" ht="15">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row>
    <row r="1593" spans="2:26" ht="15">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row>
    <row r="1594" spans="2:26" ht="15">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row>
    <row r="1595" spans="2:26" ht="15">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row>
    <row r="1596" spans="2:26" ht="15">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row>
    <row r="1597" spans="2:26" ht="15">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row>
    <row r="1598" spans="2:26" ht="15">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row>
    <row r="1599" spans="2:26" ht="15">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row>
  </sheetData>
  <mergeCells count="3">
    <mergeCell ref="B9:M9"/>
    <mergeCell ref="B30:M30"/>
    <mergeCell ref="B49:M49"/>
  </mergeCells>
  <printOptions horizontalCentered="1"/>
  <pageMargins left="1" right="1" top="1" bottom="0.5" header="0.5" footer="0.5"/>
  <pageSetup fitToHeight="0"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41"/>
  <sheetViews>
    <sheetView workbookViewId="0" topLeftCell="A1">
      <selection activeCell="A1" sqref="A1"/>
    </sheetView>
  </sheetViews>
  <sheetFormatPr defaultColWidth="8.88671875" defaultRowHeight="12.75"/>
  <cols>
    <col min="1" max="1" width="5.77734375" style="18" customWidth="1"/>
    <col min="2" max="2" width="10.21484375" style="18" customWidth="1"/>
    <col min="3" max="3" width="3.5546875" style="18" customWidth="1"/>
    <col min="4" max="4" width="9.77734375" style="18" customWidth="1"/>
    <col min="5" max="5" width="3.5546875" style="18" customWidth="1"/>
    <col min="6" max="6" width="9.77734375" style="18" customWidth="1"/>
    <col min="7" max="7" width="3.5546875" style="18" customWidth="1"/>
    <col min="8" max="8" width="9.77734375" style="18" customWidth="1"/>
    <col min="9" max="9" width="3.5546875" style="18" customWidth="1"/>
    <col min="10" max="16384" width="9.77734375" style="18" customWidth="1"/>
  </cols>
  <sheetData>
    <row r="1" spans="1:10" ht="15">
      <c r="A1" s="16" t="s">
        <v>369</v>
      </c>
      <c r="B1" s="17"/>
      <c r="C1" s="17"/>
      <c r="D1" s="17"/>
      <c r="E1" s="17"/>
      <c r="F1" s="17"/>
      <c r="G1" s="17"/>
      <c r="H1" s="17"/>
      <c r="I1" s="17"/>
      <c r="J1" s="17"/>
    </row>
    <row r="2" spans="1:10" ht="15">
      <c r="A2" s="194"/>
      <c r="B2" s="17"/>
      <c r="C2" s="17"/>
      <c r="D2" s="17"/>
      <c r="E2" s="17"/>
      <c r="F2" s="17"/>
      <c r="G2" s="17"/>
      <c r="H2" s="17"/>
      <c r="I2" s="17"/>
      <c r="J2" s="17"/>
    </row>
    <row r="3" spans="1:10" ht="15">
      <c r="A3" s="17"/>
      <c r="B3" s="17"/>
      <c r="C3" s="17"/>
      <c r="D3" s="17"/>
      <c r="E3" s="17"/>
      <c r="F3" s="17"/>
      <c r="G3" s="17"/>
      <c r="H3" s="17"/>
      <c r="I3" s="17"/>
      <c r="J3" s="17"/>
    </row>
    <row r="4" spans="1:10" ht="15">
      <c r="A4" s="17" t="s">
        <v>82</v>
      </c>
      <c r="B4" s="17"/>
      <c r="C4" s="17"/>
      <c r="D4" s="17"/>
      <c r="E4" s="17"/>
      <c r="F4" s="17"/>
      <c r="G4" s="17"/>
      <c r="H4" s="17"/>
      <c r="I4" s="17"/>
      <c r="J4" s="17"/>
    </row>
    <row r="5" spans="1:10" ht="15">
      <c r="A5" s="19"/>
      <c r="B5" s="19"/>
      <c r="C5" s="19"/>
      <c r="D5" s="19"/>
      <c r="E5" s="19"/>
      <c r="F5" s="19"/>
      <c r="G5" s="19"/>
      <c r="H5" s="19"/>
      <c r="I5" s="19"/>
      <c r="J5" s="19"/>
    </row>
    <row r="6" spans="1:10" ht="15">
      <c r="A6" s="19"/>
      <c r="B6" s="19"/>
      <c r="C6" s="19"/>
      <c r="D6" s="19"/>
      <c r="E6" s="19"/>
      <c r="F6" s="19"/>
      <c r="G6" s="19"/>
      <c r="H6" s="19"/>
      <c r="I6" s="19"/>
      <c r="J6" s="19"/>
    </row>
    <row r="7" spans="1:10" ht="15">
      <c r="A7" s="19" t="s">
        <v>67</v>
      </c>
      <c r="B7" s="19"/>
      <c r="C7" s="19"/>
      <c r="D7" s="19"/>
      <c r="E7" s="19"/>
      <c r="F7" s="19"/>
      <c r="G7" s="19"/>
      <c r="H7" s="19"/>
      <c r="I7" s="19"/>
      <c r="J7" s="19"/>
    </row>
    <row r="8" spans="1:10" ht="15">
      <c r="A8" s="19" t="s">
        <v>83</v>
      </c>
      <c r="B8" s="19"/>
      <c r="C8" s="19"/>
      <c r="D8" s="19"/>
      <c r="E8" s="19"/>
      <c r="F8" s="19"/>
      <c r="G8" s="19"/>
      <c r="H8" s="19"/>
      <c r="I8" s="19"/>
      <c r="J8" s="19"/>
    </row>
    <row r="9" spans="1:10" ht="15">
      <c r="A9" s="19"/>
      <c r="B9" s="19"/>
      <c r="C9" s="19"/>
      <c r="D9" s="19"/>
      <c r="E9" s="19"/>
      <c r="F9" s="19"/>
      <c r="G9" s="19"/>
      <c r="H9" s="19"/>
      <c r="I9" s="19"/>
      <c r="J9" s="19"/>
    </row>
    <row r="10" spans="1:10" ht="15">
      <c r="A10" s="19"/>
      <c r="B10" s="19"/>
      <c r="C10" s="19"/>
      <c r="D10" s="19"/>
      <c r="E10" s="19"/>
      <c r="F10" s="19"/>
      <c r="G10" s="19"/>
      <c r="H10" s="19"/>
      <c r="I10" s="19"/>
      <c r="J10" s="19"/>
    </row>
    <row r="11" spans="1:10" ht="15">
      <c r="A11" s="19"/>
      <c r="B11" s="19"/>
      <c r="C11" s="19"/>
      <c r="D11" s="19"/>
      <c r="E11" s="19"/>
      <c r="F11" s="17" t="s">
        <v>84</v>
      </c>
      <c r="G11" s="17"/>
      <c r="H11" s="16"/>
      <c r="I11" s="17"/>
      <c r="J11" s="17"/>
    </row>
    <row r="12" spans="1:10" ht="15">
      <c r="A12" s="19"/>
      <c r="B12" s="19"/>
      <c r="C12" s="19"/>
      <c r="D12" s="20" t="s">
        <v>52</v>
      </c>
      <c r="E12" s="20"/>
      <c r="F12" s="21"/>
      <c r="G12" s="21"/>
      <c r="H12" s="21" t="s">
        <v>85</v>
      </c>
      <c r="I12" s="21"/>
      <c r="J12" s="22"/>
    </row>
    <row r="13" spans="1:10" ht="15">
      <c r="A13" s="17" t="s">
        <v>53</v>
      </c>
      <c r="B13" s="17"/>
      <c r="C13" s="19"/>
      <c r="D13" s="20" t="s">
        <v>54</v>
      </c>
      <c r="E13" s="20"/>
      <c r="F13" s="23"/>
      <c r="G13" s="20"/>
      <c r="H13" s="20" t="s">
        <v>197</v>
      </c>
      <c r="I13" s="20"/>
      <c r="J13" s="20" t="s">
        <v>55</v>
      </c>
    </row>
    <row r="14" spans="1:10" ht="15">
      <c r="A14" s="17" t="s">
        <v>56</v>
      </c>
      <c r="B14" s="17"/>
      <c r="C14" s="19"/>
      <c r="D14" s="20" t="s">
        <v>197</v>
      </c>
      <c r="E14" s="20"/>
      <c r="F14" s="20" t="s">
        <v>86</v>
      </c>
      <c r="G14" s="20"/>
      <c r="H14" s="20" t="s">
        <v>87</v>
      </c>
      <c r="I14" s="20"/>
      <c r="J14" s="20" t="s">
        <v>57</v>
      </c>
    </row>
    <row r="15" spans="1:10" ht="15">
      <c r="A15" s="24" t="s">
        <v>58</v>
      </c>
      <c r="B15" s="24"/>
      <c r="C15" s="19"/>
      <c r="D15" s="21" t="s">
        <v>75</v>
      </c>
      <c r="E15" s="19"/>
      <c r="F15" s="21" t="s">
        <v>60</v>
      </c>
      <c r="G15" s="19"/>
      <c r="H15" s="21" t="s">
        <v>88</v>
      </c>
      <c r="I15" s="19"/>
      <c r="J15" s="21" t="s">
        <v>89</v>
      </c>
    </row>
    <row r="16" spans="1:10" ht="15">
      <c r="A16" s="19"/>
      <c r="B16" s="19"/>
      <c r="C16" s="19"/>
      <c r="D16" s="19"/>
      <c r="E16" s="19"/>
      <c r="F16" s="19"/>
      <c r="G16" s="19"/>
      <c r="H16" s="19"/>
      <c r="I16" s="19"/>
      <c r="J16" s="19"/>
    </row>
    <row r="17" spans="1:10" ht="15">
      <c r="A17" s="2" t="s">
        <v>61</v>
      </c>
      <c r="B17" s="19"/>
      <c r="C17" s="19"/>
      <c r="D17" s="173">
        <f>'F 1-2'!$G$16</f>
        <v>15760</v>
      </c>
      <c r="E17" s="19"/>
      <c r="F17" s="25">
        <v>0.8</v>
      </c>
      <c r="G17" s="19"/>
      <c r="H17" s="173">
        <f>ROUND(+D17*F17,0)</f>
        <v>12608</v>
      </c>
      <c r="I17" s="19"/>
      <c r="J17" s="26">
        <f>ROUND(H17/H$23,4)</f>
        <v>0.5858</v>
      </c>
    </row>
    <row r="18" spans="1:10" ht="15">
      <c r="A18" s="2" t="s">
        <v>194</v>
      </c>
      <c r="B18" s="19"/>
      <c r="C18" s="19"/>
      <c r="D18" s="173">
        <f>'F 1-2'!$G$17</f>
        <v>7857</v>
      </c>
      <c r="E18" s="19"/>
      <c r="F18" s="25">
        <v>0.65</v>
      </c>
      <c r="G18" s="19"/>
      <c r="H18" s="173">
        <f>ROUND(+D18*F18,0)</f>
        <v>5107</v>
      </c>
      <c r="I18" s="19"/>
      <c r="J18" s="27">
        <f>ROUND(H18/H$23,4)</f>
        <v>0.2373</v>
      </c>
    </row>
    <row r="19" spans="1:10" ht="15">
      <c r="A19" s="2" t="s">
        <v>63</v>
      </c>
      <c r="B19" s="19"/>
      <c r="C19" s="19"/>
      <c r="D19" s="173">
        <f>'F 1-2'!$G$18</f>
        <v>3107</v>
      </c>
      <c r="E19" s="19"/>
      <c r="F19" s="25">
        <v>0.6</v>
      </c>
      <c r="G19" s="19"/>
      <c r="H19" s="173">
        <f>ROUND(+D19*F19,0)</f>
        <v>1864</v>
      </c>
      <c r="I19" s="19"/>
      <c r="J19" s="27">
        <f>ROUND(H19/H$23,4)</f>
        <v>0.0866</v>
      </c>
    </row>
    <row r="20" spans="1:10" ht="15">
      <c r="A20" s="2" t="s">
        <v>64</v>
      </c>
      <c r="B20" s="19"/>
      <c r="C20" s="19"/>
      <c r="D20" s="173">
        <f>'F 1-2'!$G$19</f>
        <v>1761</v>
      </c>
      <c r="E20" s="19"/>
      <c r="F20" s="25">
        <v>0.6</v>
      </c>
      <c r="G20" s="19"/>
      <c r="H20" s="173">
        <f>ROUND(+D20*F20,0)</f>
        <v>1057</v>
      </c>
      <c r="I20" s="19"/>
      <c r="J20" s="27">
        <f>ROUND(H20/H$23,4)</f>
        <v>0.0491</v>
      </c>
    </row>
    <row r="21" spans="1:10" ht="15">
      <c r="A21" s="2" t="s">
        <v>427</v>
      </c>
      <c r="B21" s="19"/>
      <c r="C21" s="19"/>
      <c r="D21" s="173">
        <f>'F 1-2'!$G$20</f>
        <v>1477</v>
      </c>
      <c r="E21" s="19"/>
      <c r="F21" s="25">
        <v>0.6</v>
      </c>
      <c r="G21" s="19"/>
      <c r="H21" s="173">
        <f>ROUND(+D21*F21,0)</f>
        <v>886</v>
      </c>
      <c r="I21" s="19"/>
      <c r="J21" s="27">
        <f>ROUND(H21/H$23,4)</f>
        <v>0.0412</v>
      </c>
    </row>
    <row r="22" spans="1:10" ht="15">
      <c r="A22" s="19"/>
      <c r="B22" s="19"/>
      <c r="C22" s="19"/>
      <c r="D22" s="174"/>
      <c r="E22" s="19"/>
      <c r="F22" s="28"/>
      <c r="G22" s="19"/>
      <c r="H22" s="174"/>
      <c r="I22" s="19"/>
      <c r="J22" s="29"/>
    </row>
    <row r="23" spans="1:13" ht="15.75" thickBot="1">
      <c r="A23" s="19" t="s">
        <v>66</v>
      </c>
      <c r="B23" s="19"/>
      <c r="C23" s="19"/>
      <c r="D23" s="173">
        <f>SUM(D17:D21)</f>
        <v>29962</v>
      </c>
      <c r="E23" s="19"/>
      <c r="F23" s="28"/>
      <c r="G23" s="19"/>
      <c r="H23" s="196">
        <f>SUM(H17:H21)</f>
        <v>21522</v>
      </c>
      <c r="I23" s="19"/>
      <c r="J23" s="27">
        <f>SUM(J17:J22)</f>
        <v>1</v>
      </c>
      <c r="L23" s="274"/>
      <c r="M23" s="275"/>
    </row>
    <row r="24" spans="1:13" ht="15.75" thickTop="1">
      <c r="A24" s="19"/>
      <c r="B24" s="19"/>
      <c r="C24" s="19"/>
      <c r="D24" s="30"/>
      <c r="E24" s="19"/>
      <c r="F24" s="28"/>
      <c r="G24" s="19"/>
      <c r="H24" s="195"/>
      <c r="I24" s="19"/>
      <c r="J24" s="31"/>
      <c r="M24" s="276"/>
    </row>
    <row r="25" spans="1:10" ht="15">
      <c r="A25" s="19"/>
      <c r="B25" s="19"/>
      <c r="C25" s="19"/>
      <c r="D25" s="32"/>
      <c r="E25" s="19"/>
      <c r="F25" s="19"/>
      <c r="G25" s="19"/>
      <c r="H25" s="28"/>
      <c r="I25" s="19"/>
      <c r="J25" s="19"/>
    </row>
    <row r="26" spans="1:10" ht="30" customHeight="1">
      <c r="A26" s="492" t="s">
        <v>315</v>
      </c>
      <c r="B26" s="492"/>
      <c r="C26" s="492"/>
      <c r="D26" s="492"/>
      <c r="E26" s="492"/>
      <c r="F26" s="492"/>
      <c r="G26" s="492"/>
      <c r="H26" s="492"/>
      <c r="I26" s="492"/>
      <c r="J26" s="492"/>
    </row>
    <row r="27" spans="1:10" ht="15">
      <c r="A27" s="19"/>
      <c r="B27" s="19"/>
      <c r="C27" s="19"/>
      <c r="D27" s="19"/>
      <c r="E27" s="19"/>
      <c r="F27" s="19"/>
      <c r="G27" s="19"/>
      <c r="H27" s="19"/>
      <c r="I27" s="19"/>
      <c r="J27" s="19"/>
    </row>
    <row r="28" spans="1:10" ht="15">
      <c r="A28" s="19"/>
      <c r="B28" s="19"/>
      <c r="C28" s="19"/>
      <c r="D28" s="19"/>
      <c r="E28" s="19"/>
      <c r="F28" s="19"/>
      <c r="G28" s="19"/>
      <c r="H28" s="19"/>
      <c r="I28" s="19"/>
      <c r="J28" s="19"/>
    </row>
    <row r="29" spans="1:10" ht="15">
      <c r="A29" s="19"/>
      <c r="D29" s="19"/>
      <c r="E29" s="19"/>
      <c r="F29" s="20" t="s">
        <v>90</v>
      </c>
      <c r="G29" s="20"/>
      <c r="H29" s="20"/>
      <c r="I29" s="19"/>
      <c r="J29" s="19"/>
    </row>
    <row r="30" spans="1:10" ht="15">
      <c r="A30" s="19"/>
      <c r="D30" s="19"/>
      <c r="E30" s="19"/>
      <c r="F30" s="20" t="s">
        <v>91</v>
      </c>
      <c r="G30" s="20"/>
      <c r="H30" s="20"/>
      <c r="I30" s="19"/>
      <c r="J30" s="19"/>
    </row>
    <row r="31" spans="1:10" ht="15">
      <c r="A31" s="19"/>
      <c r="D31" s="19"/>
      <c r="E31" s="19"/>
      <c r="F31" s="20" t="s">
        <v>92</v>
      </c>
      <c r="G31" s="20"/>
      <c r="H31" s="20" t="s">
        <v>93</v>
      </c>
      <c r="I31" s="19"/>
      <c r="J31" s="19"/>
    </row>
    <row r="32" spans="1:10" ht="15">
      <c r="A32" s="19"/>
      <c r="D32" s="19"/>
      <c r="E32" s="19"/>
      <c r="F32" s="33"/>
      <c r="G32" s="19"/>
      <c r="H32" s="33"/>
      <c r="I32" s="19"/>
      <c r="J32" s="19"/>
    </row>
    <row r="33" spans="1:10" ht="15">
      <c r="A33" s="19"/>
      <c r="D33" s="19" t="s">
        <v>94</v>
      </c>
      <c r="F33" s="25">
        <v>1</v>
      </c>
      <c r="G33" s="19"/>
      <c r="H33" s="27">
        <f>ROUND(F33/F37,4)</f>
        <v>0.625</v>
      </c>
      <c r="I33" s="19"/>
      <c r="J33" s="19"/>
    </row>
    <row r="34" spans="1:10" ht="15">
      <c r="A34" s="19"/>
      <c r="D34" s="19" t="s">
        <v>70</v>
      </c>
      <c r="F34" s="25"/>
      <c r="G34" s="19"/>
      <c r="H34" s="19"/>
      <c r="I34" s="19"/>
      <c r="J34" s="19"/>
    </row>
    <row r="35" spans="1:10" ht="15">
      <c r="A35" s="19"/>
      <c r="D35" s="19" t="s">
        <v>15</v>
      </c>
      <c r="F35" s="25">
        <v>0.6</v>
      </c>
      <c r="G35" s="19"/>
      <c r="H35" s="27">
        <f>ROUND(F35/F37,4)</f>
        <v>0.375</v>
      </c>
      <c r="I35" s="19"/>
      <c r="J35" s="19"/>
    </row>
    <row r="36" spans="1:10" ht="15">
      <c r="A36" s="19"/>
      <c r="D36" s="19"/>
      <c r="F36" s="34"/>
      <c r="G36" s="19"/>
      <c r="H36" s="33"/>
      <c r="I36" s="19"/>
      <c r="J36" s="19"/>
    </row>
    <row r="37" spans="1:10" ht="15.75" thickBot="1">
      <c r="A37" s="19"/>
      <c r="D37" s="19" t="s">
        <v>96</v>
      </c>
      <c r="F37" s="201">
        <f>SUM(F33:F36)</f>
        <v>1.6</v>
      </c>
      <c r="G37" s="19"/>
      <c r="H37" s="27">
        <f>SUM(H33:H36)</f>
        <v>1</v>
      </c>
      <c r="I37" s="19"/>
      <c r="J37" s="19"/>
    </row>
    <row r="38" spans="1:10" ht="15.75" thickTop="1">
      <c r="A38" s="19"/>
      <c r="D38" s="19"/>
      <c r="E38" s="19"/>
      <c r="F38" s="200"/>
      <c r="G38" s="19"/>
      <c r="H38" s="35"/>
      <c r="I38" s="19"/>
      <c r="J38" s="19"/>
    </row>
    <row r="39" spans="1:10" ht="15">
      <c r="A39" s="19"/>
      <c r="B39" s="19"/>
      <c r="C39" s="19"/>
      <c r="D39" s="19"/>
      <c r="E39" s="25"/>
      <c r="F39" s="19"/>
      <c r="G39" s="19"/>
      <c r="H39" s="19"/>
      <c r="I39" s="19"/>
      <c r="J39" s="19"/>
    </row>
    <row r="40" spans="1:10" ht="15">
      <c r="A40" s="19"/>
      <c r="B40" s="19"/>
      <c r="C40" s="19"/>
      <c r="D40" s="19"/>
      <c r="E40" s="19"/>
      <c r="F40" s="19"/>
      <c r="G40" s="19"/>
      <c r="H40" s="19"/>
      <c r="I40" s="19"/>
      <c r="J40" s="19"/>
    </row>
    <row r="41" spans="1:10" ht="15">
      <c r="A41" s="33" t="s">
        <v>97</v>
      </c>
      <c r="B41" s="33"/>
      <c r="C41" s="19"/>
      <c r="D41" s="19"/>
      <c r="E41" s="19"/>
      <c r="F41" s="19"/>
      <c r="G41" s="19"/>
      <c r="H41" s="19"/>
      <c r="I41" s="19"/>
      <c r="J41" s="19"/>
    </row>
  </sheetData>
  <mergeCells count="1">
    <mergeCell ref="A26:J26"/>
  </mergeCells>
  <printOptions horizontalCentered="1"/>
  <pageMargins left="1" right="1" top="1"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O184"/>
  <sheetViews>
    <sheetView workbookViewId="0" topLeftCell="A1">
      <selection activeCell="A1" sqref="A1"/>
    </sheetView>
  </sheetViews>
  <sheetFormatPr defaultColWidth="8.88671875" defaultRowHeight="12.75"/>
  <cols>
    <col min="1" max="1" width="7.77734375" style="37" customWidth="1"/>
    <col min="2" max="2" width="7.88671875" style="37" customWidth="1"/>
    <col min="3" max="3" width="2.10546875" style="37" customWidth="1"/>
    <col min="4" max="4" width="7.77734375" style="37" customWidth="1"/>
    <col min="5" max="5" width="2.10546875" style="37" customWidth="1"/>
    <col min="6" max="6" width="7.77734375" style="37" customWidth="1"/>
    <col min="7" max="7" width="2.10546875" style="37" customWidth="1"/>
    <col min="8" max="8" width="7.77734375" style="37" customWidth="1"/>
    <col min="9" max="9" width="2.10546875" style="37" customWidth="1"/>
    <col min="10" max="10" width="7.77734375" style="37" customWidth="1"/>
    <col min="11" max="11" width="2.10546875" style="37" customWidth="1"/>
    <col min="12" max="12" width="7.77734375" style="37" customWidth="1"/>
    <col min="13" max="13" width="2.10546875" style="37" customWidth="1"/>
    <col min="14" max="14" width="7.77734375" style="37" customWidth="1"/>
    <col min="15" max="15" width="2.10546875" style="37" customWidth="1"/>
    <col min="16" max="16" width="10.77734375" style="37" customWidth="1"/>
    <col min="17" max="17" width="2.10546875" style="37" customWidth="1"/>
    <col min="18" max="18" width="10.99609375" style="37" customWidth="1"/>
    <col min="19" max="19" width="7.77734375" style="37" customWidth="1"/>
    <col min="20" max="20" width="3.77734375" style="37" customWidth="1"/>
    <col min="21" max="21" width="7.77734375" style="37" customWidth="1"/>
    <col min="22" max="22" width="2.77734375" style="37" customWidth="1"/>
    <col min="23" max="23" width="7.77734375" style="37" customWidth="1"/>
    <col min="24" max="24" width="2.77734375" style="37" customWidth="1"/>
    <col min="25" max="25" width="12.5546875" style="37" customWidth="1"/>
    <col min="26" max="26" width="2.77734375" style="37" customWidth="1"/>
    <col min="27" max="27" width="10.4453125" style="37" customWidth="1"/>
    <col min="28" max="28" width="2.77734375" style="37" customWidth="1"/>
    <col min="29" max="29" width="9.99609375" style="37" bestFit="1" customWidth="1"/>
    <col min="30" max="30" width="2.77734375" style="37" customWidth="1"/>
    <col min="31" max="31" width="13.5546875" style="37" bestFit="1" customWidth="1"/>
    <col min="32" max="32" width="2.77734375" style="37" customWidth="1"/>
    <col min="33" max="33" width="12.4453125" style="37" bestFit="1" customWidth="1"/>
    <col min="34" max="34" width="2.77734375" style="37" customWidth="1"/>
    <col min="35" max="35" width="11.99609375" style="37" bestFit="1" customWidth="1"/>
    <col min="36" max="38" width="9.77734375" style="37" customWidth="1"/>
    <col min="39" max="39" width="12.4453125" style="37" bestFit="1" customWidth="1"/>
    <col min="40" max="40" width="6.77734375" style="37" customWidth="1"/>
    <col min="41" max="41" width="4.77734375" style="37" customWidth="1"/>
    <col min="42" max="42" width="6.77734375" style="37" customWidth="1"/>
    <col min="43" max="43" width="9.77734375" style="37" customWidth="1"/>
    <col min="44" max="44" width="3.77734375" style="37" customWidth="1"/>
    <col min="45" max="45" width="6.77734375" style="37" customWidth="1"/>
    <col min="46" max="46" width="3.77734375" style="37" customWidth="1"/>
    <col min="47" max="47" width="8.77734375" style="37" customWidth="1"/>
    <col min="48" max="48" width="3.77734375" style="37" customWidth="1"/>
    <col min="49" max="49" width="7.77734375" style="37" customWidth="1"/>
    <col min="50" max="50" width="3.77734375" style="37" customWidth="1"/>
    <col min="51" max="51" width="9.77734375" style="37" customWidth="1"/>
    <col min="52" max="52" width="6.77734375" style="37" customWidth="1"/>
    <col min="53" max="53" width="2.77734375" style="37" customWidth="1"/>
    <col min="54" max="54" width="4.77734375" style="37" customWidth="1"/>
    <col min="55" max="55" width="2.77734375" style="37" customWidth="1"/>
    <col min="56" max="56" width="11.77734375" style="37" customWidth="1"/>
    <col min="57" max="57" width="3.77734375" style="37" customWidth="1"/>
    <col min="58" max="58" width="7.77734375" style="37" customWidth="1"/>
    <col min="59" max="59" width="3.77734375" style="37" customWidth="1"/>
    <col min="60" max="60" width="7.77734375" style="37" customWidth="1"/>
    <col min="61" max="61" width="3.77734375" style="37" customWidth="1"/>
    <col min="62" max="62" width="7.77734375" style="37" customWidth="1"/>
    <col min="63" max="63" width="3.77734375" style="37" customWidth="1"/>
    <col min="64" max="64" width="7.77734375" style="37" customWidth="1"/>
    <col min="65" max="16384" width="9.77734375" style="37" customWidth="1"/>
  </cols>
  <sheetData>
    <row r="1" spans="1:16" ht="15">
      <c r="A1" s="36" t="s">
        <v>369</v>
      </c>
      <c r="B1" s="36"/>
      <c r="C1" s="36"/>
      <c r="D1" s="36"/>
      <c r="E1" s="36"/>
      <c r="F1" s="36"/>
      <c r="G1" s="36"/>
      <c r="H1" s="36"/>
      <c r="I1" s="36"/>
      <c r="J1" s="36"/>
      <c r="K1" s="36"/>
      <c r="L1" s="36"/>
      <c r="M1" s="36"/>
      <c r="N1" s="36"/>
      <c r="O1" s="36"/>
      <c r="P1" s="36"/>
    </row>
    <row r="2" spans="1:16" ht="15">
      <c r="A2" s="36"/>
      <c r="B2" s="36"/>
      <c r="C2" s="36"/>
      <c r="D2" s="36"/>
      <c r="E2" s="36"/>
      <c r="F2" s="36"/>
      <c r="G2" s="36"/>
      <c r="H2" s="36"/>
      <c r="I2" s="36"/>
      <c r="J2" s="36"/>
      <c r="K2" s="36"/>
      <c r="L2" s="36"/>
      <c r="M2" s="36"/>
      <c r="N2" s="36"/>
      <c r="O2" s="36"/>
      <c r="P2" s="36"/>
    </row>
    <row r="3" spans="1:16" ht="15">
      <c r="A3" s="36"/>
      <c r="B3" s="36"/>
      <c r="C3" s="36"/>
      <c r="D3" s="36"/>
      <c r="E3" s="36"/>
      <c r="F3" s="36"/>
      <c r="G3" s="36"/>
      <c r="H3" s="36"/>
      <c r="I3" s="36"/>
      <c r="J3" s="36"/>
      <c r="K3" s="36"/>
      <c r="L3" s="36"/>
      <c r="M3" s="36"/>
      <c r="N3" s="36"/>
      <c r="O3" s="36"/>
      <c r="P3" s="36"/>
    </row>
    <row r="4" spans="1:16" ht="15">
      <c r="A4" s="1" t="s">
        <v>82</v>
      </c>
      <c r="B4" s="36"/>
      <c r="C4" s="36"/>
      <c r="D4" s="36"/>
      <c r="E4" s="36"/>
      <c r="F4" s="36"/>
      <c r="G4" s="36"/>
      <c r="H4" s="36"/>
      <c r="I4" s="36"/>
      <c r="J4" s="36"/>
      <c r="K4" s="36"/>
      <c r="L4" s="36"/>
      <c r="M4" s="36"/>
      <c r="N4" s="36"/>
      <c r="O4" s="36"/>
      <c r="P4" s="36"/>
    </row>
    <row r="6" spans="1:18" ht="15">
      <c r="A6" s="2"/>
      <c r="B6" s="2"/>
      <c r="C6" s="2"/>
      <c r="D6" s="2"/>
      <c r="E6" s="2"/>
      <c r="F6" s="2"/>
      <c r="G6" s="2"/>
      <c r="H6" s="2"/>
      <c r="I6" s="2"/>
      <c r="J6" s="2"/>
      <c r="K6" s="2"/>
      <c r="L6" s="2"/>
      <c r="M6" s="2"/>
      <c r="N6" s="2"/>
      <c r="O6" s="2"/>
      <c r="P6" s="2"/>
      <c r="Q6" s="2"/>
      <c r="R6" s="2"/>
    </row>
    <row r="7" spans="1:18" ht="15">
      <c r="A7" s="2" t="s">
        <v>18</v>
      </c>
      <c r="B7" s="2"/>
      <c r="C7" s="2"/>
      <c r="D7" s="2"/>
      <c r="E7" s="2"/>
      <c r="F7" s="2"/>
      <c r="G7" s="2"/>
      <c r="H7" s="2"/>
      <c r="I7" s="2"/>
      <c r="J7" s="2"/>
      <c r="K7" s="2"/>
      <c r="L7" s="2"/>
      <c r="M7" s="2"/>
      <c r="N7" s="2"/>
      <c r="O7" s="2"/>
      <c r="P7" s="2"/>
      <c r="Q7" s="2"/>
      <c r="R7" s="2"/>
    </row>
    <row r="8" spans="1:18" ht="15">
      <c r="A8" s="2" t="s">
        <v>17</v>
      </c>
      <c r="B8" s="2"/>
      <c r="C8" s="2"/>
      <c r="D8" s="2"/>
      <c r="E8" s="2"/>
      <c r="F8" s="2"/>
      <c r="G8" s="2"/>
      <c r="H8" s="2"/>
      <c r="I8" s="2"/>
      <c r="J8" s="2"/>
      <c r="K8" s="2"/>
      <c r="L8" s="2"/>
      <c r="M8" s="2"/>
      <c r="N8" s="2"/>
      <c r="O8" s="2"/>
      <c r="P8" s="2"/>
      <c r="Q8" s="2"/>
      <c r="R8" s="2"/>
    </row>
    <row r="9" spans="1:18" ht="15">
      <c r="A9" s="2"/>
      <c r="B9" s="2"/>
      <c r="C9" s="2"/>
      <c r="D9" s="2"/>
      <c r="E9" s="2"/>
      <c r="F9" s="2"/>
      <c r="G9" s="2"/>
      <c r="H9" s="2"/>
      <c r="I9" s="2"/>
      <c r="J9" s="2"/>
      <c r="K9" s="2"/>
      <c r="L9" s="2"/>
      <c r="M9" s="2"/>
      <c r="N9" s="2"/>
      <c r="O9" s="2"/>
      <c r="P9" s="2"/>
      <c r="Q9" s="2"/>
      <c r="R9" s="2"/>
    </row>
    <row r="10" spans="1:18" ht="29.25" customHeight="1">
      <c r="A10" s="490" t="s">
        <v>98</v>
      </c>
      <c r="B10" s="490"/>
      <c r="C10" s="490"/>
      <c r="D10" s="490"/>
      <c r="E10" s="490"/>
      <c r="F10" s="490"/>
      <c r="G10" s="490"/>
      <c r="H10" s="490"/>
      <c r="I10" s="490"/>
      <c r="J10" s="490"/>
      <c r="K10" s="490"/>
      <c r="L10" s="490"/>
      <c r="M10" s="490"/>
      <c r="N10" s="490"/>
      <c r="O10" s="490"/>
      <c r="P10" s="490"/>
      <c r="Q10" s="2"/>
      <c r="R10" s="2"/>
    </row>
    <row r="11" spans="1:18" ht="15">
      <c r="A11" s="2"/>
      <c r="B11" s="2"/>
      <c r="C11" s="2"/>
      <c r="D11" s="2"/>
      <c r="E11" s="2"/>
      <c r="F11" s="2"/>
      <c r="G11" s="2"/>
      <c r="H11" s="2"/>
      <c r="I11" s="2"/>
      <c r="J11" s="2"/>
      <c r="K11" s="2"/>
      <c r="L11" s="2"/>
      <c r="M11" s="2"/>
      <c r="N11" s="2"/>
      <c r="O11" s="2"/>
      <c r="P11" s="2"/>
      <c r="Q11" s="2"/>
      <c r="R11" s="2"/>
    </row>
    <row r="12" spans="1:18" ht="15">
      <c r="A12" s="2"/>
      <c r="B12" s="2"/>
      <c r="C12" s="2"/>
      <c r="D12" s="1" t="s">
        <v>52</v>
      </c>
      <c r="E12" s="1"/>
      <c r="F12" s="1"/>
      <c r="G12" s="2"/>
      <c r="H12" s="1" t="s">
        <v>70</v>
      </c>
      <c r="I12" s="1"/>
      <c r="J12" s="1"/>
      <c r="K12" s="2"/>
      <c r="L12" s="2"/>
      <c r="M12" s="2"/>
      <c r="N12" s="2"/>
      <c r="O12" s="2"/>
      <c r="P12" s="2"/>
      <c r="Q12" s="2"/>
      <c r="R12" s="2"/>
    </row>
    <row r="13" spans="1:18" ht="15">
      <c r="A13" s="2"/>
      <c r="B13" s="2"/>
      <c r="C13" s="2"/>
      <c r="D13" s="1" t="s">
        <v>71</v>
      </c>
      <c r="E13" s="1"/>
      <c r="F13" s="1"/>
      <c r="G13" s="2"/>
      <c r="H13" s="1" t="s">
        <v>72</v>
      </c>
      <c r="I13" s="1"/>
      <c r="J13" s="1"/>
      <c r="K13" s="2"/>
      <c r="L13" s="1" t="s">
        <v>99</v>
      </c>
      <c r="M13" s="1"/>
      <c r="N13" s="1"/>
      <c r="O13" s="2"/>
      <c r="P13" s="2"/>
      <c r="Q13" s="2"/>
      <c r="R13" s="2"/>
    </row>
    <row r="14" spans="1:17" ht="15">
      <c r="A14" s="1" t="s">
        <v>100</v>
      </c>
      <c r="B14" s="1"/>
      <c r="C14" s="2"/>
      <c r="D14" s="10" t="s">
        <v>55</v>
      </c>
      <c r="E14" s="10"/>
      <c r="F14" s="10" t="s">
        <v>73</v>
      </c>
      <c r="G14" s="11"/>
      <c r="H14" s="10" t="s">
        <v>55</v>
      </c>
      <c r="I14" s="10"/>
      <c r="J14" s="10" t="s">
        <v>73</v>
      </c>
      <c r="K14" s="11"/>
      <c r="L14" s="10" t="s">
        <v>55</v>
      </c>
      <c r="M14" s="10"/>
      <c r="N14" s="10" t="s">
        <v>73</v>
      </c>
      <c r="O14" s="11"/>
      <c r="P14" s="11" t="s">
        <v>55</v>
      </c>
      <c r="Q14" s="11"/>
    </row>
    <row r="15" spans="1:17" ht="15">
      <c r="A15" s="1" t="s">
        <v>56</v>
      </c>
      <c r="B15" s="1"/>
      <c r="C15" s="2"/>
      <c r="D15" s="11" t="s">
        <v>57</v>
      </c>
      <c r="E15" s="11"/>
      <c r="F15" s="11" t="s">
        <v>57</v>
      </c>
      <c r="G15" s="11"/>
      <c r="H15" s="11" t="s">
        <v>57</v>
      </c>
      <c r="I15" s="11"/>
      <c r="J15" s="11" t="s">
        <v>57</v>
      </c>
      <c r="K15" s="11"/>
      <c r="L15" s="11" t="s">
        <v>57</v>
      </c>
      <c r="M15" s="11"/>
      <c r="N15" s="11" t="s">
        <v>57</v>
      </c>
      <c r="O15" s="11"/>
      <c r="P15" s="11" t="s">
        <v>57</v>
      </c>
      <c r="Q15" s="11"/>
    </row>
    <row r="16" spans="1:17" ht="15">
      <c r="A16" s="3" t="s">
        <v>58</v>
      </c>
      <c r="B16" s="3"/>
      <c r="C16" s="2"/>
      <c r="D16" s="10" t="s">
        <v>75</v>
      </c>
      <c r="E16" s="2"/>
      <c r="F16" s="12" t="s">
        <v>101</v>
      </c>
      <c r="G16" s="2"/>
      <c r="H16" s="10" t="s">
        <v>77</v>
      </c>
      <c r="I16" s="2"/>
      <c r="J16" s="12" t="s">
        <v>102</v>
      </c>
      <c r="K16" s="2"/>
      <c r="L16" s="10" t="s">
        <v>103</v>
      </c>
      <c r="M16" s="2"/>
      <c r="N16" s="12" t="s">
        <v>104</v>
      </c>
      <c r="O16" s="2"/>
      <c r="P16" s="10" t="s">
        <v>105</v>
      </c>
      <c r="Q16" s="2"/>
    </row>
    <row r="17" spans="4:16" ht="15">
      <c r="D17" s="38"/>
      <c r="E17" s="38"/>
      <c r="F17" s="38">
        <f>'F 3B 4B'!$I$15</f>
        <v>0.5364</v>
      </c>
      <c r="G17" s="38"/>
      <c r="H17" s="38"/>
      <c r="I17" s="38"/>
      <c r="J17" s="38">
        <f>'F 3B 4B'!$I$17</f>
        <v>0.3217</v>
      </c>
      <c r="K17" s="38"/>
      <c r="L17" s="38"/>
      <c r="M17" s="38"/>
      <c r="N17" s="38">
        <f>'F 3B 4B'!$I$21</f>
        <v>0.1419</v>
      </c>
      <c r="O17" s="38"/>
      <c r="P17" s="38"/>
    </row>
    <row r="18" spans="4:16" ht="15">
      <c r="D18" s="38"/>
      <c r="E18" s="38"/>
      <c r="F18" s="38"/>
      <c r="G18" s="38"/>
      <c r="H18" s="38"/>
      <c r="I18" s="38"/>
      <c r="J18" s="38"/>
      <c r="K18" s="38"/>
      <c r="L18" s="38"/>
      <c r="M18" s="38"/>
      <c r="N18" s="38"/>
      <c r="O18" s="38"/>
      <c r="P18" s="38"/>
    </row>
    <row r="19" spans="1:16" ht="15">
      <c r="A19" s="2" t="s">
        <v>61</v>
      </c>
      <c r="D19" s="38">
        <f>'F 1-2'!$K$16</f>
        <v>0.5229</v>
      </c>
      <c r="E19" s="38"/>
      <c r="F19" s="38">
        <f aca="true" t="shared" si="0" ref="F19:F24">ROUND($F$17*D19,4)</f>
        <v>0.2805</v>
      </c>
      <c r="G19" s="38"/>
      <c r="H19" s="38">
        <f>'F 2 B'!$J$17</f>
        <v>0.5858</v>
      </c>
      <c r="I19" s="38"/>
      <c r="J19" s="38">
        <f>ROUND($J$17*H19,4)-0.0001</f>
        <v>0.1884</v>
      </c>
      <c r="K19" s="38"/>
      <c r="L19" s="38"/>
      <c r="M19" s="38"/>
      <c r="N19" s="38"/>
      <c r="O19" s="38"/>
      <c r="P19" s="38">
        <f aca="true" t="shared" si="1" ref="P19:P24">N19+J19+F19</f>
        <v>0.46890000000000004</v>
      </c>
    </row>
    <row r="20" spans="1:16" ht="15">
      <c r="A20" s="2" t="s">
        <v>62</v>
      </c>
      <c r="D20" s="38">
        <f>'F 1-2'!$K$17</f>
        <v>0.2606</v>
      </c>
      <c r="E20" s="38"/>
      <c r="F20" s="38">
        <f t="shared" si="0"/>
        <v>0.1398</v>
      </c>
      <c r="G20" s="38"/>
      <c r="H20" s="38">
        <f>'F 2 B'!$J$18</f>
        <v>0.2373</v>
      </c>
      <c r="I20" s="38"/>
      <c r="J20" s="38">
        <f>ROUND($J$17*H20,4)</f>
        <v>0.0763</v>
      </c>
      <c r="K20" s="38"/>
      <c r="L20" s="38"/>
      <c r="M20" s="38"/>
      <c r="N20" s="38"/>
      <c r="O20" s="38"/>
      <c r="P20" s="38">
        <f t="shared" si="1"/>
        <v>0.21610000000000001</v>
      </c>
    </row>
    <row r="21" spans="1:16" ht="15">
      <c r="A21" s="2" t="s">
        <v>63</v>
      </c>
      <c r="D21" s="38">
        <f>'F 1-2'!$K$18</f>
        <v>0.1031</v>
      </c>
      <c r="E21" s="38"/>
      <c r="F21" s="38">
        <f t="shared" si="0"/>
        <v>0.0553</v>
      </c>
      <c r="G21" s="38"/>
      <c r="H21" s="38">
        <f>'F 2 B'!$J$19</f>
        <v>0.0866</v>
      </c>
      <c r="I21" s="38"/>
      <c r="J21" s="38">
        <f>ROUND($J$17*H21,4)</f>
        <v>0.0279</v>
      </c>
      <c r="K21" s="38"/>
      <c r="L21" s="38"/>
      <c r="M21" s="38"/>
      <c r="N21" s="38"/>
      <c r="O21" s="38"/>
      <c r="P21" s="38">
        <f t="shared" si="1"/>
        <v>0.0832</v>
      </c>
    </row>
    <row r="22" spans="1:16" ht="15">
      <c r="A22" s="2" t="s">
        <v>64</v>
      </c>
      <c r="D22" s="38">
        <f>'F 1-2'!$K$19</f>
        <v>0.0584</v>
      </c>
      <c r="E22" s="38"/>
      <c r="F22" s="333">
        <f t="shared" si="0"/>
        <v>0.0313</v>
      </c>
      <c r="G22" s="38"/>
      <c r="H22" s="38">
        <f>'F 2 B'!$J$20</f>
        <v>0.0491</v>
      </c>
      <c r="I22" s="38"/>
      <c r="J22" s="38">
        <f>ROUND($J$17*H22,4)</f>
        <v>0.0158</v>
      </c>
      <c r="K22" s="38"/>
      <c r="L22" s="38"/>
      <c r="M22" s="38"/>
      <c r="N22" s="38"/>
      <c r="O22" s="38"/>
      <c r="P22" s="38">
        <f t="shared" si="1"/>
        <v>0.0471</v>
      </c>
    </row>
    <row r="23" spans="1:16" ht="15">
      <c r="A23" s="2" t="s">
        <v>181</v>
      </c>
      <c r="D23" s="38">
        <f>'F 1-2'!$K$20</f>
        <v>0.049</v>
      </c>
      <c r="E23" s="38"/>
      <c r="F23" s="38">
        <f t="shared" si="0"/>
        <v>0.0263</v>
      </c>
      <c r="G23" s="38"/>
      <c r="H23" s="38">
        <f>'F 2 B'!$J$21</f>
        <v>0.0412</v>
      </c>
      <c r="I23" s="38"/>
      <c r="J23" s="38">
        <f>ROUND($J$17*H23,4)</f>
        <v>0.0133</v>
      </c>
      <c r="K23" s="38"/>
      <c r="L23" s="38"/>
      <c r="M23" s="38"/>
      <c r="N23" s="38"/>
      <c r="O23" s="38"/>
      <c r="P23" s="38">
        <f t="shared" si="1"/>
        <v>0.039599999999999996</v>
      </c>
    </row>
    <row r="24" spans="1:16" ht="15">
      <c r="A24" s="2" t="s">
        <v>99</v>
      </c>
      <c r="D24" s="38">
        <f>'F 1-2'!$K$22</f>
        <v>0.006</v>
      </c>
      <c r="E24" s="38"/>
      <c r="F24" s="38">
        <f t="shared" si="0"/>
        <v>0.0032</v>
      </c>
      <c r="G24" s="38"/>
      <c r="H24" s="38"/>
      <c r="I24" s="38"/>
      <c r="J24" s="38"/>
      <c r="K24" s="38"/>
      <c r="L24" s="38">
        <v>1</v>
      </c>
      <c r="M24" s="38"/>
      <c r="N24" s="38">
        <f>ROUND($N$17*L24,4)</f>
        <v>0.1419</v>
      </c>
      <c r="O24" s="38"/>
      <c r="P24" s="38">
        <f t="shared" si="1"/>
        <v>0.1451</v>
      </c>
    </row>
    <row r="25" spans="1:16" ht="15">
      <c r="A25" s="2"/>
      <c r="D25" s="39"/>
      <c r="E25" s="38"/>
      <c r="F25" s="39"/>
      <c r="G25" s="38"/>
      <c r="H25" s="39"/>
      <c r="I25" s="38"/>
      <c r="J25" s="39"/>
      <c r="K25" s="38"/>
      <c r="L25" s="39"/>
      <c r="M25" s="38"/>
      <c r="N25" s="39"/>
      <c r="O25" s="38"/>
      <c r="P25" s="39"/>
    </row>
    <row r="26" spans="1:16" ht="15.75" thickBot="1">
      <c r="A26" s="2" t="s">
        <v>66</v>
      </c>
      <c r="D26" s="38">
        <f>SUM(D19:D24)</f>
        <v>1</v>
      </c>
      <c r="E26" s="38"/>
      <c r="F26" s="38">
        <f>SUM(F19:F24)</f>
        <v>0.5364</v>
      </c>
      <c r="G26" s="38"/>
      <c r="H26" s="38">
        <f>SUM(H19:H24)</f>
        <v>1</v>
      </c>
      <c r="I26" s="38"/>
      <c r="J26" s="38">
        <f>SUM(J19:J24)</f>
        <v>0.3217</v>
      </c>
      <c r="K26" s="38"/>
      <c r="L26" s="38">
        <f>SUM(L19:L24)</f>
        <v>1</v>
      </c>
      <c r="M26" s="38"/>
      <c r="N26" s="38">
        <f>SUM(N19:N24)</f>
        <v>0.1419</v>
      </c>
      <c r="O26" s="38"/>
      <c r="P26" s="38">
        <f>SUM(P19:P24)</f>
        <v>1</v>
      </c>
    </row>
    <row r="27" spans="4:16" ht="15.75" thickTop="1">
      <c r="D27" s="40"/>
      <c r="E27" s="38"/>
      <c r="F27" s="40"/>
      <c r="G27" s="38"/>
      <c r="H27" s="40"/>
      <c r="I27" s="38"/>
      <c r="J27" s="40"/>
      <c r="K27" s="38"/>
      <c r="L27" s="40"/>
      <c r="M27" s="38"/>
      <c r="N27" s="40"/>
      <c r="O27" s="38"/>
      <c r="P27" s="40"/>
    </row>
    <row r="30" spans="1:67" ht="15">
      <c r="A30" s="36" t="s">
        <v>369</v>
      </c>
      <c r="B30" s="1"/>
      <c r="C30" s="1"/>
      <c r="D30" s="1"/>
      <c r="E30" s="1"/>
      <c r="F30" s="1"/>
      <c r="G30" s="36"/>
      <c r="H30" s="1"/>
      <c r="I30" s="1"/>
      <c r="J30" s="1"/>
      <c r="K30" s="1"/>
      <c r="L30" s="1"/>
      <c r="M30" s="1"/>
      <c r="N30" s="1"/>
      <c r="O30" s="1"/>
      <c r="P30" s="1"/>
      <c r="Q30" s="1"/>
      <c r="R30" s="1"/>
      <c r="S30" s="2"/>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4"/>
      <c r="BH30" s="334"/>
      <c r="BI30" s="334"/>
      <c r="BJ30" s="334"/>
      <c r="BK30" s="334"/>
      <c r="BL30" s="334"/>
      <c r="BM30" s="334"/>
      <c r="BN30" s="334"/>
      <c r="BO30" s="334"/>
    </row>
    <row r="31" spans="1:19" ht="15">
      <c r="A31" s="36"/>
      <c r="B31" s="1"/>
      <c r="C31" s="1"/>
      <c r="D31" s="1"/>
      <c r="E31" s="1"/>
      <c r="F31" s="1"/>
      <c r="G31" s="36"/>
      <c r="H31" s="1"/>
      <c r="I31" s="1"/>
      <c r="J31" s="1"/>
      <c r="K31" s="1"/>
      <c r="L31" s="1"/>
      <c r="M31" s="1"/>
      <c r="N31" s="1"/>
      <c r="O31" s="1"/>
      <c r="P31" s="1"/>
      <c r="Q31" s="1"/>
      <c r="R31" s="1"/>
      <c r="S31" s="2"/>
    </row>
    <row r="32" spans="1:19" ht="15">
      <c r="A32" s="1"/>
      <c r="B32" s="1"/>
      <c r="C32" s="1"/>
      <c r="D32" s="1"/>
      <c r="E32" s="1"/>
      <c r="F32" s="1"/>
      <c r="G32" s="1"/>
      <c r="H32" s="1"/>
      <c r="I32" s="1"/>
      <c r="J32" s="1"/>
      <c r="K32" s="1"/>
      <c r="L32" s="1"/>
      <c r="M32" s="1"/>
      <c r="N32" s="1"/>
      <c r="O32" s="1"/>
      <c r="P32" s="1"/>
      <c r="Q32" s="1"/>
      <c r="R32" s="1"/>
      <c r="S32" s="2"/>
    </row>
    <row r="33" spans="1:19" ht="15">
      <c r="A33" s="1" t="s">
        <v>82</v>
      </c>
      <c r="B33" s="1"/>
      <c r="C33" s="1"/>
      <c r="D33" s="36"/>
      <c r="E33" s="1"/>
      <c r="F33" s="1"/>
      <c r="G33" s="1"/>
      <c r="H33" s="1"/>
      <c r="I33" s="1"/>
      <c r="J33" s="1"/>
      <c r="K33" s="1"/>
      <c r="L33" s="1"/>
      <c r="M33" s="1"/>
      <c r="N33" s="1"/>
      <c r="O33" s="1"/>
      <c r="P33" s="1"/>
      <c r="Q33" s="1"/>
      <c r="R33" s="1"/>
      <c r="S33" s="2"/>
    </row>
    <row r="34" spans="1:19" ht="15">
      <c r="A34" s="2"/>
      <c r="B34" s="2"/>
      <c r="C34" s="2"/>
      <c r="D34" s="2"/>
      <c r="E34" s="2"/>
      <c r="F34" s="2"/>
      <c r="G34" s="2"/>
      <c r="H34" s="2"/>
      <c r="I34" s="2"/>
      <c r="J34" s="2"/>
      <c r="K34" s="2"/>
      <c r="L34" s="2"/>
      <c r="M34" s="2"/>
      <c r="N34" s="2"/>
      <c r="O34" s="2"/>
      <c r="P34" s="2"/>
      <c r="Q34" s="2"/>
      <c r="R34" s="2"/>
      <c r="S34" s="2"/>
    </row>
    <row r="35" spans="1:19" ht="15">
      <c r="A35" s="2"/>
      <c r="B35" s="2"/>
      <c r="C35" s="2"/>
      <c r="D35" s="2"/>
      <c r="E35" s="2"/>
      <c r="F35" s="2"/>
      <c r="G35" s="2"/>
      <c r="H35" s="2"/>
      <c r="I35" s="2"/>
      <c r="J35" s="2"/>
      <c r="K35" s="2"/>
      <c r="L35" s="2"/>
      <c r="M35" s="2"/>
      <c r="N35" s="2"/>
      <c r="O35" s="2"/>
      <c r="P35" s="2"/>
      <c r="Q35" s="2"/>
      <c r="R35" s="2"/>
      <c r="S35" s="2"/>
    </row>
    <row r="36" spans="1:19" ht="15">
      <c r="A36" s="2" t="s">
        <v>454</v>
      </c>
      <c r="B36" s="2"/>
      <c r="C36" s="2"/>
      <c r="D36" s="2"/>
      <c r="E36" s="2"/>
      <c r="F36" s="2"/>
      <c r="G36" s="2"/>
      <c r="H36" s="2"/>
      <c r="I36" s="2"/>
      <c r="J36" s="2"/>
      <c r="K36" s="2"/>
      <c r="L36" s="2"/>
      <c r="M36" s="2"/>
      <c r="N36" s="2"/>
      <c r="O36" s="2"/>
      <c r="P36" s="2"/>
      <c r="Q36" s="2"/>
      <c r="R36" s="2"/>
      <c r="S36" s="2"/>
    </row>
    <row r="37" spans="1:36" ht="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19" ht="15">
      <c r="A38" s="2"/>
      <c r="B38" s="2"/>
      <c r="C38" s="2"/>
      <c r="D38" s="2"/>
      <c r="E38" s="2"/>
      <c r="F38" s="2"/>
      <c r="G38" s="2"/>
      <c r="H38" s="2"/>
      <c r="I38" s="2"/>
      <c r="J38" s="2"/>
      <c r="K38" s="2"/>
      <c r="L38" s="2"/>
      <c r="M38" s="2"/>
      <c r="N38" s="2"/>
      <c r="O38" s="2"/>
      <c r="P38" s="2"/>
      <c r="Q38" s="2"/>
      <c r="R38" s="2"/>
      <c r="S38" s="2"/>
    </row>
    <row r="39" spans="1:19" ht="27.75" customHeight="1">
      <c r="A39" s="490" t="s">
        <v>98</v>
      </c>
      <c r="B39" s="490"/>
      <c r="C39" s="490"/>
      <c r="D39" s="490"/>
      <c r="E39" s="490"/>
      <c r="F39" s="490"/>
      <c r="G39" s="490"/>
      <c r="H39" s="490"/>
      <c r="I39" s="490"/>
      <c r="J39" s="490"/>
      <c r="K39" s="490"/>
      <c r="L39" s="490"/>
      <c r="M39" s="490"/>
      <c r="N39" s="490"/>
      <c r="O39" s="490"/>
      <c r="P39" s="490"/>
      <c r="Q39" s="490"/>
      <c r="R39" s="490"/>
      <c r="S39" s="2"/>
    </row>
    <row r="40" spans="1:19" ht="15">
      <c r="A40" s="2"/>
      <c r="B40" s="2"/>
      <c r="C40" s="2"/>
      <c r="D40" s="2"/>
      <c r="E40" s="2"/>
      <c r="F40" s="2"/>
      <c r="G40" s="2"/>
      <c r="H40" s="2"/>
      <c r="I40" s="2"/>
      <c r="J40" s="2"/>
      <c r="K40" s="2"/>
      <c r="L40" s="2"/>
      <c r="M40" s="2"/>
      <c r="N40" s="2"/>
      <c r="O40" s="2"/>
      <c r="P40" s="2"/>
      <c r="Q40" s="2"/>
      <c r="R40" s="2"/>
      <c r="S40" s="2"/>
    </row>
    <row r="41" spans="1:19" ht="15">
      <c r="A41" s="2"/>
      <c r="B41" s="2"/>
      <c r="C41" s="2"/>
      <c r="D41" s="2"/>
      <c r="E41" s="2"/>
      <c r="F41" s="2"/>
      <c r="G41" s="2"/>
      <c r="H41" s="2"/>
      <c r="I41" s="2"/>
      <c r="J41" s="1" t="s">
        <v>106</v>
      </c>
      <c r="K41" s="1"/>
      <c r="L41" s="1"/>
      <c r="M41" s="2"/>
      <c r="N41" s="2"/>
      <c r="O41" s="2"/>
      <c r="P41" s="2"/>
      <c r="Q41" s="2"/>
      <c r="R41" s="2"/>
      <c r="S41" s="2"/>
    </row>
    <row r="42" spans="1:19" ht="15">
      <c r="A42" s="2"/>
      <c r="B42" s="2"/>
      <c r="C42" s="2"/>
      <c r="D42" s="1" t="s">
        <v>107</v>
      </c>
      <c r="E42" s="1"/>
      <c r="F42" s="1"/>
      <c r="G42" s="1"/>
      <c r="H42" s="1"/>
      <c r="I42" s="2"/>
      <c r="J42" s="1" t="s">
        <v>72</v>
      </c>
      <c r="K42" s="1"/>
      <c r="L42" s="1"/>
      <c r="M42" s="2"/>
      <c r="N42" s="1" t="s">
        <v>99</v>
      </c>
      <c r="O42" s="1"/>
      <c r="P42" s="1"/>
      <c r="Q42" s="2"/>
      <c r="R42" s="2"/>
      <c r="S42" s="2"/>
    </row>
    <row r="43" spans="1:19" ht="15">
      <c r="A43" s="1" t="s">
        <v>100</v>
      </c>
      <c r="B43" s="1"/>
      <c r="C43" s="2"/>
      <c r="D43" s="10"/>
      <c r="E43" s="10"/>
      <c r="F43" s="10" t="s">
        <v>55</v>
      </c>
      <c r="G43" s="10"/>
      <c r="H43" s="10" t="s">
        <v>73</v>
      </c>
      <c r="I43" s="11"/>
      <c r="J43" s="10" t="s">
        <v>55</v>
      </c>
      <c r="K43" s="10"/>
      <c r="L43" s="10" t="s">
        <v>73</v>
      </c>
      <c r="M43" s="11"/>
      <c r="N43" s="10" t="s">
        <v>55</v>
      </c>
      <c r="O43" s="10"/>
      <c r="P43" s="10" t="s">
        <v>73</v>
      </c>
      <c r="Q43" s="11"/>
      <c r="R43" s="11" t="s">
        <v>55</v>
      </c>
      <c r="S43" s="2"/>
    </row>
    <row r="44" spans="1:19" ht="15">
      <c r="A44" s="1" t="s">
        <v>56</v>
      </c>
      <c r="B44" s="1"/>
      <c r="C44" s="2"/>
      <c r="D44" s="11" t="s">
        <v>197</v>
      </c>
      <c r="E44" s="11"/>
      <c r="F44" s="11" t="s">
        <v>57</v>
      </c>
      <c r="G44" s="11"/>
      <c r="H44" s="11" t="s">
        <v>57</v>
      </c>
      <c r="I44" s="11"/>
      <c r="J44" s="11" t="s">
        <v>57</v>
      </c>
      <c r="K44" s="11"/>
      <c r="L44" s="11" t="s">
        <v>57</v>
      </c>
      <c r="M44" s="11"/>
      <c r="N44" s="11" t="s">
        <v>57</v>
      </c>
      <c r="O44" s="11"/>
      <c r="P44" s="11" t="s">
        <v>57</v>
      </c>
      <c r="Q44" s="11"/>
      <c r="R44" s="11" t="s">
        <v>57</v>
      </c>
      <c r="S44" s="2"/>
    </row>
    <row r="45" spans="1:19" ht="15">
      <c r="A45" s="3" t="s">
        <v>58</v>
      </c>
      <c r="B45" s="3"/>
      <c r="C45" s="2"/>
      <c r="D45" s="10" t="s">
        <v>75</v>
      </c>
      <c r="E45" s="2"/>
      <c r="F45" s="10" t="s">
        <v>60</v>
      </c>
      <c r="G45" s="2"/>
      <c r="H45" s="12" t="s">
        <v>108</v>
      </c>
      <c r="I45" s="2"/>
      <c r="J45" s="10" t="s">
        <v>89</v>
      </c>
      <c r="K45" s="2"/>
      <c r="L45" s="12" t="s">
        <v>109</v>
      </c>
      <c r="M45" s="2"/>
      <c r="N45" s="10" t="s">
        <v>110</v>
      </c>
      <c r="O45" s="2"/>
      <c r="P45" s="12" t="s">
        <v>111</v>
      </c>
      <c r="Q45" s="2"/>
      <c r="R45" s="10" t="s">
        <v>112</v>
      </c>
      <c r="S45" s="2"/>
    </row>
    <row r="46" spans="1:37" ht="15">
      <c r="A46" s="2"/>
      <c r="B46" s="2"/>
      <c r="C46" s="2"/>
      <c r="D46" s="2"/>
      <c r="E46" s="2"/>
      <c r="F46" s="2"/>
      <c r="G46" s="2"/>
      <c r="H46" s="4">
        <f>'F 3B 4B'!$I$44</f>
        <v>0.3295</v>
      </c>
      <c r="I46" s="4"/>
      <c r="J46" s="4"/>
      <c r="K46" s="4"/>
      <c r="L46" s="4">
        <f>'F 3B 4B'!$I$46</f>
        <v>0.4613</v>
      </c>
      <c r="M46" s="4"/>
      <c r="N46" s="4"/>
      <c r="O46" s="4"/>
      <c r="P46" s="4">
        <f>'F 3B 4B'!$I$50</f>
        <v>0.2092</v>
      </c>
      <c r="Q46" s="2"/>
      <c r="R46" s="41"/>
      <c r="S46" s="2"/>
      <c r="X46" s="406"/>
      <c r="Y46" s="406"/>
      <c r="Z46" s="406"/>
      <c r="AA46" s="406"/>
      <c r="AB46" s="406"/>
      <c r="AC46" s="406"/>
      <c r="AD46" s="406"/>
      <c r="AE46" s="406"/>
      <c r="AF46" s="406"/>
      <c r="AG46" s="406"/>
      <c r="AH46" s="406"/>
      <c r="AI46" s="406"/>
      <c r="AJ46" s="406"/>
      <c r="AK46" s="406"/>
    </row>
    <row r="47" spans="1:37" ht="15">
      <c r="A47" s="2"/>
      <c r="B47" s="2"/>
      <c r="C47" s="2"/>
      <c r="D47" s="2"/>
      <c r="E47" s="2"/>
      <c r="F47" s="2"/>
      <c r="G47" s="2"/>
      <c r="H47" s="2"/>
      <c r="I47" s="2"/>
      <c r="J47" s="2"/>
      <c r="K47" s="2"/>
      <c r="L47" s="2"/>
      <c r="M47" s="2"/>
      <c r="N47" s="2"/>
      <c r="O47" s="2"/>
      <c r="P47" s="2"/>
      <c r="Q47" s="2"/>
      <c r="R47" s="2"/>
      <c r="S47" s="2"/>
      <c r="X47" s="406"/>
      <c r="Y47" s="406"/>
      <c r="Z47" s="406"/>
      <c r="AA47" s="406"/>
      <c r="AB47" s="406"/>
      <c r="AC47" s="406"/>
      <c r="AD47" s="406"/>
      <c r="AE47" s="406"/>
      <c r="AF47" s="406"/>
      <c r="AG47" s="406"/>
      <c r="AH47" s="406"/>
      <c r="AI47" s="406"/>
      <c r="AJ47" s="406"/>
      <c r="AK47" s="406"/>
    </row>
    <row r="48" spans="1:37" ht="15">
      <c r="A48" s="2" t="s">
        <v>61</v>
      </c>
      <c r="B48" s="2"/>
      <c r="C48" s="2"/>
      <c r="D48" s="189">
        <f>ROUND(('F 1-2'!$G$16/24),1)</f>
        <v>656.7</v>
      </c>
      <c r="E48" s="2"/>
      <c r="F48" s="4">
        <f>ROUND(+D48/$D$56,4)</f>
        <v>0.5497</v>
      </c>
      <c r="G48" s="2"/>
      <c r="H48" s="4">
        <f>ROUND(F48*$H$46,4)+0.0001</f>
        <v>0.1812</v>
      </c>
      <c r="I48" s="2"/>
      <c r="J48" s="4">
        <f>'F 3B 4B'!$K$62</f>
        <v>0.6543</v>
      </c>
      <c r="K48" s="2"/>
      <c r="L48" s="4">
        <f>ROUND(J48*$L$46,4)</f>
        <v>0.3018</v>
      </c>
      <c r="M48" s="2"/>
      <c r="N48" s="4"/>
      <c r="O48" s="2"/>
      <c r="P48" s="4"/>
      <c r="Q48" s="2"/>
      <c r="R48" s="4">
        <f aca="true" t="shared" si="2" ref="R48:R54">H48+L48+P48</f>
        <v>0.483</v>
      </c>
      <c r="S48" s="2"/>
      <c r="X48" s="406"/>
      <c r="Y48" s="406"/>
      <c r="Z48" s="406"/>
      <c r="AA48" s="406"/>
      <c r="AB48" s="406"/>
      <c r="AC48" s="406"/>
      <c r="AD48" s="406"/>
      <c r="AE48" s="406"/>
      <c r="AF48" s="406"/>
      <c r="AG48" s="359"/>
      <c r="AH48" s="406"/>
      <c r="AI48" s="406"/>
      <c r="AJ48" s="406"/>
      <c r="AK48" s="406"/>
    </row>
    <row r="49" spans="1:39" ht="15">
      <c r="A49" s="2" t="s">
        <v>194</v>
      </c>
      <c r="B49" s="2"/>
      <c r="C49" s="2"/>
      <c r="D49" s="189">
        <f>ROUND(('F 1-2'!$G$17/24),1)</f>
        <v>327.4</v>
      </c>
      <c r="E49" s="2"/>
      <c r="F49" s="4">
        <f aca="true" t="shared" si="3" ref="F49:F54">ROUND(+D49/$D$56,4)</f>
        <v>0.2741</v>
      </c>
      <c r="G49" s="2"/>
      <c r="H49" s="4">
        <f aca="true" t="shared" si="4" ref="H49:H54">ROUND(F49*$H$46,4)</f>
        <v>0.0903</v>
      </c>
      <c r="I49" s="2"/>
      <c r="J49" s="4">
        <f>'F 3B 4B'!$K$63</f>
        <v>0.2446</v>
      </c>
      <c r="K49" s="2"/>
      <c r="L49" s="4">
        <f>ROUND(J49*$L$46,4)</f>
        <v>0.1128</v>
      </c>
      <c r="M49" s="2"/>
      <c r="N49" s="2"/>
      <c r="O49" s="2"/>
      <c r="P49" s="2"/>
      <c r="Q49" s="2"/>
      <c r="R49" s="4">
        <f t="shared" si="2"/>
        <v>0.2031</v>
      </c>
      <c r="S49" s="2"/>
      <c r="U49" s="338"/>
      <c r="V49" s="338"/>
      <c r="W49" s="338"/>
      <c r="X49" s="408"/>
      <c r="Y49" s="450"/>
      <c r="Z49" s="450"/>
      <c r="AA49" s="450"/>
      <c r="AB49" s="406"/>
      <c r="AC49" s="407"/>
      <c r="AD49" s="408"/>
      <c r="AE49" s="407"/>
      <c r="AF49" s="406"/>
      <c r="AG49" s="359"/>
      <c r="AH49" s="406"/>
      <c r="AI49" s="359"/>
      <c r="AJ49" s="406"/>
      <c r="AK49" s="406"/>
      <c r="AL49" s="360"/>
      <c r="AM49" s="272"/>
    </row>
    <row r="50" spans="1:39" s="335" customFormat="1" ht="15.75">
      <c r="A50" s="2" t="s">
        <v>63</v>
      </c>
      <c r="B50" s="2"/>
      <c r="C50" s="2"/>
      <c r="D50" s="189">
        <f>ROUND(('F 1-2'!$G$18)/24,1)</f>
        <v>129.5</v>
      </c>
      <c r="E50" s="2"/>
      <c r="F50" s="4">
        <f t="shared" si="3"/>
        <v>0.1084</v>
      </c>
      <c r="G50" s="2"/>
      <c r="H50" s="4">
        <f t="shared" si="4"/>
        <v>0.0357</v>
      </c>
      <c r="I50" s="2"/>
      <c r="J50" s="4">
        <f>'F 3B 4B'!$K$64</f>
        <v>0.0645</v>
      </c>
      <c r="K50" s="2"/>
      <c r="L50" s="4">
        <f>ROUND(J50*$L$46,4)</f>
        <v>0.0298</v>
      </c>
      <c r="M50" s="2"/>
      <c r="N50" s="2"/>
      <c r="O50" s="2"/>
      <c r="P50" s="2"/>
      <c r="Q50" s="2"/>
      <c r="R50" s="4">
        <f t="shared" si="2"/>
        <v>0.0655</v>
      </c>
      <c r="S50" s="134"/>
      <c r="T50" s="344"/>
      <c r="U50" s="338"/>
      <c r="V50" s="338"/>
      <c r="W50" s="338"/>
      <c r="X50" s="408"/>
      <c r="Y50" s="408"/>
      <c r="Z50" s="408"/>
      <c r="AA50" s="408"/>
      <c r="AB50" s="409"/>
      <c r="AC50" s="407"/>
      <c r="AD50" s="408"/>
      <c r="AE50" s="407"/>
      <c r="AF50" s="409"/>
      <c r="AG50" s="359"/>
      <c r="AH50" s="406"/>
      <c r="AI50" s="359"/>
      <c r="AJ50" s="406"/>
      <c r="AK50" s="409"/>
      <c r="AL50" s="361"/>
      <c r="AM50" s="361"/>
    </row>
    <row r="51" spans="1:39" ht="15">
      <c r="A51" s="2" t="s">
        <v>64</v>
      </c>
      <c r="B51" s="2"/>
      <c r="C51" s="2"/>
      <c r="D51" s="189">
        <f>ROUND(('F 1-2'!$G$19/24),1)</f>
        <v>73.4</v>
      </c>
      <c r="E51" s="2"/>
      <c r="F51" s="4">
        <f t="shared" si="3"/>
        <v>0.0614</v>
      </c>
      <c r="G51" s="2"/>
      <c r="H51" s="4">
        <f t="shared" si="4"/>
        <v>0.0202</v>
      </c>
      <c r="I51" s="2"/>
      <c r="J51" s="4">
        <f>'F 3B 4B'!$K$65</f>
        <v>0.0366</v>
      </c>
      <c r="K51" s="2"/>
      <c r="L51" s="305">
        <f>ROUND(J51*$L$46,4)</f>
        <v>0.0169</v>
      </c>
      <c r="M51" s="2"/>
      <c r="N51" s="2"/>
      <c r="O51" s="2"/>
      <c r="P51" s="2"/>
      <c r="Q51" s="2"/>
      <c r="R51" s="4">
        <f t="shared" si="2"/>
        <v>0.037099999999999994</v>
      </c>
      <c r="S51" s="2"/>
      <c r="U51" s="338"/>
      <c r="V51" s="338"/>
      <c r="W51" s="338"/>
      <c r="X51" s="408"/>
      <c r="Y51" s="408"/>
      <c r="Z51" s="408"/>
      <c r="AA51" s="408"/>
      <c r="AB51" s="411"/>
      <c r="AC51" s="412"/>
      <c r="AD51" s="408"/>
      <c r="AE51" s="412"/>
      <c r="AF51" s="406"/>
      <c r="AG51" s="411"/>
      <c r="AH51" s="406"/>
      <c r="AI51" s="411"/>
      <c r="AJ51" s="406"/>
      <c r="AK51" s="406"/>
      <c r="AL51" s="360"/>
      <c r="AM51" s="360"/>
    </row>
    <row r="52" spans="1:39" ht="15">
      <c r="A52" s="2" t="s">
        <v>427</v>
      </c>
      <c r="B52" s="2"/>
      <c r="C52" s="2"/>
      <c r="D52" s="189">
        <f>ROUND(('F 1-2'!$G$20/24),1)*0</f>
        <v>0</v>
      </c>
      <c r="E52" s="2"/>
      <c r="F52" s="4">
        <f>ROUND(+D52/$D$56,4)</f>
        <v>0</v>
      </c>
      <c r="G52" s="2"/>
      <c r="H52" s="4">
        <f t="shared" si="4"/>
        <v>0</v>
      </c>
      <c r="I52" s="2"/>
      <c r="J52" s="4">
        <f>'F 3B 4B'!$K$66</f>
        <v>0</v>
      </c>
      <c r="K52" s="2"/>
      <c r="L52" s="4">
        <f>ROUND(J52*$L$46,4)</f>
        <v>0</v>
      </c>
      <c r="M52" s="2"/>
      <c r="N52" s="4"/>
      <c r="O52" s="2"/>
      <c r="P52" s="4"/>
      <c r="Q52" s="2"/>
      <c r="R52" s="4">
        <f t="shared" si="2"/>
        <v>0</v>
      </c>
      <c r="S52" s="2"/>
      <c r="U52" s="338"/>
      <c r="V52" s="338"/>
      <c r="W52" s="338"/>
      <c r="X52" s="408"/>
      <c r="Y52" s="410"/>
      <c r="Z52" s="408"/>
      <c r="AA52" s="408"/>
      <c r="AB52" s="411"/>
      <c r="AC52" s="412"/>
      <c r="AD52" s="408"/>
      <c r="AE52" s="412"/>
      <c r="AF52" s="406"/>
      <c r="AG52" s="411"/>
      <c r="AH52" s="406"/>
      <c r="AI52" s="411"/>
      <c r="AJ52" s="406"/>
      <c r="AK52" s="406"/>
      <c r="AL52" s="360"/>
      <c r="AM52" s="272"/>
    </row>
    <row r="53" spans="1:39" ht="15">
      <c r="A53" s="2" t="s">
        <v>65</v>
      </c>
      <c r="B53" s="2"/>
      <c r="C53" s="2"/>
      <c r="D53" s="189">
        <f>ROUND(('F 1-2'!$G$21/24),1)</f>
        <v>0</v>
      </c>
      <c r="E53" s="2"/>
      <c r="F53" s="4">
        <f t="shared" si="3"/>
        <v>0</v>
      </c>
      <c r="G53" s="2"/>
      <c r="H53" s="4">
        <f t="shared" si="4"/>
        <v>0</v>
      </c>
      <c r="I53" s="2"/>
      <c r="J53" s="4"/>
      <c r="K53" s="2"/>
      <c r="L53" s="4"/>
      <c r="M53" s="2"/>
      <c r="N53" s="4" t="e">
        <f>#REF!</f>
        <v>#REF!</v>
      </c>
      <c r="O53" s="2"/>
      <c r="P53" s="305" t="e">
        <f>ROUND(N53*$P$46,4)</f>
        <v>#REF!</v>
      </c>
      <c r="Q53" s="2"/>
      <c r="R53" s="4" t="e">
        <f t="shared" si="2"/>
        <v>#REF!</v>
      </c>
      <c r="S53" s="2"/>
      <c r="U53" s="338"/>
      <c r="V53" s="338"/>
      <c r="W53" s="338"/>
      <c r="X53" s="408"/>
      <c r="Y53" s="410"/>
      <c r="Z53" s="408"/>
      <c r="AA53" s="408"/>
      <c r="AB53" s="411"/>
      <c r="AC53" s="412"/>
      <c r="AD53" s="408"/>
      <c r="AE53" s="412"/>
      <c r="AF53" s="406"/>
      <c r="AG53" s="411"/>
      <c r="AH53" s="406"/>
      <c r="AI53" s="411"/>
      <c r="AJ53" s="406"/>
      <c r="AK53" s="406"/>
      <c r="AL53" s="360"/>
      <c r="AM53" s="272"/>
    </row>
    <row r="54" spans="1:37" ht="15">
      <c r="A54" s="2" t="s">
        <v>99</v>
      </c>
      <c r="B54" s="2"/>
      <c r="C54" s="2"/>
      <c r="D54" s="189">
        <f>ROUND(('F 1-2'!$G$22/24),1)</f>
        <v>7.6</v>
      </c>
      <c r="E54" s="2"/>
      <c r="F54" s="4">
        <f t="shared" si="3"/>
        <v>0.0064</v>
      </c>
      <c r="G54" s="2"/>
      <c r="H54" s="4">
        <f t="shared" si="4"/>
        <v>0.0021</v>
      </c>
      <c r="I54" s="2"/>
      <c r="J54" s="4"/>
      <c r="K54" s="2"/>
      <c r="L54" s="4"/>
      <c r="M54" s="2"/>
      <c r="N54" s="4">
        <v>1</v>
      </c>
      <c r="O54" s="2"/>
      <c r="P54" s="4">
        <f>ROUND(N54*$P$46,4)</f>
        <v>0.2092</v>
      </c>
      <c r="Q54" s="2"/>
      <c r="R54" s="4">
        <f t="shared" si="2"/>
        <v>0.2113</v>
      </c>
      <c r="S54" s="2"/>
      <c r="U54" s="338"/>
      <c r="V54" s="338"/>
      <c r="W54" s="338"/>
      <c r="X54" s="408"/>
      <c r="Y54" s="410"/>
      <c r="Z54" s="408"/>
      <c r="AA54" s="408"/>
      <c r="AB54" s="411"/>
      <c r="AC54" s="412"/>
      <c r="AD54" s="408"/>
      <c r="AE54" s="412"/>
      <c r="AF54" s="406"/>
      <c r="AG54" s="411"/>
      <c r="AH54" s="406"/>
      <c r="AI54" s="411"/>
      <c r="AJ54" s="406"/>
      <c r="AK54" s="406"/>
    </row>
    <row r="55" spans="1:37" ht="15">
      <c r="A55" s="2"/>
      <c r="B55" s="2"/>
      <c r="C55" s="2"/>
      <c r="D55" s="172"/>
      <c r="E55" s="2"/>
      <c r="F55" s="42"/>
      <c r="G55" s="2"/>
      <c r="H55" s="42"/>
      <c r="I55" s="2"/>
      <c r="J55" s="42"/>
      <c r="K55" s="2"/>
      <c r="L55" s="42"/>
      <c r="M55" s="2"/>
      <c r="N55" s="42"/>
      <c r="O55" s="2"/>
      <c r="P55" s="42"/>
      <c r="Q55" s="2"/>
      <c r="R55" s="42"/>
      <c r="S55" s="2"/>
      <c r="U55" s="338"/>
      <c r="V55" s="338"/>
      <c r="W55" s="338"/>
      <c r="X55" s="408"/>
      <c r="Y55" s="410"/>
      <c r="Z55" s="408"/>
      <c r="AA55" s="408"/>
      <c r="AB55" s="411"/>
      <c r="AC55" s="412"/>
      <c r="AD55" s="408"/>
      <c r="AE55" s="412"/>
      <c r="AF55" s="406"/>
      <c r="AG55" s="411"/>
      <c r="AH55" s="406"/>
      <c r="AI55" s="411"/>
      <c r="AJ55" s="406"/>
      <c r="AK55" s="175"/>
    </row>
    <row r="56" spans="1:37" ht="15.75" thickBot="1">
      <c r="A56" s="2" t="s">
        <v>66</v>
      </c>
      <c r="B56" s="2"/>
      <c r="C56" s="2"/>
      <c r="D56" s="189">
        <f>SUM(D48:D55)</f>
        <v>1194.6</v>
      </c>
      <c r="E56" s="2"/>
      <c r="F56" s="4">
        <f>SUM(F48:F55)</f>
        <v>0.9999999999999999</v>
      </c>
      <c r="G56" s="2"/>
      <c r="H56" s="4">
        <f>SUM(H48:H55)</f>
        <v>0.3295</v>
      </c>
      <c r="I56" s="2"/>
      <c r="J56" s="4">
        <f>SUM(J48:J55)</f>
        <v>1</v>
      </c>
      <c r="K56" s="2"/>
      <c r="L56" s="4">
        <f>SUM(L48:L55)</f>
        <v>0.46130000000000004</v>
      </c>
      <c r="M56" s="2"/>
      <c r="N56" s="165" t="e">
        <f>SUM(N48:N55)</f>
        <v>#REF!</v>
      </c>
      <c r="O56" s="2"/>
      <c r="P56" s="4" t="e">
        <f>SUM(P48:P55)</f>
        <v>#REF!</v>
      </c>
      <c r="Q56" s="2"/>
      <c r="R56" s="4" t="e">
        <f>SUM(R48:R55)</f>
        <v>#REF!</v>
      </c>
      <c r="S56" s="2"/>
      <c r="U56" s="338"/>
      <c r="V56" s="338"/>
      <c r="W56" s="338"/>
      <c r="X56" s="338"/>
      <c r="Y56" s="339"/>
      <c r="Z56" s="338"/>
      <c r="AA56" s="338"/>
      <c r="AB56" s="272"/>
      <c r="AC56" s="342"/>
      <c r="AE56" s="342"/>
      <c r="AG56" s="272"/>
      <c r="AI56" s="272"/>
      <c r="AK56" s="4"/>
    </row>
    <row r="57" spans="1:37" ht="15.75" thickTop="1">
      <c r="A57" s="2"/>
      <c r="B57" s="2"/>
      <c r="C57" s="2"/>
      <c r="D57" s="7"/>
      <c r="E57" s="2"/>
      <c r="F57" s="43"/>
      <c r="G57" s="2"/>
      <c r="H57" s="43"/>
      <c r="I57" s="2"/>
      <c r="J57" s="43"/>
      <c r="K57" s="2"/>
      <c r="L57" s="43"/>
      <c r="M57" s="2"/>
      <c r="N57" s="175"/>
      <c r="O57" s="2"/>
      <c r="P57" s="43"/>
      <c r="Q57" s="2"/>
      <c r="R57" s="43"/>
      <c r="S57" s="2"/>
      <c r="U57" s="338"/>
      <c r="V57" s="338"/>
      <c r="W57" s="338"/>
      <c r="X57" s="338"/>
      <c r="Y57" s="338"/>
      <c r="Z57" s="338"/>
      <c r="AA57" s="338"/>
      <c r="AB57" s="272"/>
      <c r="AC57" s="272"/>
      <c r="AG57" s="272"/>
      <c r="AK57" s="4"/>
    </row>
    <row r="58" spans="1:37" ht="15">
      <c r="A58" s="493" t="s">
        <v>309</v>
      </c>
      <c r="B58" s="493"/>
      <c r="C58" s="493"/>
      <c r="D58" s="493"/>
      <c r="E58" s="493"/>
      <c r="F58" s="493"/>
      <c r="G58" s="493"/>
      <c r="H58" s="493"/>
      <c r="I58" s="493"/>
      <c r="J58" s="493"/>
      <c r="K58" s="493"/>
      <c r="L58" s="493"/>
      <c r="M58" s="493"/>
      <c r="N58" s="493"/>
      <c r="O58" s="493"/>
      <c r="P58" s="493"/>
      <c r="Q58" s="493"/>
      <c r="R58" s="493"/>
      <c r="S58" s="2"/>
      <c r="U58" s="338"/>
      <c r="V58" s="338"/>
      <c r="W58" s="338"/>
      <c r="X58" s="338"/>
      <c r="Y58" s="339"/>
      <c r="Z58" s="338"/>
      <c r="AA58" s="339"/>
      <c r="AB58" s="272"/>
      <c r="AC58" s="272"/>
      <c r="AE58" s="342"/>
      <c r="AF58" s="272"/>
      <c r="AG58" s="272"/>
      <c r="AI58" s="272"/>
      <c r="AK58" s="4"/>
    </row>
    <row r="59" spans="21:37" ht="15">
      <c r="U59" s="338"/>
      <c r="V59" s="338"/>
      <c r="W59" s="338"/>
      <c r="X59" s="338"/>
      <c r="Y59" s="342"/>
      <c r="Z59" s="342"/>
      <c r="AA59" s="342"/>
      <c r="AB59" s="272"/>
      <c r="AC59" s="272"/>
      <c r="AD59" s="272"/>
      <c r="AE59" s="272"/>
      <c r="AF59" s="272"/>
      <c r="AG59" s="272"/>
      <c r="AH59" s="272"/>
      <c r="AI59" s="272"/>
      <c r="AK59" s="4"/>
    </row>
    <row r="60" spans="21:37" ht="15">
      <c r="U60" s="338"/>
      <c r="V60" s="338"/>
      <c r="W60" s="338"/>
      <c r="X60" s="338"/>
      <c r="Y60" s="342"/>
      <c r="Z60" s="342"/>
      <c r="AA60" s="342"/>
      <c r="AB60" s="272"/>
      <c r="AC60" s="272"/>
      <c r="AD60" s="272"/>
      <c r="AE60" s="342"/>
      <c r="AF60" s="272"/>
      <c r="AG60" s="342"/>
      <c r="AH60" s="272"/>
      <c r="AI60" s="342"/>
      <c r="AK60" s="4"/>
    </row>
    <row r="61" spans="1:37" ht="15">
      <c r="A61" s="36"/>
      <c r="B61" s="1"/>
      <c r="C61" s="1"/>
      <c r="D61" s="1"/>
      <c r="E61" s="1"/>
      <c r="F61" s="1"/>
      <c r="G61" s="36"/>
      <c r="H61" s="1"/>
      <c r="I61" s="1"/>
      <c r="J61" s="1"/>
      <c r="K61" s="1"/>
      <c r="L61" s="1"/>
      <c r="M61" s="1"/>
      <c r="N61" s="1"/>
      <c r="O61" s="1"/>
      <c r="P61" s="1"/>
      <c r="Q61" s="1"/>
      <c r="R61" s="1"/>
      <c r="Y61" s="343"/>
      <c r="AK61" s="4"/>
    </row>
    <row r="62" spans="1:18" ht="15">
      <c r="A62" s="36"/>
      <c r="B62" s="1"/>
      <c r="C62" s="1"/>
      <c r="E62" s="1"/>
      <c r="F62" s="1"/>
      <c r="G62" s="36"/>
      <c r="H62" s="1"/>
      <c r="I62" s="1"/>
      <c r="J62" s="1"/>
      <c r="K62" s="1"/>
      <c r="L62" s="1"/>
      <c r="M62" s="1"/>
      <c r="N62" s="1"/>
      <c r="O62" s="1"/>
      <c r="P62" s="1"/>
      <c r="Q62" s="1"/>
      <c r="R62" s="1"/>
    </row>
    <row r="63" spans="1:18" ht="15">
      <c r="A63" s="1"/>
      <c r="B63" s="1"/>
      <c r="C63" s="1"/>
      <c r="D63" s="370"/>
      <c r="E63" s="1"/>
      <c r="F63" s="1"/>
      <c r="G63" s="1"/>
      <c r="H63" s="1"/>
      <c r="I63" s="1"/>
      <c r="J63" s="1"/>
      <c r="K63" s="1"/>
      <c r="L63" s="1"/>
      <c r="M63" s="1"/>
      <c r="N63" s="1"/>
      <c r="O63" s="1"/>
      <c r="P63" s="1"/>
      <c r="Q63" s="1"/>
      <c r="R63" s="1"/>
    </row>
    <row r="64" spans="1:18" ht="15">
      <c r="A64" s="1"/>
      <c r="B64" s="1"/>
      <c r="C64" s="1"/>
      <c r="D64" s="131"/>
      <c r="E64" s="1"/>
      <c r="F64" s="1"/>
      <c r="G64" s="1"/>
      <c r="H64" s="1"/>
      <c r="I64" s="1"/>
      <c r="J64" s="1"/>
      <c r="K64" s="1"/>
      <c r="L64" s="1"/>
      <c r="M64" s="1"/>
      <c r="N64" s="1"/>
      <c r="O64" s="1"/>
      <c r="P64" s="1"/>
      <c r="Q64" s="1"/>
      <c r="R64" s="1"/>
    </row>
    <row r="65" spans="1:18" ht="15">
      <c r="A65" s="2"/>
      <c r="B65" s="2"/>
      <c r="C65" s="2"/>
      <c r="D65" s="2"/>
      <c r="E65" s="2"/>
      <c r="F65" s="2"/>
      <c r="G65" s="2"/>
      <c r="H65" s="2"/>
      <c r="I65" s="2"/>
      <c r="J65" s="2"/>
      <c r="K65" s="2"/>
      <c r="L65" s="2"/>
      <c r="M65" s="2"/>
      <c r="N65" s="2"/>
      <c r="O65" s="2"/>
      <c r="P65" s="2"/>
      <c r="Q65" s="2"/>
      <c r="R65" s="2"/>
    </row>
    <row r="66" spans="1:18" ht="15">
      <c r="A66" s="2"/>
      <c r="B66" s="2"/>
      <c r="C66" s="2"/>
      <c r="D66" s="2"/>
      <c r="E66" s="2"/>
      <c r="F66" s="2"/>
      <c r="G66" s="2"/>
      <c r="H66" s="2"/>
      <c r="I66" s="2"/>
      <c r="J66" s="2"/>
      <c r="K66" s="2"/>
      <c r="L66" s="2"/>
      <c r="M66" s="2"/>
      <c r="N66" s="2"/>
      <c r="O66" s="2"/>
      <c r="P66" s="2"/>
      <c r="Q66" s="2"/>
      <c r="R66" s="2"/>
    </row>
    <row r="67" spans="1:25" ht="15" customHeight="1">
      <c r="A67" s="494"/>
      <c r="B67" s="494"/>
      <c r="C67" s="494"/>
      <c r="D67" s="494"/>
      <c r="E67" s="494"/>
      <c r="F67" s="494"/>
      <c r="G67" s="494"/>
      <c r="H67" s="494"/>
      <c r="I67" s="494"/>
      <c r="J67" s="494"/>
      <c r="K67" s="494"/>
      <c r="L67" s="494"/>
      <c r="M67" s="494"/>
      <c r="N67" s="494"/>
      <c r="O67" s="494"/>
      <c r="P67" s="494"/>
      <c r="Q67" s="494"/>
      <c r="R67" s="494"/>
      <c r="Y67" s="2"/>
    </row>
    <row r="68" spans="1:18" ht="15">
      <c r="A68" s="2"/>
      <c r="B68" s="2"/>
      <c r="C68" s="2"/>
      <c r="D68" s="2"/>
      <c r="E68" s="2"/>
      <c r="F68" s="2"/>
      <c r="G68" s="2"/>
      <c r="H68" s="2"/>
      <c r="I68" s="2"/>
      <c r="J68" s="2"/>
      <c r="K68" s="2"/>
      <c r="L68" s="2"/>
      <c r="M68" s="2"/>
      <c r="N68" s="2"/>
      <c r="O68" s="2"/>
      <c r="P68" s="2"/>
      <c r="Q68" s="2"/>
      <c r="R68" s="2"/>
    </row>
    <row r="69" spans="1:18" ht="15">
      <c r="A69" s="2"/>
      <c r="B69" s="2"/>
      <c r="C69" s="2"/>
      <c r="D69" s="2"/>
      <c r="E69" s="2"/>
      <c r="F69" s="2"/>
      <c r="G69" s="2"/>
      <c r="H69" s="2"/>
      <c r="I69" s="2"/>
      <c r="J69" s="2"/>
      <c r="K69" s="2"/>
      <c r="L69" s="2"/>
      <c r="M69" s="2"/>
      <c r="N69" s="2"/>
      <c r="O69" s="2"/>
      <c r="P69" s="2"/>
      <c r="Q69" s="2"/>
      <c r="R69" s="2"/>
    </row>
    <row r="70" spans="1:18" ht="27" customHeight="1">
      <c r="A70" s="490"/>
      <c r="B70" s="490"/>
      <c r="C70" s="490"/>
      <c r="D70" s="490"/>
      <c r="E70" s="490"/>
      <c r="F70" s="490"/>
      <c r="G70" s="490"/>
      <c r="H70" s="490"/>
      <c r="I70" s="490"/>
      <c r="J70" s="490"/>
      <c r="K70" s="490"/>
      <c r="L70" s="490"/>
      <c r="M70" s="490"/>
      <c r="N70" s="490"/>
      <c r="O70" s="490"/>
      <c r="P70" s="490"/>
      <c r="Q70" s="490"/>
      <c r="R70" s="490"/>
    </row>
    <row r="71" spans="1:18" ht="15">
      <c r="A71" s="2"/>
      <c r="B71" s="2"/>
      <c r="C71" s="2"/>
      <c r="D71" s="2"/>
      <c r="E71" s="2"/>
      <c r="F71" s="2"/>
      <c r="G71" s="2"/>
      <c r="H71" s="2"/>
      <c r="I71" s="2"/>
      <c r="J71" s="2"/>
      <c r="K71" s="2"/>
      <c r="L71" s="2"/>
      <c r="M71" s="2"/>
      <c r="N71" s="2"/>
      <c r="O71" s="2"/>
      <c r="P71" s="2"/>
      <c r="Q71" s="2"/>
      <c r="R71" s="2"/>
    </row>
    <row r="72" spans="1:18" ht="15">
      <c r="A72" s="2"/>
      <c r="B72" s="2"/>
      <c r="C72" s="2"/>
      <c r="D72" s="2"/>
      <c r="E72" s="2"/>
      <c r="F72" s="2"/>
      <c r="G72" s="2"/>
      <c r="H72" s="2"/>
      <c r="I72" s="2"/>
      <c r="J72" s="1"/>
      <c r="K72" s="1"/>
      <c r="L72" s="1"/>
      <c r="M72" s="2"/>
      <c r="N72" s="2"/>
      <c r="O72" s="2"/>
      <c r="P72" s="2"/>
      <c r="Q72" s="2"/>
      <c r="R72" s="2"/>
    </row>
    <row r="73" spans="1:18" ht="15">
      <c r="A73" s="2"/>
      <c r="B73" s="2"/>
      <c r="C73" s="2"/>
      <c r="D73" s="1"/>
      <c r="E73" s="1"/>
      <c r="F73" s="1"/>
      <c r="G73" s="1"/>
      <c r="H73" s="1"/>
      <c r="I73" s="2"/>
      <c r="J73" s="1"/>
      <c r="K73" s="1"/>
      <c r="L73" s="1"/>
      <c r="M73" s="2"/>
      <c r="N73" s="1"/>
      <c r="O73" s="1"/>
      <c r="P73" s="1"/>
      <c r="Q73" s="2"/>
      <c r="R73" s="2"/>
    </row>
    <row r="74" spans="1:18" ht="15">
      <c r="A74" s="1"/>
      <c r="B74" s="1"/>
      <c r="C74" s="2"/>
      <c r="D74" s="10"/>
      <c r="E74" s="10"/>
      <c r="F74" s="10"/>
      <c r="G74" s="10"/>
      <c r="H74" s="10"/>
      <c r="I74" s="11"/>
      <c r="J74" s="10"/>
      <c r="K74" s="10"/>
      <c r="L74" s="10"/>
      <c r="M74" s="11"/>
      <c r="N74" s="10"/>
      <c r="O74" s="10"/>
      <c r="P74" s="10"/>
      <c r="Q74" s="11"/>
      <c r="R74" s="11"/>
    </row>
    <row r="75" spans="1:18" ht="15">
      <c r="A75" s="1"/>
      <c r="B75" s="1"/>
      <c r="C75" s="2"/>
      <c r="D75" s="11"/>
      <c r="E75" s="11"/>
      <c r="F75" s="11"/>
      <c r="G75" s="11"/>
      <c r="H75" s="11"/>
      <c r="I75" s="11"/>
      <c r="J75" s="11"/>
      <c r="K75" s="11"/>
      <c r="L75" s="11"/>
      <c r="M75" s="11"/>
      <c r="N75" s="11"/>
      <c r="O75" s="11"/>
      <c r="P75" s="11"/>
      <c r="Q75" s="11"/>
      <c r="R75" s="11"/>
    </row>
    <row r="76" spans="1:18" ht="15">
      <c r="A76" s="3"/>
      <c r="B76" s="3"/>
      <c r="C76" s="2"/>
      <c r="D76" s="10"/>
      <c r="E76" s="2"/>
      <c r="F76" s="10"/>
      <c r="G76" s="2"/>
      <c r="H76" s="12"/>
      <c r="I76" s="2"/>
      <c r="J76" s="10"/>
      <c r="K76" s="2"/>
      <c r="L76" s="12"/>
      <c r="M76" s="2"/>
      <c r="N76" s="10"/>
      <c r="O76" s="2"/>
      <c r="P76" s="12"/>
      <c r="Q76" s="2"/>
      <c r="R76" s="10"/>
    </row>
    <row r="77" spans="1:18" ht="15">
      <c r="A77" s="2"/>
      <c r="B77" s="2"/>
      <c r="C77" s="2"/>
      <c r="D77" s="2"/>
      <c r="E77" s="2"/>
      <c r="F77" s="2"/>
      <c r="G77" s="2"/>
      <c r="H77" s="4"/>
      <c r="I77" s="4"/>
      <c r="J77" s="4"/>
      <c r="K77" s="4"/>
      <c r="L77" s="4"/>
      <c r="M77" s="4"/>
      <c r="N77" s="4"/>
      <c r="O77" s="4"/>
      <c r="P77" s="4"/>
      <c r="Q77" s="2"/>
      <c r="R77" s="41"/>
    </row>
    <row r="78" spans="1:18" ht="15">
      <c r="A78" s="2"/>
      <c r="B78" s="2"/>
      <c r="C78" s="2"/>
      <c r="D78" s="2"/>
      <c r="E78" s="2"/>
      <c r="F78" s="2"/>
      <c r="G78" s="2"/>
      <c r="H78" s="2"/>
      <c r="I78" s="2"/>
      <c r="J78" s="2"/>
      <c r="K78" s="2"/>
      <c r="L78" s="2"/>
      <c r="M78" s="2"/>
      <c r="N78" s="2"/>
      <c r="O78" s="2"/>
      <c r="P78" s="2"/>
      <c r="Q78" s="2"/>
      <c r="R78" s="2"/>
    </row>
    <row r="79" spans="1:18" ht="15">
      <c r="A79" s="2"/>
      <c r="B79" s="2"/>
      <c r="C79" s="2"/>
      <c r="D79" s="189"/>
      <c r="E79" s="2"/>
      <c r="F79" s="4"/>
      <c r="G79" s="2"/>
      <c r="H79" s="4"/>
      <c r="I79" s="2"/>
      <c r="J79" s="4"/>
      <c r="K79" s="2"/>
      <c r="L79" s="4"/>
      <c r="M79" s="2"/>
      <c r="N79" s="4"/>
      <c r="O79" s="2"/>
      <c r="P79" s="4"/>
      <c r="Q79" s="2"/>
      <c r="R79" s="4"/>
    </row>
    <row r="80" spans="1:18" ht="15">
      <c r="A80" s="2"/>
      <c r="B80" s="2"/>
      <c r="C80" s="2"/>
      <c r="D80" s="189"/>
      <c r="E80" s="2"/>
      <c r="F80" s="4"/>
      <c r="G80" s="2"/>
      <c r="H80" s="4"/>
      <c r="I80" s="2"/>
      <c r="J80" s="4"/>
      <c r="K80" s="2"/>
      <c r="L80" s="4"/>
      <c r="M80" s="2"/>
      <c r="N80" s="2"/>
      <c r="O80" s="2"/>
      <c r="P80" s="2"/>
      <c r="Q80" s="2"/>
      <c r="R80" s="4"/>
    </row>
    <row r="81" spans="1:18" ht="15">
      <c r="A81" s="2"/>
      <c r="B81" s="2"/>
      <c r="C81" s="2"/>
      <c r="D81" s="189"/>
      <c r="E81" s="2"/>
      <c r="F81" s="4"/>
      <c r="G81" s="2"/>
      <c r="H81" s="4"/>
      <c r="I81" s="2"/>
      <c r="J81" s="4"/>
      <c r="K81" s="2"/>
      <c r="L81" s="4"/>
      <c r="M81" s="2"/>
      <c r="N81" s="2"/>
      <c r="O81" s="2"/>
      <c r="P81" s="2"/>
      <c r="Q81" s="2"/>
      <c r="R81" s="4"/>
    </row>
    <row r="82" spans="1:18" ht="15">
      <c r="A82" s="2"/>
      <c r="B82" s="2"/>
      <c r="C82" s="2"/>
      <c r="D82" s="189"/>
      <c r="E82" s="2"/>
      <c r="F82" s="4"/>
      <c r="G82" s="2"/>
      <c r="H82" s="4"/>
      <c r="I82" s="2"/>
      <c r="J82" s="4"/>
      <c r="K82" s="2"/>
      <c r="L82" s="4"/>
      <c r="M82" s="2"/>
      <c r="N82" s="4"/>
      <c r="O82" s="2"/>
      <c r="P82" s="305"/>
      <c r="Q82" s="2"/>
      <c r="R82" s="4"/>
    </row>
    <row r="83" spans="1:18" ht="15">
      <c r="A83" s="2"/>
      <c r="B83" s="2"/>
      <c r="C83" s="2"/>
      <c r="D83" s="189"/>
      <c r="E83" s="2"/>
      <c r="F83" s="4"/>
      <c r="G83" s="2"/>
      <c r="H83" s="4"/>
      <c r="I83" s="2"/>
      <c r="J83" s="4"/>
      <c r="K83" s="2"/>
      <c r="L83" s="4"/>
      <c r="M83" s="2"/>
      <c r="N83" s="4"/>
      <c r="O83" s="2"/>
      <c r="P83" s="4"/>
      <c r="Q83" s="2"/>
      <c r="R83" s="4"/>
    </row>
    <row r="84" spans="1:18" ht="15">
      <c r="A84" s="2"/>
      <c r="B84" s="2"/>
      <c r="C84" s="2"/>
      <c r="D84" s="172"/>
      <c r="E84" s="2"/>
      <c r="F84" s="42"/>
      <c r="G84" s="2"/>
      <c r="H84" s="42"/>
      <c r="I84" s="2"/>
      <c r="J84" s="42"/>
      <c r="K84" s="2"/>
      <c r="L84" s="42"/>
      <c r="M84" s="2"/>
      <c r="N84" s="42"/>
      <c r="O84" s="2"/>
      <c r="P84" s="42"/>
      <c r="Q84" s="2"/>
      <c r="R84" s="42"/>
    </row>
    <row r="85" spans="1:18" ht="15.75" thickBot="1">
      <c r="A85" s="2"/>
      <c r="B85" s="2"/>
      <c r="C85" s="2"/>
      <c r="D85" s="189"/>
      <c r="E85" s="2"/>
      <c r="F85" s="4"/>
      <c r="G85" s="2"/>
      <c r="H85" s="4"/>
      <c r="I85" s="2"/>
      <c r="J85" s="4"/>
      <c r="K85" s="2"/>
      <c r="L85" s="4"/>
      <c r="M85" s="2"/>
      <c r="N85" s="165"/>
      <c r="O85" s="2"/>
      <c r="P85" s="4"/>
      <c r="Q85" s="2"/>
      <c r="R85" s="4"/>
    </row>
    <row r="86" spans="1:18" ht="15.75" thickTop="1">
      <c r="A86" s="2"/>
      <c r="B86" s="2"/>
      <c r="C86" s="2"/>
      <c r="D86" s="7"/>
      <c r="E86" s="2"/>
      <c r="F86" s="43"/>
      <c r="G86" s="2"/>
      <c r="H86" s="43"/>
      <c r="I86" s="2"/>
      <c r="J86" s="43"/>
      <c r="K86" s="2"/>
      <c r="L86" s="43"/>
      <c r="M86" s="2"/>
      <c r="N86" s="175"/>
      <c r="O86" s="2"/>
      <c r="P86" s="43"/>
      <c r="Q86" s="2"/>
      <c r="R86" s="43"/>
    </row>
    <row r="87" spans="1:18" ht="15">
      <c r="A87" s="493"/>
      <c r="B87" s="493"/>
      <c r="C87" s="493"/>
      <c r="D87" s="493"/>
      <c r="E87" s="493"/>
      <c r="F87" s="493"/>
      <c r="G87" s="493"/>
      <c r="H87" s="493"/>
      <c r="I87" s="493"/>
      <c r="J87" s="493"/>
      <c r="K87" s="493"/>
      <c r="L87" s="493"/>
      <c r="M87" s="493"/>
      <c r="N87" s="493"/>
      <c r="O87" s="493"/>
      <c r="P87" s="493"/>
      <c r="Q87" s="493"/>
      <c r="R87" s="493"/>
    </row>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c r="AU126" s="308"/>
    </row>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74" spans="66:67" ht="15">
      <c r="BN174" s="1"/>
      <c r="BO174" s="1"/>
    </row>
    <row r="175" spans="66:67" ht="15">
      <c r="BN175" s="1"/>
      <c r="BO175" s="1"/>
    </row>
    <row r="176" ht="12.75" customHeight="1"/>
    <row r="177" spans="66:67" ht="15">
      <c r="BN177" s="11"/>
      <c r="BO177" s="11"/>
    </row>
    <row r="178" spans="66:67" ht="12.75" customHeight="1">
      <c r="BN178" s="2"/>
      <c r="BO178" s="2"/>
    </row>
    <row r="179" spans="66:67" ht="12.75" customHeight="1">
      <c r="BN179" s="9"/>
      <c r="BO179" s="9"/>
    </row>
    <row r="180" spans="66:67" ht="12.75" customHeight="1">
      <c r="BN180" s="9"/>
      <c r="BO180" s="9"/>
    </row>
    <row r="181" spans="66:67" ht="12.75" customHeight="1">
      <c r="BN181" s="9"/>
      <c r="BO181" s="9"/>
    </row>
    <row r="182" spans="66:67" ht="12.75" customHeight="1">
      <c r="BN182" s="9"/>
      <c r="BO182" s="9"/>
    </row>
    <row r="183" spans="66:67" ht="12.75" customHeight="1">
      <c r="BN183" s="2"/>
      <c r="BO183" s="2"/>
    </row>
    <row r="184" spans="66:67" ht="15">
      <c r="BN184" s="336"/>
      <c r="BO184" s="336"/>
    </row>
    <row r="186" ht="12.75" customHeight="1"/>
    <row r="188" ht="12.75" customHeight="1"/>
    <row r="189" ht="12.75" customHeight="1"/>
    <row r="190" ht="12.75" customHeight="1"/>
    <row r="191" ht="12.75" customHeight="1"/>
    <row r="201" ht="12.75" customHeight="1"/>
    <row r="203" ht="12.75" customHeight="1"/>
    <row r="207" ht="12.75" customHeight="1"/>
    <row r="209" ht="12.75" customHeight="1"/>
    <row r="210" ht="12.75" customHeight="1"/>
    <row r="211" ht="12.75" customHeight="1"/>
    <row r="212" ht="12.75" customHeight="1"/>
    <row r="213" ht="12.75" customHeight="1"/>
    <row r="214" ht="12.75" customHeight="1"/>
    <row r="215" ht="12.75" customHeight="1"/>
    <row r="217" ht="12.75" customHeight="1"/>
  </sheetData>
  <mergeCells count="6">
    <mergeCell ref="A10:P10"/>
    <mergeCell ref="A70:R70"/>
    <mergeCell ref="A87:R87"/>
    <mergeCell ref="A67:R67"/>
    <mergeCell ref="A39:R39"/>
    <mergeCell ref="A58:R58"/>
  </mergeCells>
  <printOptions horizontalCentered="1"/>
  <pageMargins left="0.5" right="0.5" top="1" bottom="0.5" header="0.5" footer="0.5"/>
  <pageSetup horizontalDpi="600" verticalDpi="600" orientation="landscape" r:id="rId1"/>
  <rowBreaks count="2" manualBreakCount="2">
    <brk id="30" max="65535" man="1"/>
    <brk id="60" max="255" man="1"/>
  </rowBreaks>
</worksheet>
</file>

<file path=xl/worksheets/sheet5.xml><?xml version="1.0" encoding="utf-8"?>
<worksheet xmlns="http://schemas.openxmlformats.org/spreadsheetml/2006/main" xmlns:r="http://schemas.openxmlformats.org/officeDocument/2006/relationships">
  <dimension ref="A1:Q73"/>
  <sheetViews>
    <sheetView workbookViewId="0" topLeftCell="A1">
      <selection activeCell="A1" sqref="A1"/>
    </sheetView>
  </sheetViews>
  <sheetFormatPr defaultColWidth="8.88671875" defaultRowHeight="12.75"/>
  <cols>
    <col min="1" max="1" width="6.77734375" style="223" customWidth="1"/>
    <col min="2" max="2" width="4.77734375" style="223" customWidth="1"/>
    <col min="3" max="3" width="6.5546875" style="223" customWidth="1"/>
    <col min="4" max="4" width="2.77734375" style="223" customWidth="1"/>
    <col min="5" max="5" width="9.77734375" style="223" customWidth="1"/>
    <col min="6" max="6" width="2.77734375" style="223" customWidth="1"/>
    <col min="7" max="7" width="10.10546875" style="223" customWidth="1"/>
    <col min="8" max="8" width="2.77734375" style="223" customWidth="1"/>
    <col min="9" max="9" width="9.77734375" style="223" customWidth="1"/>
    <col min="10" max="10" width="2.77734375" style="223" customWidth="1"/>
    <col min="11" max="13" width="9.77734375" style="223" customWidth="1"/>
    <col min="14" max="14" width="1.77734375" style="223" customWidth="1"/>
    <col min="15" max="15" width="7.77734375" style="223" customWidth="1"/>
    <col min="16" max="16" width="15.99609375" style="223" bestFit="1" customWidth="1"/>
    <col min="17" max="17" width="10.99609375" style="223" bestFit="1" customWidth="1"/>
    <col min="18" max="16384" width="9.77734375" style="223" customWidth="1"/>
  </cols>
  <sheetData>
    <row r="1" spans="1:11" ht="15">
      <c r="A1" s="36" t="s">
        <v>369</v>
      </c>
      <c r="B1" s="44"/>
      <c r="C1" s="44"/>
      <c r="D1" s="44"/>
      <c r="E1" s="44"/>
      <c r="F1" s="44"/>
      <c r="G1" s="44"/>
      <c r="H1" s="44"/>
      <c r="I1" s="44"/>
      <c r="J1" s="44"/>
      <c r="K1" s="44"/>
    </row>
    <row r="2" spans="1:11" ht="15">
      <c r="A2" s="36"/>
      <c r="B2" s="44"/>
      <c r="C2" s="44"/>
      <c r="D2" s="44"/>
      <c r="E2" s="44"/>
      <c r="F2" s="44"/>
      <c r="G2" s="44"/>
      <c r="H2" s="44"/>
      <c r="I2" s="44"/>
      <c r="J2" s="44"/>
      <c r="K2" s="44"/>
    </row>
    <row r="4" spans="1:12" ht="15">
      <c r="A4" s="45" t="s">
        <v>82</v>
      </c>
      <c r="B4" s="45"/>
      <c r="C4" s="45"/>
      <c r="D4" s="45"/>
      <c r="E4" s="45"/>
      <c r="F4" s="45"/>
      <c r="G4" s="45"/>
      <c r="H4" s="45"/>
      <c r="I4" s="45"/>
      <c r="J4" s="45"/>
      <c r="K4" s="45"/>
      <c r="L4" s="46"/>
    </row>
    <row r="5" spans="1:12" ht="15">
      <c r="A5" s="46"/>
      <c r="B5" s="46"/>
      <c r="C5" s="46"/>
      <c r="D5" s="46"/>
      <c r="E5" s="46"/>
      <c r="F5" s="46"/>
      <c r="G5" s="46"/>
      <c r="H5" s="46"/>
      <c r="I5" s="46"/>
      <c r="J5" s="46"/>
      <c r="K5" s="46"/>
      <c r="L5" s="46"/>
    </row>
    <row r="6" spans="1:12" ht="15">
      <c r="A6" s="47"/>
      <c r="B6" s="47"/>
      <c r="C6" s="47"/>
      <c r="D6" s="47"/>
      <c r="E6" s="47"/>
      <c r="F6" s="47"/>
      <c r="G6" s="47"/>
      <c r="H6" s="47"/>
      <c r="I6" s="47"/>
      <c r="J6" s="47"/>
      <c r="K6" s="47"/>
      <c r="L6" s="47"/>
    </row>
    <row r="7" spans="1:12" ht="15">
      <c r="A7" s="47" t="s">
        <v>113</v>
      </c>
      <c r="B7" s="47"/>
      <c r="C7" s="47"/>
      <c r="D7" s="47"/>
      <c r="E7" s="47"/>
      <c r="F7" s="47"/>
      <c r="G7" s="47"/>
      <c r="H7" s="47"/>
      <c r="I7" s="47"/>
      <c r="J7" s="47"/>
      <c r="K7" s="47"/>
      <c r="L7" s="47"/>
    </row>
    <row r="8" spans="1:12" ht="15">
      <c r="A8" s="47" t="s">
        <v>114</v>
      </c>
      <c r="B8" s="47"/>
      <c r="C8" s="47"/>
      <c r="D8" s="47"/>
      <c r="E8" s="47"/>
      <c r="F8" s="47"/>
      <c r="G8" s="47"/>
      <c r="H8" s="47"/>
      <c r="I8" s="47"/>
      <c r="J8" s="47"/>
      <c r="K8" s="47"/>
      <c r="L8" s="47"/>
    </row>
    <row r="9" spans="1:12" ht="15">
      <c r="A9" s="47"/>
      <c r="B9" s="47"/>
      <c r="C9" s="47"/>
      <c r="D9" s="47"/>
      <c r="E9" s="47"/>
      <c r="F9" s="47"/>
      <c r="G9" s="47"/>
      <c r="H9" s="47"/>
      <c r="I9" s="47"/>
      <c r="J9" s="47"/>
      <c r="K9" s="47"/>
      <c r="L9" s="47"/>
    </row>
    <row r="10" spans="1:12" ht="54" customHeight="1">
      <c r="A10" s="495" t="s">
        <v>414</v>
      </c>
      <c r="B10" s="495"/>
      <c r="C10" s="495"/>
      <c r="D10" s="495"/>
      <c r="E10" s="495"/>
      <c r="F10" s="495"/>
      <c r="G10" s="495"/>
      <c r="H10" s="495"/>
      <c r="I10" s="495"/>
      <c r="J10" s="495"/>
      <c r="K10" s="495"/>
      <c r="L10" s="47"/>
    </row>
    <row r="11" spans="1:12" ht="15">
      <c r="A11" s="47"/>
      <c r="B11" s="47"/>
      <c r="C11" s="47"/>
      <c r="D11" s="47"/>
      <c r="E11" s="47"/>
      <c r="F11" s="47"/>
      <c r="G11" s="47"/>
      <c r="H11" s="47"/>
      <c r="I11" s="47"/>
      <c r="J11" s="47"/>
      <c r="K11" s="47"/>
      <c r="L11" s="47"/>
    </row>
    <row r="12" spans="1:12" ht="15">
      <c r="A12" s="47"/>
      <c r="B12" s="47"/>
      <c r="C12" s="47"/>
      <c r="D12" s="47"/>
      <c r="F12" s="47"/>
      <c r="G12" s="48" t="s">
        <v>85</v>
      </c>
      <c r="H12" s="47"/>
      <c r="J12" s="47"/>
      <c r="K12" s="47"/>
      <c r="L12" s="47"/>
    </row>
    <row r="13" spans="1:12" ht="15">
      <c r="A13" s="47"/>
      <c r="B13" s="47"/>
      <c r="D13" s="47"/>
      <c r="E13" s="48" t="s">
        <v>92</v>
      </c>
      <c r="F13" s="47"/>
      <c r="G13" s="48" t="s">
        <v>115</v>
      </c>
      <c r="H13" s="47"/>
      <c r="I13" s="48" t="s">
        <v>93</v>
      </c>
      <c r="J13" s="47"/>
      <c r="L13" s="47"/>
    </row>
    <row r="14" spans="1:17" ht="15">
      <c r="A14" s="47"/>
      <c r="B14" s="47"/>
      <c r="D14" s="47"/>
      <c r="E14" s="49"/>
      <c r="F14" s="47"/>
      <c r="G14" s="49"/>
      <c r="H14" s="47"/>
      <c r="I14" s="49"/>
      <c r="J14" s="47"/>
      <c r="L14" s="47"/>
      <c r="P14" s="357"/>
      <c r="Q14" s="357"/>
    </row>
    <row r="15" spans="2:12" ht="15">
      <c r="B15" s="47" t="s">
        <v>94</v>
      </c>
      <c r="D15" s="47"/>
      <c r="E15" s="50">
        <v>1</v>
      </c>
      <c r="F15" s="47"/>
      <c r="G15" s="51">
        <v>27216000</v>
      </c>
      <c r="H15" s="47"/>
      <c r="I15" s="52">
        <f>ROUND(+G15/G$23,4)+0.0001</f>
        <v>0.5364</v>
      </c>
      <c r="J15" s="47"/>
      <c r="L15" s="47"/>
    </row>
    <row r="16" spans="2:16" ht="15">
      <c r="B16" s="47" t="s">
        <v>70</v>
      </c>
      <c r="D16" s="47"/>
      <c r="E16" s="50"/>
      <c r="F16" s="47"/>
      <c r="G16" s="51"/>
      <c r="H16" s="47"/>
      <c r="I16" s="52"/>
      <c r="J16" s="47"/>
      <c r="L16" s="47"/>
      <c r="P16" s="357"/>
    </row>
    <row r="17" spans="2:12" ht="15">
      <c r="B17" s="47" t="s">
        <v>95</v>
      </c>
      <c r="D17" s="47"/>
      <c r="E17" s="50">
        <f>+'F 2 B'!F35</f>
        <v>0.6</v>
      </c>
      <c r="F17" s="51"/>
      <c r="G17" s="51">
        <f>ROUND(+G15*E17,0)</f>
        <v>16329600</v>
      </c>
      <c r="H17" s="52"/>
      <c r="I17" s="52">
        <f>ROUND(+G17/G$23,4)-0.0001</f>
        <v>0.3217</v>
      </c>
      <c r="J17" s="47"/>
      <c r="L17" s="47"/>
    </row>
    <row r="18" spans="2:16" ht="15">
      <c r="B18" s="47"/>
      <c r="D18" s="47"/>
      <c r="E18" s="53"/>
      <c r="F18" s="51"/>
      <c r="G18" s="54"/>
      <c r="H18" s="52"/>
      <c r="I18" s="55"/>
      <c r="J18" s="47"/>
      <c r="L18" s="47"/>
      <c r="P18" s="357"/>
    </row>
    <row r="19" spans="2:12" ht="15.75" thickBot="1">
      <c r="B19" s="47" t="s">
        <v>117</v>
      </c>
      <c r="D19" s="47"/>
      <c r="E19" s="199">
        <f>SUM(E15:E18)</f>
        <v>1.6</v>
      </c>
      <c r="F19" s="51"/>
      <c r="G19" s="51">
        <f>SUM(G15:G18)</f>
        <v>43545600</v>
      </c>
      <c r="H19" s="52"/>
      <c r="I19" s="52">
        <f>SUM(I15:I18)</f>
        <v>0.8581</v>
      </c>
      <c r="J19" s="47"/>
      <c r="L19" s="47"/>
    </row>
    <row r="20" spans="2:12" ht="15.75" thickTop="1">
      <c r="B20" s="47"/>
      <c r="D20" s="47"/>
      <c r="E20" s="178"/>
      <c r="F20" s="51"/>
      <c r="G20" s="51"/>
      <c r="H20" s="57"/>
      <c r="I20" s="52"/>
      <c r="J20" s="47"/>
      <c r="L20" s="47"/>
    </row>
    <row r="21" spans="2:12" ht="15">
      <c r="B21" s="47" t="s">
        <v>99</v>
      </c>
      <c r="C21" s="47"/>
      <c r="D21" s="47"/>
      <c r="F21" s="47"/>
      <c r="G21" s="51">
        <f>G50*60*10</f>
        <v>7200000</v>
      </c>
      <c r="H21" s="47"/>
      <c r="I21" s="52">
        <f>ROUND(+G21/G$23,4)</f>
        <v>0.1419</v>
      </c>
      <c r="J21" s="47"/>
      <c r="L21" s="47"/>
    </row>
    <row r="22" spans="2:12" ht="15">
      <c r="B22" s="47"/>
      <c r="C22" s="47"/>
      <c r="D22" s="47"/>
      <c r="F22" s="47"/>
      <c r="G22" s="49"/>
      <c r="H22" s="47"/>
      <c r="I22" s="55"/>
      <c r="J22" s="47"/>
      <c r="L22" s="47"/>
    </row>
    <row r="23" spans="2:12" ht="15.75" thickBot="1">
      <c r="B23" s="47" t="s">
        <v>96</v>
      </c>
      <c r="C23" s="47"/>
      <c r="D23" s="47"/>
      <c r="F23" s="47"/>
      <c r="G23" s="193">
        <f>SUM(G19:G21)</f>
        <v>50745600</v>
      </c>
      <c r="H23" s="47"/>
      <c r="I23" s="52">
        <f>SUM(I19:I21)</f>
        <v>1</v>
      </c>
      <c r="J23" s="47"/>
      <c r="L23" s="47"/>
    </row>
    <row r="24" spans="2:12" ht="15.75" thickTop="1">
      <c r="B24" s="47"/>
      <c r="C24" s="47"/>
      <c r="D24" s="47"/>
      <c r="E24" s="47"/>
      <c r="F24" s="47"/>
      <c r="G24" s="178"/>
      <c r="H24" s="47"/>
      <c r="I24" s="56"/>
      <c r="J24" s="47"/>
      <c r="L24" s="47"/>
    </row>
    <row r="25" spans="1:12" ht="15">
      <c r="A25" s="47"/>
      <c r="B25" s="47"/>
      <c r="C25" s="47"/>
      <c r="D25" s="47"/>
      <c r="E25" s="47"/>
      <c r="F25" s="47"/>
      <c r="G25" s="47"/>
      <c r="H25" s="47"/>
      <c r="I25" s="47"/>
      <c r="J25" s="47"/>
      <c r="K25" s="47"/>
      <c r="L25" s="47"/>
    </row>
    <row r="26" spans="1:12" ht="30" customHeight="1">
      <c r="A26" s="495"/>
      <c r="B26" s="495"/>
      <c r="C26" s="495"/>
      <c r="D26" s="495"/>
      <c r="E26" s="495"/>
      <c r="F26" s="495"/>
      <c r="G26" s="495"/>
      <c r="H26" s="495"/>
      <c r="I26" s="495"/>
      <c r="J26" s="495"/>
      <c r="K26" s="495"/>
      <c r="L26" s="47"/>
    </row>
    <row r="27" spans="1:12" ht="15">
      <c r="A27" s="47"/>
      <c r="B27" s="47"/>
      <c r="C27" s="47"/>
      <c r="D27" s="47"/>
      <c r="E27" s="47"/>
      <c r="F27" s="47"/>
      <c r="G27" s="47"/>
      <c r="H27" s="47"/>
      <c r="I27" s="47"/>
      <c r="J27" s="47"/>
      <c r="K27" s="47"/>
      <c r="L27" s="47"/>
    </row>
    <row r="28" spans="1:12" ht="15">
      <c r="A28" s="47"/>
      <c r="B28" s="47"/>
      <c r="C28" s="47"/>
      <c r="D28" s="47"/>
      <c r="E28" s="47"/>
      <c r="F28" s="47"/>
      <c r="G28" s="47"/>
      <c r="H28" s="47"/>
      <c r="I28" s="47"/>
      <c r="J28" s="47"/>
      <c r="K28" s="47"/>
      <c r="L28" s="47"/>
    </row>
    <row r="29" spans="1:12" ht="15">
      <c r="A29" s="47"/>
      <c r="B29" s="47"/>
      <c r="C29" s="47"/>
      <c r="D29" s="47"/>
      <c r="E29" s="47"/>
      <c r="F29" s="47"/>
      <c r="G29" s="47"/>
      <c r="H29" s="47"/>
      <c r="I29" s="47"/>
      <c r="J29" s="47"/>
      <c r="K29" s="47"/>
      <c r="L29" s="47"/>
    </row>
    <row r="30" spans="1:11" ht="15">
      <c r="A30" s="36" t="s">
        <v>369</v>
      </c>
      <c r="B30" s="44"/>
      <c r="C30" s="44"/>
      <c r="D30" s="44"/>
      <c r="E30" s="44"/>
      <c r="F30" s="44"/>
      <c r="G30" s="44"/>
      <c r="H30" s="44"/>
      <c r="I30" s="44"/>
      <c r="J30" s="44"/>
      <c r="K30" s="44"/>
    </row>
    <row r="31" spans="1:11" ht="15">
      <c r="A31" s="36"/>
      <c r="B31" s="44"/>
      <c r="C31" s="44"/>
      <c r="D31" s="44"/>
      <c r="E31" s="44"/>
      <c r="F31" s="44"/>
      <c r="G31" s="44"/>
      <c r="H31" s="44"/>
      <c r="I31" s="44"/>
      <c r="J31" s="44"/>
      <c r="K31" s="44"/>
    </row>
    <row r="33" spans="1:11" ht="15">
      <c r="A33" s="45" t="s">
        <v>82</v>
      </c>
      <c r="B33" s="44"/>
      <c r="C33" s="44"/>
      <c r="D33" s="44"/>
      <c r="E33" s="44"/>
      <c r="F33" s="44"/>
      <c r="G33" s="44"/>
      <c r="H33" s="44"/>
      <c r="I33" s="44"/>
      <c r="J33" s="44"/>
      <c r="K33" s="44"/>
    </row>
    <row r="36" spans="1:12" ht="15">
      <c r="A36" s="47" t="s">
        <v>118</v>
      </c>
      <c r="B36" s="47"/>
      <c r="C36" s="47"/>
      <c r="D36" s="47"/>
      <c r="E36" s="47"/>
      <c r="F36" s="47"/>
      <c r="G36" s="47"/>
      <c r="H36" s="47"/>
      <c r="I36" s="47"/>
      <c r="J36" s="47"/>
      <c r="K36" s="47"/>
      <c r="L36" s="47"/>
    </row>
    <row r="37" spans="1:12" ht="15">
      <c r="A37" s="47" t="s">
        <v>119</v>
      </c>
      <c r="B37" s="47"/>
      <c r="C37" s="47"/>
      <c r="D37" s="47"/>
      <c r="E37" s="47"/>
      <c r="F37" s="47"/>
      <c r="G37" s="47"/>
      <c r="H37" s="47"/>
      <c r="I37" s="47"/>
      <c r="J37" s="47"/>
      <c r="K37" s="47"/>
      <c r="L37" s="47"/>
    </row>
    <row r="38" spans="1:12" ht="11.25" customHeight="1">
      <c r="A38" s="47"/>
      <c r="B38" s="47"/>
      <c r="C38" s="47"/>
      <c r="D38" s="47"/>
      <c r="E38" s="47"/>
      <c r="F38" s="47"/>
      <c r="G38" s="47"/>
      <c r="H38" s="47"/>
      <c r="I38" s="47"/>
      <c r="J38" s="47"/>
      <c r="K38" s="47"/>
      <c r="L38" s="47"/>
    </row>
    <row r="39" spans="1:12" ht="52.5" customHeight="1">
      <c r="A39" s="495" t="s">
        <v>12</v>
      </c>
      <c r="B39" s="495"/>
      <c r="C39" s="495"/>
      <c r="D39" s="495"/>
      <c r="E39" s="495"/>
      <c r="F39" s="495"/>
      <c r="G39" s="495"/>
      <c r="H39" s="495"/>
      <c r="I39" s="495"/>
      <c r="J39" s="495"/>
      <c r="K39" s="495"/>
      <c r="L39" s="47"/>
    </row>
    <row r="40" spans="1:12" ht="8.25" customHeight="1">
      <c r="A40" s="47"/>
      <c r="B40" s="47"/>
      <c r="C40" s="47"/>
      <c r="D40" s="47"/>
      <c r="E40" s="47"/>
      <c r="F40" s="47"/>
      <c r="G40" s="47"/>
      <c r="H40" s="47"/>
      <c r="I40" s="47"/>
      <c r="J40" s="47"/>
      <c r="K40" s="47"/>
      <c r="L40" s="47"/>
    </row>
    <row r="41" spans="1:12" ht="15">
      <c r="A41" s="47"/>
      <c r="B41" s="47"/>
      <c r="C41" s="47"/>
      <c r="D41" s="47"/>
      <c r="F41" s="47"/>
      <c r="G41" s="48" t="s">
        <v>85</v>
      </c>
      <c r="H41" s="47"/>
      <c r="I41" s="47"/>
      <c r="J41" s="47"/>
      <c r="K41" s="47"/>
      <c r="L41" s="47"/>
    </row>
    <row r="42" spans="1:12" ht="15">
      <c r="A42" s="47"/>
      <c r="B42" s="47"/>
      <c r="D42" s="47"/>
      <c r="E42" s="48" t="s">
        <v>92</v>
      </c>
      <c r="F42" s="47"/>
      <c r="G42" s="48" t="s">
        <v>120</v>
      </c>
      <c r="H42" s="47"/>
      <c r="I42" s="48" t="s">
        <v>93</v>
      </c>
      <c r="J42" s="47"/>
      <c r="K42" s="47"/>
      <c r="L42" s="47"/>
    </row>
    <row r="43" spans="1:12" ht="9.75" customHeight="1">
      <c r="A43" s="47"/>
      <c r="B43" s="47"/>
      <c r="D43" s="47"/>
      <c r="E43" s="49"/>
      <c r="F43" s="47"/>
      <c r="G43" s="49"/>
      <c r="H43" s="47"/>
      <c r="I43" s="49"/>
      <c r="J43" s="47"/>
      <c r="K43" s="47"/>
      <c r="L43" s="47"/>
    </row>
    <row r="44" spans="2:13" ht="15">
      <c r="B44" s="47" t="s">
        <v>116</v>
      </c>
      <c r="D44" s="47"/>
      <c r="E44" s="50">
        <v>1</v>
      </c>
      <c r="F44" s="47"/>
      <c r="G44" s="51">
        <f>ROUND(G15/24/60,0)</f>
        <v>18900</v>
      </c>
      <c r="H44" s="47"/>
      <c r="I44" s="52">
        <f>ROUND(+G44/G$52,4)</f>
        <v>0.3295</v>
      </c>
      <c r="J44" s="47"/>
      <c r="K44" s="47"/>
      <c r="L44" s="47"/>
      <c r="M44" s="52"/>
    </row>
    <row r="45" spans="2:13" ht="15">
      <c r="B45" s="47" t="s">
        <v>106</v>
      </c>
      <c r="D45" s="47"/>
      <c r="E45" s="50"/>
      <c r="F45" s="47"/>
      <c r="G45" s="51"/>
      <c r="H45" s="47"/>
      <c r="I45" s="52"/>
      <c r="J45" s="47"/>
      <c r="K45" s="47"/>
      <c r="L45" s="47"/>
      <c r="M45" s="52"/>
    </row>
    <row r="46" spans="2:13" ht="15">
      <c r="B46" s="47" t="s">
        <v>95</v>
      </c>
      <c r="D46" s="47"/>
      <c r="E46" s="50">
        <v>1.4</v>
      </c>
      <c r="F46" s="51"/>
      <c r="G46" s="51">
        <f>ROUND(+G44*E46,0)</f>
        <v>26460</v>
      </c>
      <c r="H46" s="52"/>
      <c r="I46" s="309">
        <f>ROUND(+G46/G$52,4)</f>
        <v>0.4613</v>
      </c>
      <c r="J46" s="47"/>
      <c r="K46" s="47"/>
      <c r="L46" s="47"/>
      <c r="M46" s="52"/>
    </row>
    <row r="47" spans="2:13" ht="15">
      <c r="B47" s="47"/>
      <c r="D47" s="47"/>
      <c r="E47" s="53"/>
      <c r="F47" s="51"/>
      <c r="G47" s="54"/>
      <c r="H47" s="52"/>
      <c r="I47" s="55"/>
      <c r="J47" s="47"/>
      <c r="K47" s="47"/>
      <c r="L47" s="47"/>
      <c r="M47" s="52"/>
    </row>
    <row r="48" spans="2:13" ht="15.75" thickBot="1">
      <c r="B48" s="47" t="s">
        <v>117</v>
      </c>
      <c r="D48" s="47"/>
      <c r="E48" s="199">
        <f>SUM(E44:E47)</f>
        <v>2.4</v>
      </c>
      <c r="F48" s="51"/>
      <c r="G48" s="51">
        <f>SUM(G44:G47)</f>
        <v>45360</v>
      </c>
      <c r="H48" s="52"/>
      <c r="I48" s="52">
        <f>SUM(I44:I47)</f>
        <v>0.7908</v>
      </c>
      <c r="J48" s="47"/>
      <c r="K48" s="47"/>
      <c r="L48" s="47"/>
      <c r="M48" s="52"/>
    </row>
    <row r="49" spans="2:13" ht="9.75" customHeight="1" thickTop="1">
      <c r="B49" s="47"/>
      <c r="D49" s="47"/>
      <c r="E49" s="178"/>
      <c r="F49" s="51"/>
      <c r="G49" s="51"/>
      <c r="H49" s="57"/>
      <c r="I49" s="52"/>
      <c r="J49" s="47"/>
      <c r="K49" s="47"/>
      <c r="L49" s="47"/>
      <c r="M49" s="52"/>
    </row>
    <row r="50" spans="2:15" ht="15">
      <c r="B50" s="47" t="s">
        <v>99</v>
      </c>
      <c r="C50" s="47"/>
      <c r="D50" s="47"/>
      <c r="F50" s="47"/>
      <c r="G50" s="51">
        <v>12000</v>
      </c>
      <c r="H50" s="47"/>
      <c r="I50" s="52">
        <f>ROUND(+G50/G$52,4)</f>
        <v>0.2092</v>
      </c>
      <c r="J50" s="47"/>
      <c r="K50" s="47"/>
      <c r="L50" s="47"/>
      <c r="O50" s="222"/>
    </row>
    <row r="51" spans="2:15" ht="15">
      <c r="B51" s="47"/>
      <c r="C51" s="47"/>
      <c r="D51" s="47"/>
      <c r="F51" s="47"/>
      <c r="G51" s="49"/>
      <c r="H51" s="47"/>
      <c r="I51" s="55"/>
      <c r="J51" s="47"/>
      <c r="K51" s="47"/>
      <c r="L51" s="47"/>
      <c r="O51" s="222"/>
    </row>
    <row r="52" spans="2:13" ht="15.75" thickBot="1">
      <c r="B52" s="47" t="s">
        <v>96</v>
      </c>
      <c r="C52" s="47"/>
      <c r="D52" s="47"/>
      <c r="F52" s="47"/>
      <c r="G52" s="193">
        <f>SUM(G48:G50)</f>
        <v>57360</v>
      </c>
      <c r="H52" s="47"/>
      <c r="I52" s="52">
        <f>SUM(I48:I50)</f>
        <v>1</v>
      </c>
      <c r="J52" s="47"/>
      <c r="K52" s="47"/>
      <c r="L52" s="47"/>
      <c r="M52" s="52"/>
    </row>
    <row r="53" spans="1:12" ht="12" customHeight="1" thickTop="1">
      <c r="A53" s="47"/>
      <c r="B53" s="47"/>
      <c r="C53" s="47"/>
      <c r="D53" s="47"/>
      <c r="E53" s="51"/>
      <c r="F53" s="47"/>
      <c r="G53" s="178"/>
      <c r="H53" s="47"/>
      <c r="I53" s="58"/>
      <c r="J53" s="47"/>
      <c r="K53" s="47"/>
      <c r="L53" s="47"/>
    </row>
    <row r="54" spans="1:12" ht="25.5" customHeight="1">
      <c r="A54" s="495" t="s">
        <v>121</v>
      </c>
      <c r="B54" s="495"/>
      <c r="C54" s="495"/>
      <c r="D54" s="495"/>
      <c r="E54" s="495"/>
      <c r="F54" s="495"/>
      <c r="G54" s="495"/>
      <c r="H54" s="495"/>
      <c r="I54" s="495"/>
      <c r="J54" s="495"/>
      <c r="K54" s="495"/>
      <c r="L54" s="47"/>
    </row>
    <row r="55" spans="1:12" ht="9.75" customHeight="1">
      <c r="A55" s="47"/>
      <c r="B55" s="47"/>
      <c r="C55" s="47"/>
      <c r="D55" s="47"/>
      <c r="E55" s="47"/>
      <c r="F55" s="47"/>
      <c r="G55" s="47"/>
      <c r="H55" s="47"/>
      <c r="I55" s="47"/>
      <c r="J55" s="47"/>
      <c r="K55" s="47"/>
      <c r="L55" s="47"/>
    </row>
    <row r="56" spans="1:12" ht="15">
      <c r="A56" s="47"/>
      <c r="B56" s="47"/>
      <c r="C56" s="47"/>
      <c r="D56" s="47"/>
      <c r="E56" s="48" t="s">
        <v>122</v>
      </c>
      <c r="F56" s="47"/>
      <c r="H56" s="47"/>
      <c r="I56" s="47"/>
      <c r="J56" s="47"/>
      <c r="K56" s="47"/>
      <c r="L56" s="47"/>
    </row>
    <row r="57" spans="1:12" ht="15">
      <c r="A57" s="47"/>
      <c r="B57" s="47"/>
      <c r="C57" s="47"/>
      <c r="D57" s="47"/>
      <c r="E57" s="48" t="s">
        <v>123</v>
      </c>
      <c r="F57" s="47"/>
      <c r="G57" s="45" t="s">
        <v>124</v>
      </c>
      <c r="H57" s="45"/>
      <c r="I57" s="45"/>
      <c r="J57" s="45"/>
      <c r="K57" s="45"/>
      <c r="L57" s="47"/>
    </row>
    <row r="58" spans="1:12" ht="15">
      <c r="A58" s="45" t="s">
        <v>100</v>
      </c>
      <c r="B58" s="45"/>
      <c r="C58" s="45"/>
      <c r="D58" s="47"/>
      <c r="E58" s="48" t="s">
        <v>71</v>
      </c>
      <c r="F58" s="47"/>
      <c r="G58" s="59"/>
      <c r="H58" s="59"/>
      <c r="I58" s="59" t="s">
        <v>197</v>
      </c>
      <c r="J58" s="59"/>
      <c r="K58" s="59" t="s">
        <v>55</v>
      </c>
      <c r="L58" s="47"/>
    </row>
    <row r="59" spans="1:12" ht="15">
      <c r="A59" s="45" t="s">
        <v>56</v>
      </c>
      <c r="B59" s="45"/>
      <c r="C59" s="45"/>
      <c r="D59" s="47"/>
      <c r="E59" s="48" t="s">
        <v>197</v>
      </c>
      <c r="F59" s="47"/>
      <c r="G59" s="48" t="s">
        <v>86</v>
      </c>
      <c r="H59" s="48"/>
      <c r="I59" s="48" t="s">
        <v>125</v>
      </c>
      <c r="J59" s="48"/>
      <c r="K59" s="48" t="s">
        <v>57</v>
      </c>
      <c r="L59" s="47"/>
    </row>
    <row r="60" spans="1:12" ht="15">
      <c r="A60" s="60" t="s">
        <v>58</v>
      </c>
      <c r="B60" s="60"/>
      <c r="C60" s="60"/>
      <c r="D60" s="47"/>
      <c r="E60" s="59" t="s">
        <v>75</v>
      </c>
      <c r="F60" s="47"/>
      <c r="G60" s="59" t="s">
        <v>60</v>
      </c>
      <c r="H60" s="48"/>
      <c r="I60" s="59" t="s">
        <v>88</v>
      </c>
      <c r="J60" s="48"/>
      <c r="K60" s="59" t="s">
        <v>89</v>
      </c>
      <c r="L60" s="47"/>
    </row>
    <row r="61" spans="3:12" ht="10.5" customHeight="1">
      <c r="C61" s="47"/>
      <c r="D61" s="47"/>
      <c r="E61" s="47"/>
      <c r="F61" s="47"/>
      <c r="G61" s="47"/>
      <c r="H61" s="47"/>
      <c r="I61" s="47"/>
      <c r="J61" s="47"/>
      <c r="K61" s="47"/>
      <c r="L61" s="47"/>
    </row>
    <row r="62" spans="1:17" ht="15">
      <c r="A62" s="2" t="s">
        <v>61</v>
      </c>
      <c r="B62" s="47"/>
      <c r="C62" s="47"/>
      <c r="D62" s="47"/>
      <c r="E62" s="190">
        <f>'F 3-4'!$D$48</f>
        <v>656.7</v>
      </c>
      <c r="F62" s="47"/>
      <c r="G62" s="180">
        <v>2</v>
      </c>
      <c r="H62" s="47"/>
      <c r="I62" s="57">
        <f>ROUND(E62*G62,1)</f>
        <v>1313.4</v>
      </c>
      <c r="J62" s="47"/>
      <c r="K62" s="52">
        <f>ROUND(+I62/I$68,4)</f>
        <v>0.6543</v>
      </c>
      <c r="L62" s="178"/>
      <c r="M62" s="480"/>
      <c r="N62" s="480"/>
      <c r="O62" s="481"/>
      <c r="P62" s="480"/>
      <c r="Q62" s="482"/>
    </row>
    <row r="63" spans="1:17" ht="15">
      <c r="A63" s="2" t="s">
        <v>194</v>
      </c>
      <c r="B63" s="47"/>
      <c r="C63" s="47"/>
      <c r="D63" s="47"/>
      <c r="E63" s="190">
        <f>'F 3-4'!$D$49</f>
        <v>327.4</v>
      </c>
      <c r="F63" s="47"/>
      <c r="G63" s="180">
        <v>1.5</v>
      </c>
      <c r="H63" s="47"/>
      <c r="I63" s="57">
        <f>ROUND(E63*G63,1)</f>
        <v>491.1</v>
      </c>
      <c r="J63" s="47"/>
      <c r="K63" s="52">
        <f>ROUND(+I63/I$68,4)</f>
        <v>0.2446</v>
      </c>
      <c r="L63" s="178"/>
      <c r="M63" s="480"/>
      <c r="N63" s="480"/>
      <c r="O63" s="481"/>
      <c r="P63" s="480"/>
      <c r="Q63" s="482"/>
    </row>
    <row r="64" spans="1:17" ht="15">
      <c r="A64" s="2" t="s">
        <v>63</v>
      </c>
      <c r="B64" s="47"/>
      <c r="C64" s="47"/>
      <c r="D64" s="47"/>
      <c r="E64" s="190">
        <f>'F 3-4'!$D$50</f>
        <v>129.5</v>
      </c>
      <c r="F64" s="47"/>
      <c r="G64" s="180">
        <v>1</v>
      </c>
      <c r="H64" s="47"/>
      <c r="I64" s="57">
        <f>ROUND(E64*G64,1)</f>
        <v>129.5</v>
      </c>
      <c r="J64" s="47"/>
      <c r="K64" s="52">
        <f>ROUND(+I64/I$68,4)</f>
        <v>0.0645</v>
      </c>
      <c r="L64" s="178"/>
      <c r="M64" s="480"/>
      <c r="N64" s="480"/>
      <c r="O64" s="480"/>
      <c r="P64" s="480"/>
      <c r="Q64" s="482"/>
    </row>
    <row r="65" spans="1:17" ht="15">
      <c r="A65" s="2" t="s">
        <v>64</v>
      </c>
      <c r="B65" s="47"/>
      <c r="C65" s="47"/>
      <c r="D65" s="47"/>
      <c r="E65" s="190">
        <f>'F 3-4'!$D$51</f>
        <v>73.4</v>
      </c>
      <c r="F65" s="47"/>
      <c r="G65" s="180">
        <v>1</v>
      </c>
      <c r="H65" s="47"/>
      <c r="I65" s="57">
        <f>ROUND(E65*G65,1)</f>
        <v>73.4</v>
      </c>
      <c r="J65" s="47"/>
      <c r="K65" s="52">
        <f>ROUND(+I65/I$68,4)</f>
        <v>0.0366</v>
      </c>
      <c r="L65" s="178"/>
      <c r="M65" s="480"/>
      <c r="N65" s="480"/>
      <c r="O65" s="481"/>
      <c r="P65" s="480"/>
      <c r="Q65" s="482"/>
    </row>
    <row r="66" spans="1:17" ht="15">
      <c r="A66" s="2" t="s">
        <v>427</v>
      </c>
      <c r="B66" s="47"/>
      <c r="C66" s="47"/>
      <c r="D66" s="47"/>
      <c r="E66" s="190">
        <f>'F 3-4'!$D$52</f>
        <v>0</v>
      </c>
      <c r="F66" s="47"/>
      <c r="G66" s="180">
        <v>1</v>
      </c>
      <c r="H66" s="47"/>
      <c r="I66" s="57">
        <f>ROUND(E66*G66,1)</f>
        <v>0</v>
      </c>
      <c r="J66" s="47"/>
      <c r="K66" s="52">
        <f>ROUND(+I66/I$68,4)</f>
        <v>0</v>
      </c>
      <c r="L66" s="178"/>
      <c r="M66" s="480"/>
      <c r="N66" s="480"/>
      <c r="O66" s="480"/>
      <c r="P66" s="480"/>
      <c r="Q66" s="482"/>
    </row>
    <row r="67" spans="1:17" ht="9" customHeight="1">
      <c r="A67" s="47"/>
      <c r="B67" s="47"/>
      <c r="C67" s="47"/>
      <c r="D67" s="47"/>
      <c r="E67" s="177"/>
      <c r="F67" s="47"/>
      <c r="G67" s="47"/>
      <c r="H67" s="47"/>
      <c r="I67" s="61"/>
      <c r="J67" s="47"/>
      <c r="K67" s="49"/>
      <c r="L67" s="178"/>
      <c r="M67" s="480"/>
      <c r="N67" s="480"/>
      <c r="O67" s="480"/>
      <c r="P67" s="480"/>
      <c r="Q67" s="178"/>
    </row>
    <row r="68" spans="1:17" ht="15.75" thickBot="1">
      <c r="A68" s="47" t="s">
        <v>126</v>
      </c>
      <c r="B68" s="47"/>
      <c r="C68" s="47"/>
      <c r="D68" s="47"/>
      <c r="E68" s="190">
        <f>SUM(E62:E67)</f>
        <v>1187</v>
      </c>
      <c r="F68" s="57"/>
      <c r="G68" s="57"/>
      <c r="H68" s="57"/>
      <c r="I68" s="190">
        <f>SUM(I62:I67)</f>
        <v>2007.4</v>
      </c>
      <c r="J68" s="47"/>
      <c r="K68" s="179">
        <f>SUM(K62:K67)</f>
        <v>1</v>
      </c>
      <c r="L68" s="483"/>
      <c r="M68" s="480"/>
      <c r="N68" s="480"/>
      <c r="O68" s="484"/>
      <c r="P68" s="480"/>
      <c r="Q68" s="482"/>
    </row>
    <row r="69" spans="1:17" ht="15.75" thickTop="1">
      <c r="A69" s="192"/>
      <c r="B69" s="192"/>
      <c r="C69" s="192"/>
      <c r="D69" s="47"/>
      <c r="E69" s="62"/>
      <c r="F69" s="47"/>
      <c r="G69" s="47"/>
      <c r="H69" s="47"/>
      <c r="I69" s="56"/>
      <c r="J69" s="47"/>
      <c r="K69" s="178"/>
      <c r="L69" s="178"/>
      <c r="M69" s="480"/>
      <c r="N69" s="480"/>
      <c r="O69" s="480"/>
      <c r="P69" s="480"/>
      <c r="Q69" s="480"/>
    </row>
    <row r="70" spans="1:17" ht="15">
      <c r="A70" s="47" t="s">
        <v>127</v>
      </c>
      <c r="B70" s="47"/>
      <c r="C70" s="47"/>
      <c r="D70" s="47"/>
      <c r="E70" s="47"/>
      <c r="F70" s="47"/>
      <c r="G70" s="47"/>
      <c r="H70" s="47"/>
      <c r="I70" s="47"/>
      <c r="J70" s="47"/>
      <c r="K70" s="47"/>
      <c r="L70" s="178"/>
      <c r="M70" s="480"/>
      <c r="N70" s="480"/>
      <c r="O70" s="480"/>
      <c r="P70" s="485"/>
      <c r="Q70" s="480"/>
    </row>
    <row r="71" spans="1:16" ht="11.25" customHeight="1">
      <c r="A71" s="47"/>
      <c r="B71" s="47"/>
      <c r="C71" s="47"/>
      <c r="D71" s="47"/>
      <c r="E71" s="47"/>
      <c r="F71" s="47"/>
      <c r="G71" s="47"/>
      <c r="H71" s="47"/>
      <c r="I71" s="47"/>
      <c r="J71" s="47"/>
      <c r="K71" s="47"/>
      <c r="L71" s="47"/>
      <c r="P71" s="310"/>
    </row>
    <row r="72" spans="1:12" ht="29.25" customHeight="1">
      <c r="A72" s="495"/>
      <c r="B72" s="495"/>
      <c r="C72" s="495"/>
      <c r="D72" s="495"/>
      <c r="E72" s="495"/>
      <c r="F72" s="495"/>
      <c r="G72" s="495"/>
      <c r="H72" s="495"/>
      <c r="I72" s="495"/>
      <c r="J72" s="495"/>
      <c r="K72" s="495"/>
      <c r="L72" s="47"/>
    </row>
    <row r="73" spans="1:12" ht="15">
      <c r="A73" s="47"/>
      <c r="B73" s="47"/>
      <c r="C73" s="47"/>
      <c r="D73" s="47"/>
      <c r="E73" s="47"/>
      <c r="F73" s="47"/>
      <c r="G73" s="47"/>
      <c r="H73" s="47"/>
      <c r="I73" s="47"/>
      <c r="J73" s="47"/>
      <c r="K73" s="47"/>
      <c r="L73" s="47"/>
    </row>
  </sheetData>
  <mergeCells count="5">
    <mergeCell ref="A72:K72"/>
    <mergeCell ref="A10:K10"/>
    <mergeCell ref="A26:K26"/>
    <mergeCell ref="A39:K39"/>
    <mergeCell ref="A54:K54"/>
  </mergeCells>
  <printOptions horizontalCentered="1"/>
  <pageMargins left="1" right="1" top="1" bottom="0.5" header="0.5" footer="0.5"/>
  <pageSetup horizontalDpi="600" verticalDpi="600" orientation="portrait" r:id="rId1"/>
  <rowBreaks count="1" manualBreakCount="1">
    <brk id="29" max="255" man="1"/>
  </rowBreaks>
</worksheet>
</file>

<file path=xl/worksheets/sheet6.xml><?xml version="1.0" encoding="utf-8"?>
<worksheet xmlns="http://schemas.openxmlformats.org/spreadsheetml/2006/main" xmlns:r="http://schemas.openxmlformats.org/officeDocument/2006/relationships">
  <dimension ref="A1:AE66"/>
  <sheetViews>
    <sheetView workbookViewId="0" topLeftCell="A1">
      <selection activeCell="F30" sqref="F30"/>
    </sheetView>
  </sheetViews>
  <sheetFormatPr defaultColWidth="8.88671875" defaultRowHeight="12.75"/>
  <cols>
    <col min="1" max="2" width="7.77734375" style="66" customWidth="1"/>
    <col min="3" max="3" width="2.21484375" style="66" customWidth="1"/>
    <col min="4" max="4" width="7.77734375" style="66" customWidth="1"/>
    <col min="5" max="5" width="2.21484375" style="66" customWidth="1"/>
    <col min="6" max="6" width="7.77734375" style="66" customWidth="1"/>
    <col min="7" max="7" width="2.10546875" style="66" customWidth="1"/>
    <col min="8" max="8" width="7.77734375" style="66" customWidth="1"/>
    <col min="9" max="9" width="2.10546875" style="66" customWidth="1"/>
    <col min="10" max="10" width="7.77734375" style="66" customWidth="1"/>
    <col min="11" max="11" width="2.10546875" style="66" customWidth="1"/>
    <col min="12" max="12" width="7.77734375" style="66" customWidth="1"/>
    <col min="13" max="13" width="2.10546875" style="66" customWidth="1"/>
    <col min="14" max="14" width="7.77734375" style="66" customWidth="1"/>
    <col min="15" max="15" width="2.10546875" style="66" customWidth="1"/>
    <col min="16" max="16" width="7.77734375" style="66" customWidth="1"/>
    <col min="17" max="17" width="2.10546875" style="66" customWidth="1"/>
    <col min="18" max="18" width="11.21484375" style="66" customWidth="1"/>
    <col min="19" max="22" width="9.77734375" style="66" customWidth="1"/>
    <col min="23" max="23" width="10.77734375" style="66" customWidth="1"/>
    <col min="24" max="25" width="6.77734375" style="66" customWidth="1"/>
    <col min="26" max="28" width="7.77734375" style="66" customWidth="1"/>
    <col min="29" max="29" width="4.77734375" style="66" customWidth="1"/>
    <col min="30" max="16384" width="9.77734375" style="66" customWidth="1"/>
  </cols>
  <sheetData>
    <row r="1" spans="1:31" ht="15">
      <c r="A1" s="36" t="s">
        <v>369</v>
      </c>
      <c r="B1" s="64"/>
      <c r="C1" s="64"/>
      <c r="D1" s="64"/>
      <c r="E1" s="64"/>
      <c r="F1" s="64"/>
      <c r="G1" s="63"/>
      <c r="H1" s="64"/>
      <c r="I1" s="64"/>
      <c r="J1" s="64"/>
      <c r="K1" s="64"/>
      <c r="L1" s="64"/>
      <c r="M1" s="64"/>
      <c r="N1" s="64"/>
      <c r="O1" s="64"/>
      <c r="P1" s="64"/>
      <c r="Q1" s="64"/>
      <c r="R1" s="64"/>
      <c r="S1" s="65"/>
      <c r="T1" s="65"/>
      <c r="U1" s="65"/>
      <c r="V1" s="65"/>
      <c r="W1" s="65"/>
      <c r="X1" s="65"/>
      <c r="Y1" s="65"/>
      <c r="Z1" s="65"/>
      <c r="AA1" s="65"/>
      <c r="AB1" s="65"/>
      <c r="AC1" s="65"/>
      <c r="AD1" s="65"/>
      <c r="AE1" s="65"/>
    </row>
    <row r="2" spans="1:31" ht="15">
      <c r="A2" s="36"/>
      <c r="B2" s="64"/>
      <c r="C2" s="64"/>
      <c r="D2" s="64"/>
      <c r="E2" s="64"/>
      <c r="F2" s="64"/>
      <c r="G2" s="63"/>
      <c r="H2" s="64"/>
      <c r="I2" s="64"/>
      <c r="J2" s="64"/>
      <c r="K2" s="64"/>
      <c r="L2" s="64"/>
      <c r="M2" s="64"/>
      <c r="N2" s="64"/>
      <c r="O2" s="64"/>
      <c r="P2" s="64"/>
      <c r="Q2" s="64"/>
      <c r="R2" s="64"/>
      <c r="S2" s="65"/>
      <c r="T2" s="65"/>
      <c r="U2" s="65"/>
      <c r="V2" s="65"/>
      <c r="W2" s="65"/>
      <c r="X2" s="65"/>
      <c r="Y2" s="65"/>
      <c r="Z2" s="65"/>
      <c r="AA2" s="65"/>
      <c r="AB2" s="65"/>
      <c r="AC2" s="65"/>
      <c r="AD2" s="65"/>
      <c r="AE2" s="65"/>
    </row>
    <row r="3" spans="1:31" ht="15">
      <c r="A3" s="64"/>
      <c r="B3" s="64"/>
      <c r="C3" s="64"/>
      <c r="D3" s="64"/>
      <c r="E3" s="64"/>
      <c r="F3" s="64"/>
      <c r="G3" s="64"/>
      <c r="H3" s="64"/>
      <c r="I3" s="64"/>
      <c r="J3" s="64"/>
      <c r="K3" s="64"/>
      <c r="L3" s="64"/>
      <c r="M3" s="64"/>
      <c r="N3" s="64"/>
      <c r="O3" s="64"/>
      <c r="P3" s="64"/>
      <c r="Q3" s="64"/>
      <c r="R3" s="64"/>
      <c r="S3" s="65"/>
      <c r="T3" s="65"/>
      <c r="U3" s="65"/>
      <c r="V3" s="65"/>
      <c r="W3" s="65"/>
      <c r="X3" s="65"/>
      <c r="Y3" s="65"/>
      <c r="Z3" s="65"/>
      <c r="AA3" s="65"/>
      <c r="AB3" s="65"/>
      <c r="AC3" s="65"/>
      <c r="AD3" s="65"/>
      <c r="AE3" s="65"/>
    </row>
    <row r="4" spans="1:31" ht="15">
      <c r="A4" s="64" t="s">
        <v>82</v>
      </c>
      <c r="B4" s="64"/>
      <c r="C4" s="64"/>
      <c r="D4" s="63"/>
      <c r="E4" s="64"/>
      <c r="F4" s="64"/>
      <c r="G4" s="64"/>
      <c r="H4" s="64"/>
      <c r="I4" s="64"/>
      <c r="J4" s="64"/>
      <c r="K4" s="64"/>
      <c r="L4" s="64"/>
      <c r="M4" s="64"/>
      <c r="N4" s="64"/>
      <c r="O4" s="64"/>
      <c r="P4" s="64"/>
      <c r="Q4" s="64"/>
      <c r="R4" s="64"/>
      <c r="S4" s="65"/>
      <c r="T4" s="65"/>
      <c r="U4" s="65"/>
      <c r="V4" s="65"/>
      <c r="W4" s="65"/>
      <c r="X4" s="65"/>
      <c r="Y4" s="65"/>
      <c r="Z4" s="65"/>
      <c r="AA4" s="65"/>
      <c r="AB4" s="65"/>
      <c r="AC4" s="65"/>
      <c r="AD4" s="65"/>
      <c r="AE4" s="65"/>
    </row>
    <row r="5" spans="1:31" ht="1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row>
    <row r="6" spans="1:31" ht="1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row>
    <row r="7" spans="1:31" ht="15">
      <c r="A7" s="65" t="s">
        <v>128</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row>
    <row r="8" spans="1:31" ht="1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row>
    <row r="9" spans="1:31" ht="27" customHeight="1">
      <c r="A9" s="496" t="s">
        <v>129</v>
      </c>
      <c r="B9" s="496"/>
      <c r="C9" s="496"/>
      <c r="D9" s="496"/>
      <c r="E9" s="496"/>
      <c r="F9" s="496"/>
      <c r="G9" s="496"/>
      <c r="H9" s="496"/>
      <c r="I9" s="496"/>
      <c r="J9" s="496"/>
      <c r="K9" s="496"/>
      <c r="L9" s="496"/>
      <c r="M9" s="496"/>
      <c r="N9" s="496"/>
      <c r="O9" s="496"/>
      <c r="P9" s="496"/>
      <c r="Q9" s="496"/>
      <c r="R9" s="496"/>
      <c r="S9" s="65"/>
      <c r="T9" s="65"/>
      <c r="U9" s="65"/>
      <c r="V9" s="65"/>
      <c r="W9" s="65"/>
      <c r="X9" s="65"/>
      <c r="Y9" s="65"/>
      <c r="Z9" s="65"/>
      <c r="AA9" s="65"/>
      <c r="AB9" s="65"/>
      <c r="AC9" s="65"/>
      <c r="AD9" s="65"/>
      <c r="AE9" s="65"/>
    </row>
    <row r="10" spans="1:31" ht="15">
      <c r="A10" s="65"/>
      <c r="B10" s="65"/>
      <c r="C10" s="65"/>
      <c r="D10" s="65"/>
      <c r="E10" s="65"/>
      <c r="F10" s="65"/>
      <c r="G10" s="65"/>
      <c r="H10" s="65"/>
      <c r="I10" s="65"/>
      <c r="K10" s="65"/>
      <c r="L10" s="65"/>
      <c r="M10" s="65"/>
      <c r="N10" s="65"/>
      <c r="O10" s="65"/>
      <c r="P10" s="65"/>
      <c r="Q10" s="65"/>
      <c r="R10" s="65"/>
      <c r="S10" s="65"/>
      <c r="T10" s="65"/>
      <c r="U10" s="65"/>
      <c r="V10" s="65"/>
      <c r="W10" s="65"/>
      <c r="X10" s="65"/>
      <c r="Y10" s="65"/>
      <c r="Z10" s="65"/>
      <c r="AA10" s="65"/>
      <c r="AB10" s="65"/>
      <c r="AC10" s="65"/>
      <c r="AD10" s="65"/>
      <c r="AE10" s="65"/>
    </row>
    <row r="11" spans="1:31" ht="15">
      <c r="A11" s="65"/>
      <c r="B11" s="65"/>
      <c r="C11" s="65"/>
      <c r="E11" s="65"/>
      <c r="F11" s="65"/>
      <c r="G11" s="65"/>
      <c r="H11" s="65"/>
      <c r="I11" s="65"/>
      <c r="J11" s="64" t="s">
        <v>106</v>
      </c>
      <c r="K11" s="64"/>
      <c r="L11" s="64"/>
      <c r="M11" s="65"/>
      <c r="O11" s="65"/>
      <c r="P11" s="65"/>
      <c r="Q11" s="65"/>
      <c r="R11" s="65"/>
      <c r="S11" s="65"/>
      <c r="T11" s="65"/>
      <c r="U11" s="65"/>
      <c r="V11" s="65"/>
      <c r="W11" s="65"/>
      <c r="X11" s="65"/>
      <c r="Y11" s="65"/>
      <c r="Z11" s="65"/>
      <c r="AA11" s="65"/>
      <c r="AB11" s="65"/>
      <c r="AC11" s="65"/>
      <c r="AD11" s="65"/>
      <c r="AE11" s="65"/>
    </row>
    <row r="12" spans="1:31" ht="15">
      <c r="A12" s="65"/>
      <c r="B12" s="65"/>
      <c r="C12" s="65"/>
      <c r="D12" s="64" t="s">
        <v>107</v>
      </c>
      <c r="E12" s="64"/>
      <c r="F12" s="64"/>
      <c r="G12" s="64"/>
      <c r="H12" s="64"/>
      <c r="I12" s="65"/>
      <c r="J12" s="64" t="s">
        <v>72</v>
      </c>
      <c r="K12" s="64"/>
      <c r="L12" s="64"/>
      <c r="M12" s="65"/>
      <c r="N12" s="64" t="s">
        <v>99</v>
      </c>
      <c r="O12" s="64"/>
      <c r="P12" s="64"/>
      <c r="Q12" s="65"/>
      <c r="R12" s="65"/>
      <c r="S12" s="65"/>
      <c r="T12" s="65"/>
      <c r="U12" s="65"/>
      <c r="V12" s="65"/>
      <c r="W12" s="65"/>
      <c r="X12" s="65"/>
      <c r="Y12" s="65"/>
      <c r="Z12" s="65"/>
      <c r="AA12" s="65"/>
      <c r="AB12" s="65"/>
      <c r="AC12" s="65"/>
      <c r="AD12" s="65"/>
      <c r="AE12" s="65"/>
    </row>
    <row r="13" spans="1:31" ht="15">
      <c r="A13" s="64" t="s">
        <v>100</v>
      </c>
      <c r="B13" s="64"/>
      <c r="C13" s="65"/>
      <c r="D13" s="67"/>
      <c r="E13" s="67"/>
      <c r="F13" s="67" t="s">
        <v>55</v>
      </c>
      <c r="G13" s="67"/>
      <c r="H13" s="67" t="s">
        <v>73</v>
      </c>
      <c r="I13" s="68"/>
      <c r="J13" s="67" t="s">
        <v>55</v>
      </c>
      <c r="K13" s="67"/>
      <c r="L13" s="67" t="s">
        <v>73</v>
      </c>
      <c r="M13" s="68"/>
      <c r="N13" s="67" t="s">
        <v>55</v>
      </c>
      <c r="O13" s="67"/>
      <c r="P13" s="67" t="s">
        <v>73</v>
      </c>
      <c r="Q13" s="68"/>
      <c r="R13" s="68" t="s">
        <v>55</v>
      </c>
      <c r="S13" s="65"/>
      <c r="T13" s="65"/>
      <c r="U13" s="65"/>
      <c r="V13" s="65"/>
      <c r="W13" s="65"/>
      <c r="X13" s="65"/>
      <c r="Y13" s="65"/>
      <c r="Z13" s="65"/>
      <c r="AA13" s="65"/>
      <c r="AB13" s="65"/>
      <c r="AC13" s="65"/>
      <c r="AD13" s="65"/>
      <c r="AE13" s="65"/>
    </row>
    <row r="14" spans="1:31" ht="15">
      <c r="A14" s="64" t="s">
        <v>56</v>
      </c>
      <c r="B14" s="64"/>
      <c r="C14" s="65"/>
      <c r="D14" s="68" t="s">
        <v>197</v>
      </c>
      <c r="E14" s="68"/>
      <c r="F14" s="68" t="s">
        <v>57</v>
      </c>
      <c r="G14" s="68"/>
      <c r="H14" s="68" t="s">
        <v>57</v>
      </c>
      <c r="I14" s="68"/>
      <c r="J14" s="68" t="s">
        <v>57</v>
      </c>
      <c r="K14" s="68"/>
      <c r="L14" s="68" t="s">
        <v>57</v>
      </c>
      <c r="M14" s="68"/>
      <c r="N14" s="68" t="s">
        <v>57</v>
      </c>
      <c r="O14" s="68"/>
      <c r="P14" s="68" t="s">
        <v>57</v>
      </c>
      <c r="Q14" s="68"/>
      <c r="R14" s="68" t="s">
        <v>57</v>
      </c>
      <c r="S14" s="65"/>
      <c r="T14" s="65"/>
      <c r="U14" s="65"/>
      <c r="V14" s="65"/>
      <c r="W14" s="65"/>
      <c r="X14" s="65"/>
      <c r="Y14" s="65"/>
      <c r="Z14" s="65"/>
      <c r="AA14" s="65"/>
      <c r="AB14" s="65"/>
      <c r="AC14" s="65"/>
      <c r="AD14" s="65"/>
      <c r="AE14" s="65"/>
    </row>
    <row r="15" spans="1:31" ht="15">
      <c r="A15" s="69" t="s">
        <v>58</v>
      </c>
      <c r="B15" s="69"/>
      <c r="C15" s="65"/>
      <c r="D15" s="67" t="s">
        <v>75</v>
      </c>
      <c r="E15" s="65"/>
      <c r="F15" s="67" t="s">
        <v>60</v>
      </c>
      <c r="G15" s="65"/>
      <c r="H15" s="70" t="s">
        <v>108</v>
      </c>
      <c r="I15" s="65"/>
      <c r="J15" s="67" t="s">
        <v>89</v>
      </c>
      <c r="K15" s="65"/>
      <c r="L15" s="70" t="s">
        <v>109</v>
      </c>
      <c r="M15" s="65"/>
      <c r="N15" s="67" t="s">
        <v>110</v>
      </c>
      <c r="O15" s="65"/>
      <c r="P15" s="70" t="s">
        <v>111</v>
      </c>
      <c r="Q15" s="65"/>
      <c r="R15" s="67" t="s">
        <v>112</v>
      </c>
      <c r="S15" s="65"/>
      <c r="T15" s="65"/>
      <c r="U15" s="65"/>
      <c r="V15" s="65"/>
      <c r="W15" s="65"/>
      <c r="X15" s="65"/>
      <c r="Y15" s="65"/>
      <c r="Z15" s="65"/>
      <c r="AA15" s="65"/>
      <c r="AB15" s="65"/>
      <c r="AC15" s="65"/>
      <c r="AD15" s="65"/>
      <c r="AE15" s="65"/>
    </row>
    <row r="16" spans="1:31" ht="15">
      <c r="A16" s="65"/>
      <c r="B16" s="65"/>
      <c r="C16" s="65"/>
      <c r="D16" s="65"/>
      <c r="E16" s="65"/>
      <c r="F16" s="65"/>
      <c r="G16" s="65"/>
      <c r="H16" s="71">
        <f>'F 5B'!$H$24</f>
        <v>0.3015</v>
      </c>
      <c r="I16" s="71"/>
      <c r="J16" s="71"/>
      <c r="K16" s="71"/>
      <c r="L16" s="71">
        <f>'F 5B'!$H$27</f>
        <v>0.4222</v>
      </c>
      <c r="M16" s="71"/>
      <c r="N16" s="71"/>
      <c r="O16" s="71"/>
      <c r="P16" s="71">
        <f>'F 5B'!$H$12</f>
        <v>0.2763</v>
      </c>
      <c r="Q16" s="71"/>
      <c r="R16" s="65"/>
      <c r="S16" s="65"/>
      <c r="T16" s="65"/>
      <c r="U16" s="65"/>
      <c r="V16" s="65"/>
      <c r="W16" s="65"/>
      <c r="X16" s="65"/>
      <c r="Y16" s="65"/>
      <c r="Z16" s="65"/>
      <c r="AA16" s="65"/>
      <c r="AB16" s="65"/>
      <c r="AC16" s="65"/>
      <c r="AD16" s="65"/>
      <c r="AE16" s="65"/>
    </row>
    <row r="17" spans="1:31" ht="15">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row>
    <row r="18" spans="1:31" ht="15">
      <c r="A18" s="2" t="s">
        <v>61</v>
      </c>
      <c r="B18" s="65"/>
      <c r="C18" s="65"/>
      <c r="D18" s="210">
        <f>ROUND(('F 1-2'!$G$16/24),1)</f>
        <v>656.7</v>
      </c>
      <c r="E18" s="65"/>
      <c r="F18" s="71">
        <f aca="true" t="shared" si="0" ref="F18:F23">ROUND(+D18/$D$25,4)</f>
        <v>0.5228</v>
      </c>
      <c r="G18" s="65"/>
      <c r="H18" s="72">
        <f aca="true" t="shared" si="1" ref="H18:H23">ROUND(F18*$H$16,4)</f>
        <v>0.1576</v>
      </c>
      <c r="I18" s="65"/>
      <c r="J18" s="71">
        <f>+'F 5B'!J38</f>
        <v>0.6348</v>
      </c>
      <c r="K18" s="65"/>
      <c r="L18" s="73">
        <f>ROUND(J18*$L$16,4)+0.0001</f>
        <v>0.2681</v>
      </c>
      <c r="M18" s="65"/>
      <c r="N18" s="71"/>
      <c r="O18" s="65"/>
      <c r="P18" s="71"/>
      <c r="Q18" s="65"/>
      <c r="R18" s="71">
        <f aca="true" t="shared" si="2" ref="R18:R23">H18+L18+P18</f>
        <v>0.42569999999999997</v>
      </c>
      <c r="S18" s="65"/>
      <c r="T18" s="71"/>
      <c r="U18" s="65"/>
      <c r="V18" s="65"/>
      <c r="W18" s="65"/>
      <c r="X18" s="65"/>
      <c r="Y18" s="65"/>
      <c r="Z18" s="65"/>
      <c r="AA18" s="65"/>
      <c r="AB18" s="65"/>
      <c r="AC18" s="65"/>
      <c r="AD18" s="65"/>
      <c r="AE18" s="65"/>
    </row>
    <row r="19" spans="1:31" ht="15">
      <c r="A19" s="2" t="s">
        <v>194</v>
      </c>
      <c r="B19" s="65"/>
      <c r="C19" s="65"/>
      <c r="D19" s="210">
        <f>ROUND(('F 1-2'!$G$17/24),1)</f>
        <v>327.4</v>
      </c>
      <c r="E19" s="65"/>
      <c r="F19" s="71">
        <f t="shared" si="0"/>
        <v>0.2606</v>
      </c>
      <c r="G19" s="65"/>
      <c r="H19" s="71">
        <f t="shared" si="1"/>
        <v>0.0786</v>
      </c>
      <c r="I19" s="65"/>
      <c r="J19" s="71">
        <f>+'F 5B'!J39</f>
        <v>0.2374</v>
      </c>
      <c r="K19" s="65"/>
      <c r="L19" s="71">
        <f>ROUND(J19*$L$16,4)</f>
        <v>0.1002</v>
      </c>
      <c r="M19" s="65"/>
      <c r="N19" s="65"/>
      <c r="O19" s="65"/>
      <c r="P19" s="65"/>
      <c r="Q19" s="65"/>
      <c r="R19" s="71">
        <f t="shared" si="2"/>
        <v>0.17880000000000001</v>
      </c>
      <c r="S19" s="65"/>
      <c r="T19" s="71"/>
      <c r="U19" s="65"/>
      <c r="V19" s="65"/>
      <c r="W19" s="65"/>
      <c r="X19" s="65"/>
      <c r="Y19" s="65"/>
      <c r="Z19" s="65"/>
      <c r="AA19" s="65"/>
      <c r="AB19" s="65"/>
      <c r="AC19" s="65"/>
      <c r="AD19" s="65"/>
      <c r="AE19" s="65"/>
    </row>
    <row r="20" spans="1:31" ht="15">
      <c r="A20" s="2" t="s">
        <v>63</v>
      </c>
      <c r="B20" s="65"/>
      <c r="C20" s="65"/>
      <c r="D20" s="210">
        <f>ROUND(('F 1-2'!$G$18/24),1)</f>
        <v>129.5</v>
      </c>
      <c r="E20" s="65"/>
      <c r="F20" s="71">
        <f t="shared" si="0"/>
        <v>0.1031</v>
      </c>
      <c r="G20" s="65"/>
      <c r="H20" s="71">
        <f t="shared" si="1"/>
        <v>0.0311</v>
      </c>
      <c r="I20" s="65"/>
      <c r="J20" s="71">
        <f>+'F 5B'!J40</f>
        <v>0.0626</v>
      </c>
      <c r="K20" s="65"/>
      <c r="L20" s="71">
        <f>ROUND(J20*$L$16,4)</f>
        <v>0.0264</v>
      </c>
      <c r="M20" s="65"/>
      <c r="N20" s="65"/>
      <c r="O20" s="65"/>
      <c r="P20" s="65"/>
      <c r="Q20" s="65"/>
      <c r="R20" s="71">
        <f t="shared" si="2"/>
        <v>0.057499999999999996</v>
      </c>
      <c r="S20" s="65"/>
      <c r="T20" s="71"/>
      <c r="U20" s="65"/>
      <c r="V20" s="65"/>
      <c r="W20" s="65"/>
      <c r="X20" s="65"/>
      <c r="Y20" s="65"/>
      <c r="Z20" s="65"/>
      <c r="AA20" s="65"/>
      <c r="AB20" s="65"/>
      <c r="AC20" s="65"/>
      <c r="AD20" s="65"/>
      <c r="AE20" s="65"/>
    </row>
    <row r="21" spans="1:31" ht="15">
      <c r="A21" s="2" t="s">
        <v>64</v>
      </c>
      <c r="B21" s="65"/>
      <c r="C21" s="65"/>
      <c r="D21" s="210">
        <f>ROUND(('F 1-2'!$G$19/24),1)</f>
        <v>73.4</v>
      </c>
      <c r="E21" s="65"/>
      <c r="F21" s="71">
        <f t="shared" si="0"/>
        <v>0.0584</v>
      </c>
      <c r="G21" s="65"/>
      <c r="H21" s="71">
        <f t="shared" si="1"/>
        <v>0.0176</v>
      </c>
      <c r="I21" s="65"/>
      <c r="J21" s="71">
        <f>+'F 5B'!J41</f>
        <v>0.0355</v>
      </c>
      <c r="K21" s="65"/>
      <c r="L21" s="71">
        <f>ROUND(J21*$L$16,4)</f>
        <v>0.015</v>
      </c>
      <c r="M21" s="65"/>
      <c r="N21" s="65"/>
      <c r="O21" s="65"/>
      <c r="P21" s="65"/>
      <c r="Q21" s="65"/>
      <c r="R21" s="71">
        <f t="shared" si="2"/>
        <v>0.032600000000000004</v>
      </c>
      <c r="S21" s="65"/>
      <c r="T21" s="71"/>
      <c r="U21" s="65"/>
      <c r="V21" s="65"/>
      <c r="W21" s="65"/>
      <c r="X21" s="65"/>
      <c r="Y21" s="65"/>
      <c r="Z21" s="65"/>
      <c r="AA21" s="65"/>
      <c r="AB21" s="65"/>
      <c r="AC21" s="65"/>
      <c r="AD21" s="65"/>
      <c r="AE21" s="65"/>
    </row>
    <row r="22" spans="1:31" ht="15">
      <c r="A22" s="2" t="s">
        <v>427</v>
      </c>
      <c r="B22" s="65"/>
      <c r="C22" s="65"/>
      <c r="D22" s="210">
        <f>ROUND(('F 1-2'!$G$20/24),1)</f>
        <v>61.5</v>
      </c>
      <c r="E22" s="65"/>
      <c r="F22" s="71">
        <f t="shared" si="0"/>
        <v>0.049</v>
      </c>
      <c r="G22" s="65"/>
      <c r="H22" s="71">
        <f t="shared" si="1"/>
        <v>0.0148</v>
      </c>
      <c r="I22" s="65"/>
      <c r="J22" s="71">
        <f>+'F 5B'!J42</f>
        <v>0.0297</v>
      </c>
      <c r="K22" s="65"/>
      <c r="L22" s="71">
        <f>ROUND(J22*$L$16,4)</f>
        <v>0.0125</v>
      </c>
      <c r="M22" s="65"/>
      <c r="N22" s="65"/>
      <c r="O22" s="65"/>
      <c r="P22" s="65"/>
      <c r="Q22" s="65"/>
      <c r="R22" s="71">
        <f t="shared" si="2"/>
        <v>0.0273</v>
      </c>
      <c r="S22" s="65"/>
      <c r="T22" s="71"/>
      <c r="U22" s="65"/>
      <c r="V22" s="65"/>
      <c r="W22" s="65"/>
      <c r="X22" s="65"/>
      <c r="Y22" s="65"/>
      <c r="Z22" s="65"/>
      <c r="AA22" s="65"/>
      <c r="AB22" s="65"/>
      <c r="AC22" s="65"/>
      <c r="AD22" s="65"/>
      <c r="AE22" s="65"/>
    </row>
    <row r="23" spans="1:31" ht="15">
      <c r="A23" s="65" t="s">
        <v>99</v>
      </c>
      <c r="B23" s="65"/>
      <c r="C23" s="65"/>
      <c r="D23" s="210">
        <f>ROUND(('F 1-2'!$G$22/24),1)</f>
        <v>7.6</v>
      </c>
      <c r="E23" s="65"/>
      <c r="F23" s="71">
        <f t="shared" si="0"/>
        <v>0.0061</v>
      </c>
      <c r="G23" s="65"/>
      <c r="H23" s="71">
        <f t="shared" si="1"/>
        <v>0.0018</v>
      </c>
      <c r="I23" s="65"/>
      <c r="J23" s="65"/>
      <c r="K23" s="65"/>
      <c r="L23" s="65"/>
      <c r="M23" s="65"/>
      <c r="N23" s="71">
        <v>1</v>
      </c>
      <c r="O23" s="65"/>
      <c r="P23" s="71">
        <f>ROUND(N23*$P$16,4)</f>
        <v>0.2763</v>
      </c>
      <c r="Q23" s="65"/>
      <c r="R23" s="71">
        <f t="shared" si="2"/>
        <v>0.2781</v>
      </c>
      <c r="S23" s="65"/>
      <c r="T23" s="71"/>
      <c r="U23" s="65"/>
      <c r="V23" s="65"/>
      <c r="W23" s="65"/>
      <c r="X23" s="65"/>
      <c r="Y23" s="65"/>
      <c r="Z23" s="65"/>
      <c r="AA23" s="65"/>
      <c r="AB23" s="65"/>
      <c r="AC23" s="65"/>
      <c r="AD23" s="65"/>
      <c r="AE23" s="65"/>
    </row>
    <row r="24" spans="1:31" ht="15">
      <c r="A24" s="65"/>
      <c r="B24" s="65"/>
      <c r="C24" s="65"/>
      <c r="D24" s="211"/>
      <c r="E24" s="65"/>
      <c r="F24" s="74"/>
      <c r="G24" s="65"/>
      <c r="H24" s="74"/>
      <c r="I24" s="65"/>
      <c r="J24" s="74"/>
      <c r="K24" s="65"/>
      <c r="L24" s="74"/>
      <c r="M24" s="65"/>
      <c r="N24" s="74"/>
      <c r="O24" s="65"/>
      <c r="P24" s="74"/>
      <c r="Q24" s="65"/>
      <c r="R24" s="74"/>
      <c r="S24" s="65"/>
      <c r="T24" s="65"/>
      <c r="U24" s="65"/>
      <c r="V24" s="65"/>
      <c r="W24" s="65"/>
      <c r="X24" s="65"/>
      <c r="Y24" s="65"/>
      <c r="Z24" s="65"/>
      <c r="AA24" s="65"/>
      <c r="AB24" s="65"/>
      <c r="AC24" s="65"/>
      <c r="AD24" s="65"/>
      <c r="AE24" s="65"/>
    </row>
    <row r="25" spans="1:31" ht="15.75" thickBot="1">
      <c r="A25" s="65" t="s">
        <v>66</v>
      </c>
      <c r="B25" s="65"/>
      <c r="C25" s="65"/>
      <c r="D25" s="213">
        <f>SUM(D18:D24)</f>
        <v>1256.1</v>
      </c>
      <c r="E25" s="65"/>
      <c r="F25" s="71">
        <f>SUM(F18:F24)</f>
        <v>1.0000000000000002</v>
      </c>
      <c r="G25" s="65"/>
      <c r="H25" s="71">
        <f>SUM(H18:H24)</f>
        <v>0.3015</v>
      </c>
      <c r="I25" s="65"/>
      <c r="J25" s="71">
        <f>SUM(J18:J24)</f>
        <v>1</v>
      </c>
      <c r="K25" s="65"/>
      <c r="L25" s="71">
        <f>SUM(L18:L24)</f>
        <v>0.4222</v>
      </c>
      <c r="M25" s="65"/>
      <c r="N25" s="71">
        <f>SUM(N18:N24)</f>
        <v>1</v>
      </c>
      <c r="O25" s="65"/>
      <c r="P25" s="71">
        <f>SUM(P18:P24)</f>
        <v>0.2763</v>
      </c>
      <c r="Q25" s="65"/>
      <c r="R25" s="71">
        <f>SUM(R18:R24)</f>
        <v>1</v>
      </c>
      <c r="S25" s="65"/>
      <c r="T25" s="65"/>
      <c r="U25" s="65"/>
      <c r="V25" s="65"/>
      <c r="W25" s="65"/>
      <c r="X25" s="65"/>
      <c r="Y25" s="65"/>
      <c r="Z25" s="65"/>
      <c r="AA25" s="65"/>
      <c r="AB25" s="65"/>
      <c r="AC25" s="65"/>
      <c r="AD25" s="65"/>
      <c r="AE25" s="65"/>
    </row>
    <row r="26" spans="1:31" ht="15.75" thickTop="1">
      <c r="A26" s="65"/>
      <c r="B26" s="65"/>
      <c r="C26" s="65"/>
      <c r="D26" s="212"/>
      <c r="E26" s="65"/>
      <c r="F26" s="75"/>
      <c r="G26" s="65"/>
      <c r="H26" s="75"/>
      <c r="I26" s="65"/>
      <c r="J26" s="75"/>
      <c r="K26" s="65"/>
      <c r="L26" s="75"/>
      <c r="M26" s="65"/>
      <c r="N26" s="75"/>
      <c r="O26" s="65"/>
      <c r="P26" s="75"/>
      <c r="Q26" s="65"/>
      <c r="R26" s="75"/>
      <c r="S26" s="65"/>
      <c r="T26" s="65"/>
      <c r="U26" s="65"/>
      <c r="V26" s="65"/>
      <c r="W26" s="65"/>
      <c r="X26" s="65"/>
      <c r="Y26" s="65"/>
      <c r="Z26" s="65"/>
      <c r="AA26" s="65"/>
      <c r="AB26" s="65"/>
      <c r="AC26" s="65"/>
      <c r="AD26" s="65"/>
      <c r="AE26" s="65"/>
    </row>
    <row r="27" spans="1:31" ht="1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row>
    <row r="28" spans="1:31" ht="27" customHeight="1">
      <c r="A28" s="496" t="s">
        <v>294</v>
      </c>
      <c r="B28" s="496"/>
      <c r="C28" s="496"/>
      <c r="D28" s="496"/>
      <c r="E28" s="496"/>
      <c r="F28" s="496"/>
      <c r="G28" s="496"/>
      <c r="H28" s="496"/>
      <c r="I28" s="496"/>
      <c r="J28" s="496"/>
      <c r="K28" s="496"/>
      <c r="L28" s="496"/>
      <c r="M28" s="496"/>
      <c r="N28" s="496"/>
      <c r="O28" s="496"/>
      <c r="P28" s="496"/>
      <c r="Q28" s="496"/>
      <c r="R28" s="496"/>
      <c r="S28" s="65"/>
      <c r="T28" s="65"/>
      <c r="U28" s="65"/>
      <c r="V28" s="65"/>
      <c r="W28" s="65"/>
      <c r="X28" s="65"/>
      <c r="Y28" s="65"/>
      <c r="Z28" s="65"/>
      <c r="AA28" s="65"/>
      <c r="AB28" s="65"/>
      <c r="AC28" s="65"/>
      <c r="AD28" s="65"/>
      <c r="AE28" s="65"/>
    </row>
    <row r="29" spans="1:31" ht="15">
      <c r="A29" s="65"/>
      <c r="B29" s="65"/>
      <c r="C29" s="65"/>
      <c r="D29" s="65"/>
      <c r="E29" s="65"/>
      <c r="F29" s="65"/>
      <c r="G29" s="65"/>
      <c r="H29" s="65"/>
      <c r="I29" s="65"/>
      <c r="J29" s="65"/>
      <c r="K29" s="65"/>
      <c r="L29" s="65"/>
      <c r="M29" s="65"/>
      <c r="N29" s="65"/>
      <c r="O29" s="65"/>
      <c r="P29" s="65"/>
      <c r="Q29" s="65"/>
      <c r="R29" s="65"/>
      <c r="S29" s="65"/>
      <c r="T29" s="65"/>
      <c r="U29" s="76"/>
      <c r="V29" s="65"/>
      <c r="W29" s="65"/>
      <c r="X29" s="65"/>
      <c r="Y29" s="65"/>
      <c r="Z29" s="65"/>
      <c r="AA29" s="65"/>
      <c r="AB29" s="65"/>
      <c r="AC29" s="65"/>
      <c r="AD29" s="65"/>
      <c r="AE29" s="65"/>
    </row>
    <row r="30" spans="1:31" ht="1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row>
    <row r="31" spans="1:31" ht="15">
      <c r="A31" s="65"/>
      <c r="B31" s="65"/>
      <c r="C31" s="65"/>
      <c r="D31" s="65"/>
      <c r="E31" s="65"/>
      <c r="F31" s="65"/>
      <c r="G31" s="65"/>
      <c r="H31" s="65"/>
      <c r="I31" s="65"/>
      <c r="J31" s="65"/>
      <c r="K31" s="65"/>
      <c r="L31" s="65"/>
      <c r="M31" s="65"/>
      <c r="N31" s="65"/>
      <c r="O31" s="65"/>
      <c r="P31" s="65"/>
      <c r="Q31" s="65"/>
      <c r="R31" s="65"/>
      <c r="S31" s="65"/>
      <c r="T31" s="65"/>
      <c r="AE31" s="65"/>
    </row>
    <row r="32" spans="1:31" ht="15">
      <c r="A32" s="65"/>
      <c r="B32" s="65"/>
      <c r="C32" s="65"/>
      <c r="D32" s="65"/>
      <c r="E32" s="65"/>
      <c r="F32" s="65"/>
      <c r="G32" s="65"/>
      <c r="H32" s="65"/>
      <c r="I32" s="65"/>
      <c r="J32" s="65"/>
      <c r="K32" s="65"/>
      <c r="L32" s="65"/>
      <c r="M32" s="65"/>
      <c r="N32" s="65"/>
      <c r="O32" s="65"/>
      <c r="P32" s="65"/>
      <c r="Q32" s="65"/>
      <c r="R32" s="65"/>
      <c r="S32" s="65"/>
      <c r="T32" s="65"/>
      <c r="AE32" s="65"/>
    </row>
    <row r="33" spans="1:31" ht="15">
      <c r="A33" s="65"/>
      <c r="B33" s="65"/>
      <c r="C33" s="65"/>
      <c r="D33" s="65"/>
      <c r="E33" s="65"/>
      <c r="F33" s="65"/>
      <c r="G33" s="65"/>
      <c r="H33" s="65"/>
      <c r="I33" s="65"/>
      <c r="J33" s="65"/>
      <c r="K33" s="65"/>
      <c r="L33" s="65"/>
      <c r="M33" s="65"/>
      <c r="N33" s="65"/>
      <c r="O33" s="65"/>
      <c r="P33" s="65"/>
      <c r="Q33" s="65"/>
      <c r="R33" s="65"/>
      <c r="S33" s="65"/>
      <c r="T33" s="65"/>
      <c r="AE33" s="65"/>
    </row>
    <row r="34" spans="1:31" ht="15">
      <c r="A34" s="65"/>
      <c r="B34" s="65"/>
      <c r="C34" s="65"/>
      <c r="D34" s="65"/>
      <c r="E34" s="65"/>
      <c r="F34" s="65"/>
      <c r="G34" s="65"/>
      <c r="H34" s="65"/>
      <c r="I34" s="65"/>
      <c r="J34" s="65"/>
      <c r="K34" s="65"/>
      <c r="L34" s="65"/>
      <c r="M34" s="65"/>
      <c r="N34" s="65"/>
      <c r="O34" s="65"/>
      <c r="P34" s="65"/>
      <c r="Q34" s="65"/>
      <c r="R34" s="65"/>
      <c r="S34" s="65"/>
      <c r="T34" s="65"/>
      <c r="AE34" s="65"/>
    </row>
    <row r="35" spans="1:31" ht="15">
      <c r="A35" s="65"/>
      <c r="B35" s="65"/>
      <c r="C35" s="65"/>
      <c r="D35" s="65"/>
      <c r="E35" s="65"/>
      <c r="F35" s="65"/>
      <c r="G35" s="65"/>
      <c r="H35" s="65"/>
      <c r="I35" s="65"/>
      <c r="J35" s="65"/>
      <c r="K35" s="65"/>
      <c r="L35" s="65"/>
      <c r="M35" s="65"/>
      <c r="N35" s="65"/>
      <c r="O35" s="65"/>
      <c r="P35" s="65"/>
      <c r="Q35" s="65"/>
      <c r="R35" s="65"/>
      <c r="S35" s="65"/>
      <c r="T35" s="65"/>
      <c r="AE35" s="65"/>
    </row>
    <row r="36" spans="1:31" ht="15">
      <c r="A36" s="65"/>
      <c r="B36" s="65"/>
      <c r="C36" s="65"/>
      <c r="D36" s="65"/>
      <c r="E36" s="65"/>
      <c r="F36" s="65"/>
      <c r="G36" s="65"/>
      <c r="H36" s="65"/>
      <c r="I36" s="65"/>
      <c r="J36" s="65"/>
      <c r="K36" s="65"/>
      <c r="L36" s="65"/>
      <c r="M36" s="65"/>
      <c r="N36" s="65"/>
      <c r="O36" s="65"/>
      <c r="P36" s="65"/>
      <c r="Q36" s="65"/>
      <c r="R36" s="65"/>
      <c r="S36" s="65"/>
      <c r="T36" s="65"/>
      <c r="AE36" s="65"/>
    </row>
    <row r="37" spans="1:31" ht="15">
      <c r="A37" s="65"/>
      <c r="B37" s="65"/>
      <c r="C37" s="65"/>
      <c r="D37" s="65"/>
      <c r="E37" s="65"/>
      <c r="F37" s="65"/>
      <c r="G37" s="65"/>
      <c r="H37" s="65"/>
      <c r="I37" s="65"/>
      <c r="J37" s="65"/>
      <c r="K37" s="65"/>
      <c r="L37" s="65"/>
      <c r="M37" s="65"/>
      <c r="N37" s="65"/>
      <c r="O37" s="65"/>
      <c r="P37" s="65"/>
      <c r="Q37" s="65"/>
      <c r="R37" s="65"/>
      <c r="S37" s="65"/>
      <c r="T37" s="65"/>
      <c r="AE37" s="65"/>
    </row>
    <row r="38" spans="1:31" ht="15">
      <c r="A38" s="65"/>
      <c r="B38" s="65"/>
      <c r="C38" s="65"/>
      <c r="D38" s="65"/>
      <c r="E38" s="65"/>
      <c r="F38" s="65"/>
      <c r="G38" s="65"/>
      <c r="H38" s="65"/>
      <c r="I38" s="65"/>
      <c r="J38" s="65"/>
      <c r="K38" s="65"/>
      <c r="L38" s="65"/>
      <c r="M38" s="65"/>
      <c r="N38" s="65"/>
      <c r="O38" s="65"/>
      <c r="P38" s="65"/>
      <c r="Q38" s="65"/>
      <c r="R38" s="65"/>
      <c r="S38" s="65"/>
      <c r="T38" s="65"/>
      <c r="AE38" s="65"/>
    </row>
    <row r="39" spans="1:31" ht="15">
      <c r="A39" s="65"/>
      <c r="B39" s="65"/>
      <c r="C39" s="65"/>
      <c r="D39" s="65"/>
      <c r="E39" s="65"/>
      <c r="F39" s="65"/>
      <c r="G39" s="65"/>
      <c r="H39" s="65"/>
      <c r="I39" s="65"/>
      <c r="J39" s="65"/>
      <c r="K39" s="65"/>
      <c r="L39" s="65"/>
      <c r="M39" s="65"/>
      <c r="N39" s="65"/>
      <c r="O39" s="65"/>
      <c r="P39" s="65"/>
      <c r="Q39" s="65"/>
      <c r="R39" s="65"/>
      <c r="S39" s="65"/>
      <c r="T39" s="65"/>
      <c r="AE39" s="65"/>
    </row>
    <row r="40" spans="1:31" ht="15">
      <c r="A40" s="65"/>
      <c r="B40" s="65"/>
      <c r="C40" s="65"/>
      <c r="D40" s="65"/>
      <c r="E40" s="65"/>
      <c r="F40" s="65"/>
      <c r="G40" s="65"/>
      <c r="H40" s="65"/>
      <c r="I40" s="65"/>
      <c r="J40" s="65"/>
      <c r="K40" s="65"/>
      <c r="L40" s="65"/>
      <c r="M40" s="65"/>
      <c r="N40" s="65"/>
      <c r="O40" s="65"/>
      <c r="P40" s="65"/>
      <c r="Q40" s="65"/>
      <c r="R40" s="65"/>
      <c r="S40" s="65"/>
      <c r="T40" s="65"/>
      <c r="AE40" s="65"/>
    </row>
    <row r="41" spans="1:31" ht="15">
      <c r="A41" s="65"/>
      <c r="B41" s="65"/>
      <c r="C41" s="65"/>
      <c r="D41" s="65"/>
      <c r="E41" s="65"/>
      <c r="F41" s="65"/>
      <c r="G41" s="65"/>
      <c r="H41" s="65"/>
      <c r="I41" s="65"/>
      <c r="J41" s="65"/>
      <c r="K41" s="65"/>
      <c r="L41" s="65"/>
      <c r="M41" s="65"/>
      <c r="N41" s="65"/>
      <c r="O41" s="65"/>
      <c r="P41" s="65"/>
      <c r="Q41" s="65"/>
      <c r="R41" s="65"/>
      <c r="S41" s="65"/>
      <c r="T41" s="65"/>
      <c r="AE41" s="65"/>
    </row>
    <row r="42" spans="1:31" ht="15">
      <c r="A42" s="65"/>
      <c r="B42" s="65"/>
      <c r="C42" s="65"/>
      <c r="D42" s="65"/>
      <c r="E42" s="65"/>
      <c r="F42" s="65"/>
      <c r="G42" s="65"/>
      <c r="H42" s="65"/>
      <c r="I42" s="65"/>
      <c r="J42" s="65"/>
      <c r="K42" s="65"/>
      <c r="L42" s="65"/>
      <c r="M42" s="65"/>
      <c r="N42" s="65"/>
      <c r="O42" s="65"/>
      <c r="P42" s="65"/>
      <c r="Q42" s="65"/>
      <c r="R42" s="65"/>
      <c r="S42" s="65"/>
      <c r="T42" s="65"/>
      <c r="AE42" s="65"/>
    </row>
    <row r="43" spans="1:31" ht="15">
      <c r="A43" s="65"/>
      <c r="B43" s="65"/>
      <c r="C43" s="65"/>
      <c r="D43" s="65"/>
      <c r="E43" s="65"/>
      <c r="F43" s="65"/>
      <c r="G43" s="65"/>
      <c r="H43" s="65"/>
      <c r="I43" s="65"/>
      <c r="J43" s="65"/>
      <c r="K43" s="65"/>
      <c r="L43" s="65"/>
      <c r="M43" s="65"/>
      <c r="N43" s="65"/>
      <c r="O43" s="65"/>
      <c r="P43" s="65"/>
      <c r="Q43" s="65"/>
      <c r="R43" s="65"/>
      <c r="S43" s="65"/>
      <c r="T43" s="65"/>
      <c r="AE43" s="65"/>
    </row>
    <row r="44" spans="1:31" ht="15">
      <c r="A44" s="65"/>
      <c r="B44" s="65"/>
      <c r="C44" s="65"/>
      <c r="D44" s="65"/>
      <c r="E44" s="65"/>
      <c r="F44" s="65"/>
      <c r="G44" s="65"/>
      <c r="H44" s="65"/>
      <c r="I44" s="65"/>
      <c r="J44" s="65"/>
      <c r="K44" s="65"/>
      <c r="L44" s="65"/>
      <c r="M44" s="65"/>
      <c r="N44" s="65"/>
      <c r="O44" s="65"/>
      <c r="P44" s="65"/>
      <c r="Q44" s="65"/>
      <c r="R44" s="65"/>
      <c r="S44" s="65"/>
      <c r="T44" s="65"/>
      <c r="AE44" s="65"/>
    </row>
    <row r="45" spans="1:31" ht="15">
      <c r="A45" s="65"/>
      <c r="B45" s="65"/>
      <c r="C45" s="65"/>
      <c r="D45" s="65"/>
      <c r="E45" s="65"/>
      <c r="F45" s="65"/>
      <c r="G45" s="65"/>
      <c r="H45" s="65"/>
      <c r="I45" s="65"/>
      <c r="J45" s="65"/>
      <c r="K45" s="65"/>
      <c r="L45" s="65"/>
      <c r="M45" s="65"/>
      <c r="N45" s="65"/>
      <c r="O45" s="65"/>
      <c r="P45" s="65"/>
      <c r="Q45" s="65"/>
      <c r="R45" s="65"/>
      <c r="S45" s="65"/>
      <c r="T45" s="65"/>
      <c r="AE45" s="65"/>
    </row>
    <row r="46" spans="1:31" ht="15">
      <c r="A46" s="65"/>
      <c r="B46" s="65"/>
      <c r="C46" s="65"/>
      <c r="D46" s="65"/>
      <c r="E46" s="65"/>
      <c r="F46" s="65"/>
      <c r="G46" s="65"/>
      <c r="H46" s="65"/>
      <c r="I46" s="65"/>
      <c r="J46" s="65"/>
      <c r="K46" s="65"/>
      <c r="L46" s="65"/>
      <c r="M46" s="65"/>
      <c r="N46" s="65"/>
      <c r="O46" s="65"/>
      <c r="P46" s="65"/>
      <c r="Q46" s="65"/>
      <c r="R46" s="65"/>
      <c r="S46" s="65"/>
      <c r="T46" s="65"/>
      <c r="AE46" s="65"/>
    </row>
    <row r="47" spans="1:31" ht="15">
      <c r="A47" s="65"/>
      <c r="B47" s="65"/>
      <c r="C47" s="65"/>
      <c r="D47" s="65"/>
      <c r="E47" s="65"/>
      <c r="F47" s="65"/>
      <c r="G47" s="65"/>
      <c r="H47" s="65"/>
      <c r="I47" s="65"/>
      <c r="J47" s="65"/>
      <c r="K47" s="65"/>
      <c r="L47" s="65"/>
      <c r="M47" s="65"/>
      <c r="N47" s="65"/>
      <c r="O47" s="65"/>
      <c r="P47" s="65"/>
      <c r="Q47" s="65"/>
      <c r="R47" s="65"/>
      <c r="S47" s="65"/>
      <c r="T47" s="65"/>
      <c r="AE47" s="65"/>
    </row>
    <row r="48" spans="1:31" ht="15">
      <c r="A48" s="65"/>
      <c r="B48" s="65"/>
      <c r="C48" s="65"/>
      <c r="D48" s="65"/>
      <c r="E48" s="65"/>
      <c r="F48" s="65"/>
      <c r="G48" s="65"/>
      <c r="H48" s="65"/>
      <c r="I48" s="65"/>
      <c r="J48" s="65"/>
      <c r="K48" s="65"/>
      <c r="L48" s="65"/>
      <c r="M48" s="65"/>
      <c r="N48" s="65"/>
      <c r="O48" s="65"/>
      <c r="P48" s="65"/>
      <c r="Q48" s="65"/>
      <c r="R48" s="65"/>
      <c r="S48" s="65"/>
      <c r="T48" s="65"/>
      <c r="AE48" s="65"/>
    </row>
    <row r="49" spans="1:31" ht="15">
      <c r="A49" s="65"/>
      <c r="B49" s="65"/>
      <c r="C49" s="65"/>
      <c r="D49" s="65"/>
      <c r="E49" s="65"/>
      <c r="F49" s="65"/>
      <c r="G49" s="65"/>
      <c r="H49" s="65"/>
      <c r="I49" s="65"/>
      <c r="J49" s="65"/>
      <c r="K49" s="65"/>
      <c r="L49" s="65"/>
      <c r="M49" s="65"/>
      <c r="N49" s="65"/>
      <c r="O49" s="65"/>
      <c r="P49" s="65"/>
      <c r="Q49" s="65"/>
      <c r="R49" s="65"/>
      <c r="S49" s="65"/>
      <c r="T49" s="65"/>
      <c r="AE49" s="65"/>
    </row>
    <row r="50" spans="1:31" ht="15">
      <c r="A50" s="65"/>
      <c r="B50" s="65"/>
      <c r="C50" s="65"/>
      <c r="D50" s="65"/>
      <c r="E50" s="65"/>
      <c r="F50" s="65"/>
      <c r="G50" s="65"/>
      <c r="H50" s="65"/>
      <c r="I50" s="65"/>
      <c r="J50" s="65"/>
      <c r="K50" s="65"/>
      <c r="L50" s="65"/>
      <c r="M50" s="65"/>
      <c r="N50" s="65"/>
      <c r="O50" s="65"/>
      <c r="P50" s="65"/>
      <c r="Q50" s="65"/>
      <c r="R50" s="65"/>
      <c r="S50" s="65"/>
      <c r="T50" s="65"/>
      <c r="AE50" s="65"/>
    </row>
    <row r="51" spans="1:31" ht="15">
      <c r="A51" s="65"/>
      <c r="B51" s="65"/>
      <c r="C51" s="65"/>
      <c r="D51" s="65"/>
      <c r="E51" s="65"/>
      <c r="F51" s="65"/>
      <c r="G51" s="65"/>
      <c r="H51" s="65"/>
      <c r="I51" s="65"/>
      <c r="J51" s="65"/>
      <c r="K51" s="65"/>
      <c r="L51" s="65"/>
      <c r="M51" s="65"/>
      <c r="N51" s="65"/>
      <c r="O51" s="65"/>
      <c r="P51" s="65"/>
      <c r="Q51" s="65"/>
      <c r="R51" s="65"/>
      <c r="S51" s="65"/>
      <c r="T51" s="65"/>
      <c r="AE51" s="65"/>
    </row>
    <row r="52" spans="1:31" ht="15">
      <c r="A52" s="65"/>
      <c r="B52" s="65"/>
      <c r="C52" s="65"/>
      <c r="D52" s="65"/>
      <c r="E52" s="65"/>
      <c r="F52" s="65"/>
      <c r="G52" s="65"/>
      <c r="H52" s="65"/>
      <c r="I52" s="65"/>
      <c r="J52" s="65"/>
      <c r="K52" s="65"/>
      <c r="L52" s="65"/>
      <c r="M52" s="65"/>
      <c r="N52" s="65"/>
      <c r="O52" s="65"/>
      <c r="P52" s="65"/>
      <c r="Q52" s="65"/>
      <c r="R52" s="65"/>
      <c r="S52" s="65"/>
      <c r="T52" s="65"/>
      <c r="AE52" s="65"/>
    </row>
    <row r="53" spans="1:31" ht="15">
      <c r="A53" s="65"/>
      <c r="B53" s="65"/>
      <c r="C53" s="65"/>
      <c r="D53" s="65"/>
      <c r="E53" s="65"/>
      <c r="F53" s="65"/>
      <c r="G53" s="65"/>
      <c r="H53" s="65"/>
      <c r="I53" s="65"/>
      <c r="J53" s="65"/>
      <c r="K53" s="65"/>
      <c r="L53" s="65"/>
      <c r="M53" s="65"/>
      <c r="N53" s="65"/>
      <c r="O53" s="65"/>
      <c r="P53" s="65"/>
      <c r="Q53" s="65"/>
      <c r="R53" s="65"/>
      <c r="S53" s="65"/>
      <c r="T53" s="65"/>
      <c r="AE53" s="65"/>
    </row>
    <row r="54" spans="1:31" ht="15">
      <c r="A54" s="65"/>
      <c r="B54" s="65"/>
      <c r="C54" s="65"/>
      <c r="D54" s="65"/>
      <c r="E54" s="65"/>
      <c r="F54" s="65"/>
      <c r="G54" s="65"/>
      <c r="H54" s="65"/>
      <c r="I54" s="65"/>
      <c r="J54" s="65"/>
      <c r="K54" s="65"/>
      <c r="L54" s="65"/>
      <c r="M54" s="65"/>
      <c r="N54" s="65"/>
      <c r="O54" s="65"/>
      <c r="P54" s="65"/>
      <c r="Q54" s="65"/>
      <c r="R54" s="65"/>
      <c r="S54" s="65"/>
      <c r="T54" s="65"/>
      <c r="AE54" s="65"/>
    </row>
    <row r="55" spans="1:31" ht="15">
      <c r="A55" s="65"/>
      <c r="B55" s="65"/>
      <c r="C55" s="65"/>
      <c r="D55" s="65"/>
      <c r="E55" s="65"/>
      <c r="F55" s="65"/>
      <c r="G55" s="65"/>
      <c r="H55" s="65"/>
      <c r="I55" s="65"/>
      <c r="J55" s="65"/>
      <c r="K55" s="65"/>
      <c r="L55" s="65"/>
      <c r="M55" s="65"/>
      <c r="N55" s="65"/>
      <c r="O55" s="65"/>
      <c r="P55" s="65"/>
      <c r="Q55" s="65"/>
      <c r="R55" s="65"/>
      <c r="S55" s="65"/>
      <c r="T55" s="65"/>
      <c r="AE55" s="65"/>
    </row>
    <row r="56" spans="1:31" ht="15">
      <c r="A56" s="65"/>
      <c r="B56" s="65"/>
      <c r="C56" s="65"/>
      <c r="D56" s="65"/>
      <c r="E56" s="65"/>
      <c r="F56" s="65"/>
      <c r="G56" s="65"/>
      <c r="H56" s="65"/>
      <c r="I56" s="65"/>
      <c r="J56" s="65"/>
      <c r="K56" s="65"/>
      <c r="L56" s="65"/>
      <c r="M56" s="65"/>
      <c r="N56" s="65"/>
      <c r="O56" s="65"/>
      <c r="P56" s="65"/>
      <c r="Q56" s="65"/>
      <c r="R56" s="65"/>
      <c r="S56" s="65"/>
      <c r="T56" s="65"/>
      <c r="AE56" s="65"/>
    </row>
    <row r="57" spans="1:31" ht="15">
      <c r="A57" s="65"/>
      <c r="B57" s="65"/>
      <c r="C57" s="65"/>
      <c r="D57" s="65"/>
      <c r="E57" s="65"/>
      <c r="F57" s="65"/>
      <c r="G57" s="65"/>
      <c r="H57" s="65"/>
      <c r="I57" s="65"/>
      <c r="J57" s="65"/>
      <c r="K57" s="65"/>
      <c r="L57" s="65"/>
      <c r="M57" s="65"/>
      <c r="N57" s="65"/>
      <c r="O57" s="65"/>
      <c r="P57" s="65"/>
      <c r="Q57" s="65"/>
      <c r="R57" s="65"/>
      <c r="S57" s="65"/>
      <c r="T57" s="65"/>
      <c r="AE57" s="65"/>
    </row>
    <row r="58" spans="1:31" ht="15">
      <c r="A58" s="65"/>
      <c r="B58" s="65"/>
      <c r="C58" s="65"/>
      <c r="D58" s="65"/>
      <c r="E58" s="65"/>
      <c r="F58" s="65"/>
      <c r="G58" s="65"/>
      <c r="H58" s="65"/>
      <c r="I58" s="65"/>
      <c r="J58" s="65"/>
      <c r="K58" s="65"/>
      <c r="L58" s="65"/>
      <c r="M58" s="65"/>
      <c r="N58" s="65"/>
      <c r="O58" s="65"/>
      <c r="P58" s="65"/>
      <c r="Q58" s="65"/>
      <c r="R58" s="65"/>
      <c r="S58" s="65"/>
      <c r="T58" s="65"/>
      <c r="AE58" s="65"/>
    </row>
    <row r="59" spans="1:31" ht="15">
      <c r="A59" s="65"/>
      <c r="B59" s="65"/>
      <c r="C59" s="65"/>
      <c r="D59" s="65"/>
      <c r="E59" s="65"/>
      <c r="F59" s="65"/>
      <c r="G59" s="65"/>
      <c r="H59" s="65"/>
      <c r="I59" s="65"/>
      <c r="J59" s="65"/>
      <c r="K59" s="65"/>
      <c r="L59" s="65"/>
      <c r="M59" s="65"/>
      <c r="N59" s="65"/>
      <c r="O59" s="65"/>
      <c r="P59" s="65"/>
      <c r="Q59" s="65"/>
      <c r="R59" s="65"/>
      <c r="S59" s="65"/>
      <c r="T59" s="65"/>
      <c r="AE59" s="65"/>
    </row>
    <row r="60" spans="1:31" ht="15">
      <c r="A60" s="65"/>
      <c r="B60" s="65"/>
      <c r="C60" s="65"/>
      <c r="D60" s="65"/>
      <c r="E60" s="65"/>
      <c r="F60" s="65"/>
      <c r="G60" s="65"/>
      <c r="H60" s="65"/>
      <c r="I60" s="65"/>
      <c r="J60" s="65"/>
      <c r="K60" s="65"/>
      <c r="L60" s="65"/>
      <c r="M60" s="65"/>
      <c r="N60" s="65"/>
      <c r="O60" s="65"/>
      <c r="P60" s="65"/>
      <c r="Q60" s="65"/>
      <c r="R60" s="65"/>
      <c r="S60" s="65"/>
      <c r="T60" s="65"/>
      <c r="AE60" s="65"/>
    </row>
    <row r="61" spans="1:31" ht="15">
      <c r="A61" s="65"/>
      <c r="B61" s="65"/>
      <c r="C61" s="65"/>
      <c r="D61" s="65"/>
      <c r="E61" s="65"/>
      <c r="F61" s="65"/>
      <c r="G61" s="65"/>
      <c r="H61" s="65"/>
      <c r="I61" s="65"/>
      <c r="J61" s="65"/>
      <c r="K61" s="65"/>
      <c r="L61" s="65"/>
      <c r="M61" s="65"/>
      <c r="N61" s="65"/>
      <c r="O61" s="65"/>
      <c r="P61" s="65"/>
      <c r="Q61" s="65"/>
      <c r="R61" s="65"/>
      <c r="S61" s="65"/>
      <c r="T61" s="65"/>
      <c r="AE61" s="65"/>
    </row>
    <row r="62" spans="1:31" ht="1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row>
    <row r="63" spans="1:31" ht="1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row>
    <row r="64" spans="1:31" ht="1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row>
    <row r="65" spans="1:31" ht="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row>
    <row r="66" spans="1:31" ht="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row>
  </sheetData>
  <mergeCells count="2">
    <mergeCell ref="A9:R9"/>
    <mergeCell ref="A28:R28"/>
  </mergeCells>
  <printOptions horizontalCentered="1"/>
  <pageMargins left="0.5" right="0.5" top="1" bottom="0.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S46"/>
  <sheetViews>
    <sheetView workbookViewId="0" topLeftCell="A1">
      <selection activeCell="N19" sqref="N19"/>
    </sheetView>
  </sheetViews>
  <sheetFormatPr defaultColWidth="8.88671875" defaultRowHeight="12.75"/>
  <cols>
    <col min="1" max="1" width="4.99609375" style="337" customWidth="1"/>
    <col min="2" max="2" width="13.21484375" style="337" customWidth="1"/>
    <col min="3" max="3" width="6.88671875" style="337" customWidth="1"/>
    <col min="4" max="4" width="9.77734375" style="337" customWidth="1"/>
    <col min="5" max="5" width="7.99609375" style="337" customWidth="1"/>
    <col min="6" max="6" width="9.77734375" style="337" customWidth="1"/>
    <col min="7" max="7" width="2.5546875" style="337" customWidth="1"/>
    <col min="8" max="8" width="9.77734375" style="337" customWidth="1"/>
    <col min="9" max="9" width="3.5546875" style="337" customWidth="1"/>
    <col min="10" max="15" width="9.77734375" style="337" customWidth="1"/>
    <col min="16" max="16" width="11.10546875" style="337" bestFit="1" customWidth="1"/>
    <col min="17" max="16384" width="9.77734375" style="337" customWidth="1"/>
  </cols>
  <sheetData>
    <row r="1" spans="1:10" ht="15">
      <c r="A1" s="499" t="s">
        <v>369</v>
      </c>
      <c r="B1" s="499"/>
      <c r="C1" s="499"/>
      <c r="D1" s="499"/>
      <c r="E1" s="499"/>
      <c r="F1" s="499"/>
      <c r="G1" s="499"/>
      <c r="H1" s="499"/>
      <c r="I1" s="499"/>
      <c r="J1" s="499"/>
    </row>
    <row r="2" spans="1:10" ht="15">
      <c r="A2" s="499"/>
      <c r="B2" s="499"/>
      <c r="C2" s="499"/>
      <c r="D2" s="499"/>
      <c r="E2" s="499"/>
      <c r="F2" s="499"/>
      <c r="G2" s="499"/>
      <c r="H2" s="499"/>
      <c r="I2" s="499"/>
      <c r="J2" s="499"/>
    </row>
    <row r="3" spans="1:9" ht="15">
      <c r="A3" s="77"/>
      <c r="B3" s="77"/>
      <c r="C3" s="77"/>
      <c r="D3" s="77"/>
      <c r="E3" s="77"/>
      <c r="F3" s="77"/>
      <c r="G3" s="77"/>
      <c r="H3" s="77"/>
      <c r="I3" s="78"/>
    </row>
    <row r="4" spans="1:9" ht="15">
      <c r="A4" s="37" t="s">
        <v>82</v>
      </c>
      <c r="B4" s="37"/>
      <c r="C4" s="37"/>
      <c r="D4" s="37"/>
      <c r="E4" s="37"/>
      <c r="F4" s="37"/>
      <c r="G4" s="37"/>
      <c r="H4" s="37"/>
      <c r="I4" s="78"/>
    </row>
    <row r="5" spans="1:9" ht="15">
      <c r="A5" s="78"/>
      <c r="B5" s="78"/>
      <c r="C5" s="78"/>
      <c r="D5" s="78"/>
      <c r="E5" s="78"/>
      <c r="F5" s="78"/>
      <c r="G5" s="78"/>
      <c r="H5" s="78"/>
      <c r="I5" s="78"/>
    </row>
    <row r="6" spans="1:16" ht="15">
      <c r="A6" s="78"/>
      <c r="B6" s="78"/>
      <c r="C6" s="78"/>
      <c r="D6" s="78"/>
      <c r="E6" s="78"/>
      <c r="F6" s="78"/>
      <c r="G6" s="78"/>
      <c r="H6" s="78"/>
      <c r="I6" s="78"/>
      <c r="P6" s="357"/>
    </row>
    <row r="7" spans="1:16" ht="15">
      <c r="A7" s="78" t="s">
        <v>455</v>
      </c>
      <c r="B7" s="78"/>
      <c r="C7" s="78"/>
      <c r="D7" s="78"/>
      <c r="E7" s="78"/>
      <c r="F7" s="78"/>
      <c r="G7" s="78"/>
      <c r="H7" s="78"/>
      <c r="I7" s="78"/>
      <c r="P7" s="357"/>
    </row>
    <row r="8" spans="1:16" ht="15">
      <c r="A8" s="78"/>
      <c r="B8" s="78"/>
      <c r="C8" s="78"/>
      <c r="D8" s="78"/>
      <c r="E8" s="78"/>
      <c r="F8" s="78"/>
      <c r="G8" s="78"/>
      <c r="H8" s="78"/>
      <c r="I8" s="78"/>
      <c r="P8" s="357"/>
    </row>
    <row r="9" spans="1:16" ht="27.75" customHeight="1">
      <c r="A9" s="500" t="s">
        <v>413</v>
      </c>
      <c r="B9" s="501"/>
      <c r="C9" s="501"/>
      <c r="D9" s="501"/>
      <c r="E9" s="501"/>
      <c r="F9" s="501"/>
      <c r="G9" s="501"/>
      <c r="H9" s="501"/>
      <c r="I9" s="501"/>
      <c r="J9" s="501"/>
      <c r="P9" s="357"/>
    </row>
    <row r="10" spans="1:16" ht="15">
      <c r="A10" s="78"/>
      <c r="B10" s="78"/>
      <c r="C10" s="78"/>
      <c r="D10" s="78"/>
      <c r="E10" s="78"/>
      <c r="F10" s="78"/>
      <c r="G10" s="78"/>
      <c r="H10" s="78"/>
      <c r="I10" s="78"/>
      <c r="P10" s="357"/>
    </row>
    <row r="11" spans="1:16" ht="15">
      <c r="A11" s="78"/>
      <c r="B11" s="78"/>
      <c r="C11" s="78"/>
      <c r="E11" s="78"/>
      <c r="F11" s="78"/>
      <c r="G11" s="78"/>
      <c r="H11" s="78"/>
      <c r="I11" s="78"/>
      <c r="K11" s="350"/>
      <c r="L11" s="461"/>
      <c r="M11" s="357"/>
      <c r="P11" s="357"/>
    </row>
    <row r="12" spans="1:16" ht="15">
      <c r="A12" s="78" t="s">
        <v>132</v>
      </c>
      <c r="B12" s="78"/>
      <c r="C12" s="230">
        <f>+'F 3B 4B'!G50</f>
        <v>12000</v>
      </c>
      <c r="D12" s="224" t="s">
        <v>198</v>
      </c>
      <c r="E12" s="77"/>
      <c r="F12" s="79" t="s">
        <v>133</v>
      </c>
      <c r="H12" s="80">
        <f>ROUND(+C12*60*10/D13,4)</f>
        <v>0.2763</v>
      </c>
      <c r="I12" s="78"/>
      <c r="K12" s="350"/>
      <c r="L12" s="461"/>
      <c r="M12" s="357"/>
      <c r="P12" s="428"/>
    </row>
    <row r="13" spans="1:13" ht="15">
      <c r="A13" s="78"/>
      <c r="B13" s="78"/>
      <c r="D13" s="346">
        <v>26054000</v>
      </c>
      <c r="E13" s="82" t="s">
        <v>241</v>
      </c>
      <c r="F13" s="79"/>
      <c r="G13" s="78"/>
      <c r="I13" s="78"/>
      <c r="K13" s="350"/>
      <c r="L13" s="350"/>
      <c r="M13" s="350"/>
    </row>
    <row r="14" spans="1:9" ht="15">
      <c r="A14" s="78"/>
      <c r="B14" s="78"/>
      <c r="C14" s="78"/>
      <c r="D14" s="78"/>
      <c r="E14" s="78"/>
      <c r="F14" s="79"/>
      <c r="G14" s="78"/>
      <c r="I14" s="78"/>
    </row>
    <row r="15" spans="1:11" ht="15">
      <c r="A15" s="78" t="s">
        <v>134</v>
      </c>
      <c r="B15" s="78"/>
      <c r="D15" s="80">
        <v>1</v>
      </c>
      <c r="E15" s="79" t="s">
        <v>135</v>
      </c>
      <c r="F15" s="80">
        <f>H12</f>
        <v>0.2763</v>
      </c>
      <c r="G15" s="81" t="s">
        <v>133</v>
      </c>
      <c r="H15" s="80">
        <f>D15-F15</f>
        <v>0.7237</v>
      </c>
      <c r="I15" s="78"/>
      <c r="K15" s="350"/>
    </row>
    <row r="16" spans="1:9" ht="15">
      <c r="A16" s="78"/>
      <c r="B16" s="78"/>
      <c r="C16" s="78"/>
      <c r="D16" s="78"/>
      <c r="E16" s="78"/>
      <c r="F16" s="78"/>
      <c r="G16" s="78"/>
      <c r="H16" s="78"/>
      <c r="I16" s="78"/>
    </row>
    <row r="17" spans="1:19" ht="15">
      <c r="A17" s="78"/>
      <c r="B17" s="78"/>
      <c r="C17" s="78"/>
      <c r="D17" s="78"/>
      <c r="E17" s="78"/>
      <c r="F17" s="78"/>
      <c r="G17" s="78"/>
      <c r="H17" s="78"/>
      <c r="I17" s="78"/>
      <c r="J17" s="281"/>
      <c r="K17" s="281"/>
      <c r="L17" s="281"/>
      <c r="M17" s="281"/>
      <c r="N17" s="281"/>
      <c r="O17" s="281"/>
      <c r="P17" s="281"/>
      <c r="Q17" s="281"/>
      <c r="R17" s="281"/>
      <c r="S17" s="281"/>
    </row>
    <row r="18" spans="1:9" ht="29.25" customHeight="1">
      <c r="A18" s="500" t="s">
        <v>136</v>
      </c>
      <c r="B18" s="500"/>
      <c r="C18" s="500"/>
      <c r="D18" s="500"/>
      <c r="E18" s="500"/>
      <c r="F18" s="500"/>
      <c r="G18" s="500"/>
      <c r="H18" s="500"/>
      <c r="I18" s="78"/>
    </row>
    <row r="19" spans="1:9" ht="15">
      <c r="A19" s="78"/>
      <c r="B19" s="78"/>
      <c r="C19" s="78"/>
      <c r="D19" s="78"/>
      <c r="E19" s="78"/>
      <c r="F19" s="78"/>
      <c r="G19" s="78"/>
      <c r="H19" s="78"/>
      <c r="I19" s="78"/>
    </row>
    <row r="20" spans="1:9" ht="15">
      <c r="A20" s="78"/>
      <c r="B20" s="78"/>
      <c r="C20" s="78"/>
      <c r="D20" s="79" t="s">
        <v>90</v>
      </c>
      <c r="E20" s="78"/>
      <c r="F20" s="78"/>
      <c r="G20" s="78"/>
      <c r="H20" s="78"/>
      <c r="I20" s="78"/>
    </row>
    <row r="21" spans="1:9" ht="15">
      <c r="A21" s="78"/>
      <c r="B21" s="78"/>
      <c r="C21" s="78"/>
      <c r="D21" s="79" t="s">
        <v>137</v>
      </c>
      <c r="E21" s="78"/>
      <c r="F21" s="78"/>
      <c r="G21" s="78"/>
      <c r="H21" s="78"/>
      <c r="I21" s="78"/>
    </row>
    <row r="22" spans="1:9" ht="15">
      <c r="A22" s="78"/>
      <c r="B22" s="78"/>
      <c r="C22" s="78"/>
      <c r="D22" s="79" t="s">
        <v>92</v>
      </c>
      <c r="E22" s="78"/>
      <c r="F22" s="79" t="s">
        <v>138</v>
      </c>
      <c r="G22" s="78"/>
      <c r="H22" s="79" t="s">
        <v>93</v>
      </c>
      <c r="I22" s="78"/>
    </row>
    <row r="23" spans="1:9" ht="15">
      <c r="A23" s="78"/>
      <c r="B23" s="78"/>
      <c r="C23" s="78"/>
      <c r="D23" s="82"/>
      <c r="E23" s="78"/>
      <c r="F23" s="82"/>
      <c r="G23" s="78"/>
      <c r="H23" s="82"/>
      <c r="I23" s="78"/>
    </row>
    <row r="24" spans="1:9" ht="15">
      <c r="A24" s="78"/>
      <c r="B24" s="78" t="s">
        <v>116</v>
      </c>
      <c r="C24" s="78"/>
      <c r="D24" s="83">
        <v>1</v>
      </c>
      <c r="E24" s="78"/>
      <c r="F24" s="83">
        <f>D24/D29*100</f>
        <v>41.66666666666667</v>
      </c>
      <c r="G24" s="78"/>
      <c r="H24" s="80">
        <f>ROUND(F24/100*(1-H12),4)</f>
        <v>0.3015</v>
      </c>
      <c r="I24" s="78"/>
    </row>
    <row r="25" spans="1:9" ht="15">
      <c r="A25" s="78"/>
      <c r="B25" s="78"/>
      <c r="C25" s="78"/>
      <c r="D25" s="78"/>
      <c r="E25" s="78"/>
      <c r="F25" s="78"/>
      <c r="G25" s="78"/>
      <c r="H25" s="78"/>
      <c r="I25" s="78"/>
    </row>
    <row r="26" spans="1:9" ht="15">
      <c r="A26" s="78"/>
      <c r="B26" s="78" t="s">
        <v>72</v>
      </c>
      <c r="C26" s="78"/>
      <c r="D26" s="78"/>
      <c r="E26" s="78"/>
      <c r="F26" s="78"/>
      <c r="G26" s="78"/>
      <c r="H26" s="78"/>
      <c r="I26" s="78"/>
    </row>
    <row r="27" spans="1:9" ht="15">
      <c r="A27" s="78"/>
      <c r="B27" s="78" t="s">
        <v>139</v>
      </c>
      <c r="C27" s="78"/>
      <c r="D27" s="83">
        <f>'F 3B 4B'!$E$46</f>
        <v>1.4</v>
      </c>
      <c r="E27" s="78"/>
      <c r="F27" s="83">
        <f>D27/D29*100</f>
        <v>58.333333333333336</v>
      </c>
      <c r="G27" s="78"/>
      <c r="H27" s="80">
        <f>ROUND(F27/100*(1-H12),4)</f>
        <v>0.4222</v>
      </c>
      <c r="I27" s="78"/>
    </row>
    <row r="28" spans="1:9" ht="15">
      <c r="A28" s="78"/>
      <c r="B28" s="78"/>
      <c r="C28" s="78"/>
      <c r="D28" s="84"/>
      <c r="E28" s="78"/>
      <c r="F28" s="84"/>
      <c r="G28" s="78"/>
      <c r="H28" s="84"/>
      <c r="I28" s="78"/>
    </row>
    <row r="29" spans="1:9" ht="15.75" thickBot="1">
      <c r="A29" s="78"/>
      <c r="B29" s="78" t="s">
        <v>96</v>
      </c>
      <c r="C29" s="78"/>
      <c r="D29" s="83">
        <f>SUM(D24:D28)</f>
        <v>2.4</v>
      </c>
      <c r="E29" s="78"/>
      <c r="F29" s="83">
        <f>SUM(F24:F28)</f>
        <v>100</v>
      </c>
      <c r="G29" s="78"/>
      <c r="H29" s="198">
        <f>SUM(H24:H28)</f>
        <v>0.7237</v>
      </c>
      <c r="I29" s="78"/>
    </row>
    <row r="30" spans="1:9" ht="15.75" thickTop="1">
      <c r="A30" s="78"/>
      <c r="B30" s="78"/>
      <c r="C30" s="78"/>
      <c r="D30" s="85"/>
      <c r="E30" s="78"/>
      <c r="F30" s="85"/>
      <c r="G30" s="78"/>
      <c r="H30" s="197"/>
      <c r="I30" s="78"/>
    </row>
    <row r="32" spans="1:11" ht="15">
      <c r="A32" s="47"/>
      <c r="B32" s="47"/>
      <c r="C32" s="47"/>
      <c r="D32" s="48" t="s">
        <v>122</v>
      </c>
      <c r="F32" s="47"/>
      <c r="G32" s="223"/>
      <c r="H32" s="47"/>
      <c r="I32" s="47"/>
      <c r="J32" s="47"/>
      <c r="K32" s="47"/>
    </row>
    <row r="33" spans="1:10" ht="15">
      <c r="A33" s="47"/>
      <c r="B33" s="47"/>
      <c r="C33" s="47"/>
      <c r="D33" s="48" t="s">
        <v>123</v>
      </c>
      <c r="F33" s="45" t="s">
        <v>124</v>
      </c>
      <c r="G33" s="45"/>
      <c r="H33" s="45"/>
      <c r="I33" s="45"/>
      <c r="J33" s="45"/>
    </row>
    <row r="34" spans="1:10" ht="15">
      <c r="A34" s="497" t="s">
        <v>100</v>
      </c>
      <c r="B34" s="497"/>
      <c r="C34" s="45"/>
      <c r="D34" s="48" t="s">
        <v>71</v>
      </c>
      <c r="F34" s="59"/>
      <c r="G34" s="59"/>
      <c r="H34" s="59" t="s">
        <v>197</v>
      </c>
      <c r="I34" s="59"/>
      <c r="J34" s="59" t="s">
        <v>55</v>
      </c>
    </row>
    <row r="35" spans="1:10" ht="15">
      <c r="A35" s="498" t="s">
        <v>56</v>
      </c>
      <c r="B35" s="498"/>
      <c r="C35" s="78"/>
      <c r="D35" s="48" t="s">
        <v>197</v>
      </c>
      <c r="F35" s="48" t="s">
        <v>86</v>
      </c>
      <c r="G35" s="48"/>
      <c r="H35" s="48" t="s">
        <v>125</v>
      </c>
      <c r="I35" s="48"/>
      <c r="J35" s="48" t="s">
        <v>57</v>
      </c>
    </row>
    <row r="36" spans="1:10" ht="15">
      <c r="A36" s="60" t="s">
        <v>58</v>
      </c>
      <c r="B36" s="60"/>
      <c r="D36" s="59" t="s">
        <v>75</v>
      </c>
      <c r="F36" s="59" t="s">
        <v>60</v>
      </c>
      <c r="G36" s="48"/>
      <c r="H36" s="59" t="s">
        <v>88</v>
      </c>
      <c r="I36" s="48"/>
      <c r="J36" s="59" t="s">
        <v>89</v>
      </c>
    </row>
    <row r="37" spans="1:10" ht="15">
      <c r="A37" s="223"/>
      <c r="B37" s="223"/>
      <c r="C37" s="47"/>
      <c r="D37" s="47"/>
      <c r="F37" s="47"/>
      <c r="G37" s="47"/>
      <c r="H37" s="47"/>
      <c r="I37" s="47"/>
      <c r="J37" s="47"/>
    </row>
    <row r="38" spans="1:10" ht="15">
      <c r="A38" s="2" t="s">
        <v>61</v>
      </c>
      <c r="B38" s="47"/>
      <c r="C38" s="47"/>
      <c r="D38" s="190">
        <f>+'F 5'!D18</f>
        <v>656.7</v>
      </c>
      <c r="F38" s="180">
        <f>+'F 3B 4B'!G62</f>
        <v>2</v>
      </c>
      <c r="G38" s="47"/>
      <c r="H38" s="57">
        <f>ROUND(D38*F38,1)</f>
        <v>1313.4</v>
      </c>
      <c r="I38" s="47"/>
      <c r="J38" s="52">
        <f>ROUND(+H38/H$44,4)</f>
        <v>0.6348</v>
      </c>
    </row>
    <row r="39" spans="1:10" ht="15">
      <c r="A39" s="2" t="s">
        <v>194</v>
      </c>
      <c r="B39" s="47"/>
      <c r="C39" s="47"/>
      <c r="D39" s="190">
        <f>+'F 5'!D19</f>
        <v>327.4</v>
      </c>
      <c r="F39" s="180">
        <f>+'F 3B 4B'!G63</f>
        <v>1.5</v>
      </c>
      <c r="G39" s="47"/>
      <c r="H39" s="57">
        <f>ROUND(D39*F39,1)</f>
        <v>491.1</v>
      </c>
      <c r="I39" s="47"/>
      <c r="J39" s="52">
        <f>ROUND(+H39/H$44,4)</f>
        <v>0.2374</v>
      </c>
    </row>
    <row r="40" spans="1:10" ht="15">
      <c r="A40" s="2" t="s">
        <v>63</v>
      </c>
      <c r="B40" s="47"/>
      <c r="C40" s="47"/>
      <c r="D40" s="190">
        <f>+'F 5'!D20</f>
        <v>129.5</v>
      </c>
      <c r="F40" s="180">
        <f>+'F 3B 4B'!G64</f>
        <v>1</v>
      </c>
      <c r="G40" s="47"/>
      <c r="H40" s="57">
        <f>ROUND(D40*F40,1)</f>
        <v>129.5</v>
      </c>
      <c r="I40" s="47"/>
      <c r="J40" s="52">
        <f>ROUND(+H40/H$44,4)</f>
        <v>0.0626</v>
      </c>
    </row>
    <row r="41" spans="1:10" ht="15">
      <c r="A41" s="2" t="s">
        <v>64</v>
      </c>
      <c r="B41" s="47"/>
      <c r="C41" s="47"/>
      <c r="D41" s="190">
        <f>+'F 5'!D21</f>
        <v>73.4</v>
      </c>
      <c r="F41" s="180">
        <f>+'F 3B 4B'!G65</f>
        <v>1</v>
      </c>
      <c r="G41" s="47"/>
      <c r="H41" s="57">
        <f>ROUND(D41*F41,1)</f>
        <v>73.4</v>
      </c>
      <c r="I41" s="47"/>
      <c r="J41" s="52">
        <f>ROUND(+H41/H$44,4)</f>
        <v>0.0355</v>
      </c>
    </row>
    <row r="42" spans="1:10" ht="15">
      <c r="A42" s="2" t="s">
        <v>427</v>
      </c>
      <c r="B42" s="47"/>
      <c r="C42" s="47"/>
      <c r="D42" s="190">
        <f>+'F 5'!D22</f>
        <v>61.5</v>
      </c>
      <c r="F42" s="180">
        <f>+'F 3B 4B'!G66</f>
        <v>1</v>
      </c>
      <c r="G42" s="47"/>
      <c r="H42" s="57">
        <f>ROUND(D42*F42,1)</f>
        <v>61.5</v>
      </c>
      <c r="I42" s="47"/>
      <c r="J42" s="52">
        <f>ROUND(+H42/H$44,4)</f>
        <v>0.0297</v>
      </c>
    </row>
    <row r="43" spans="1:10" ht="15">
      <c r="A43" s="47"/>
      <c r="B43" s="47"/>
      <c r="C43" s="47"/>
      <c r="D43" s="177"/>
      <c r="F43" s="47"/>
      <c r="G43" s="47"/>
      <c r="H43" s="61"/>
      <c r="I43" s="47"/>
      <c r="J43" s="49"/>
    </row>
    <row r="44" spans="1:10" ht="15.75" thickBot="1">
      <c r="A44" s="47" t="s">
        <v>126</v>
      </c>
      <c r="B44" s="47"/>
      <c r="C44" s="47"/>
      <c r="D44" s="282">
        <f>SUM(D38:D43)</f>
        <v>1248.5</v>
      </c>
      <c r="F44" s="57"/>
      <c r="G44" s="57"/>
      <c r="H44" s="282">
        <f>SUM(H38:H43)</f>
        <v>2068.9</v>
      </c>
      <c r="I44" s="47"/>
      <c r="J44" s="179">
        <f>SUM(J38:J43)</f>
        <v>1</v>
      </c>
    </row>
    <row r="45" spans="1:11" ht="15.75" thickTop="1">
      <c r="A45" s="223"/>
      <c r="B45" s="223"/>
      <c r="C45" s="223"/>
      <c r="D45" s="223"/>
      <c r="E45" s="223"/>
      <c r="F45" s="223"/>
      <c r="G45" s="223"/>
      <c r="H45" s="223"/>
      <c r="I45" s="223"/>
      <c r="J45" s="223"/>
      <c r="K45" s="223"/>
    </row>
    <row r="46" ht="15">
      <c r="A46" s="47" t="s">
        <v>127</v>
      </c>
    </row>
  </sheetData>
  <mergeCells count="6">
    <mergeCell ref="A34:B34"/>
    <mergeCell ref="A35:B35"/>
    <mergeCell ref="A1:J1"/>
    <mergeCell ref="A2:J2"/>
    <mergeCell ref="A9:J9"/>
    <mergeCell ref="A18:H18"/>
  </mergeCells>
  <printOptions horizontalCentered="1"/>
  <pageMargins left="1" right="1" top="1" bottom="0.5" header="0.5" footer="0.5"/>
  <pageSetup horizontalDpi="600" verticalDpi="600" orientation="portrait" scale="88" r:id="rId1"/>
</worksheet>
</file>

<file path=xl/worksheets/sheet8.xml><?xml version="1.0" encoding="utf-8"?>
<worksheet xmlns="http://schemas.openxmlformats.org/spreadsheetml/2006/main" xmlns:r="http://schemas.openxmlformats.org/officeDocument/2006/relationships">
  <dimension ref="A1:Y89"/>
  <sheetViews>
    <sheetView workbookViewId="0" topLeftCell="A1">
      <selection activeCell="R22" sqref="R22"/>
    </sheetView>
  </sheetViews>
  <sheetFormatPr defaultColWidth="8.88671875" defaultRowHeight="12.75"/>
  <cols>
    <col min="1" max="2" width="7.77734375" style="182" customWidth="1"/>
    <col min="3" max="3" width="1.77734375" style="182" customWidth="1"/>
    <col min="4" max="4" width="7.77734375" style="182" customWidth="1"/>
    <col min="5" max="5" width="1.2265625" style="182" customWidth="1"/>
    <col min="6" max="6" width="7.77734375" style="182" customWidth="1"/>
    <col min="7" max="7" width="1.2265625" style="182" customWidth="1"/>
    <col min="8" max="8" width="8.4453125" style="182" customWidth="1"/>
    <col min="9" max="9" width="1.2265625" style="182" customWidth="1"/>
    <col min="10" max="10" width="7.77734375" style="182" customWidth="1"/>
    <col min="11" max="11" width="1.2265625" style="182" customWidth="1"/>
    <col min="12" max="12" width="7.77734375" style="182" customWidth="1"/>
    <col min="13" max="13" width="1.2265625" style="182" customWidth="1"/>
    <col min="14" max="14" width="7.77734375" style="182" customWidth="1"/>
    <col min="15" max="15" width="1.2265625" style="182" customWidth="1"/>
    <col min="16" max="16" width="7.77734375" style="182" customWidth="1"/>
    <col min="17" max="18" width="9.77734375" style="182" customWidth="1"/>
    <col min="19" max="19" width="12.21484375" style="182" customWidth="1"/>
    <col min="20" max="20" width="12.3359375" style="182" customWidth="1"/>
    <col min="21" max="21" width="11.4453125" style="182" customWidth="1"/>
    <col min="22" max="16384" width="9.77734375" style="182" customWidth="1"/>
  </cols>
  <sheetData>
    <row r="1" spans="1:22" ht="15">
      <c r="A1" s="36" t="s">
        <v>369</v>
      </c>
      <c r="B1" s="86"/>
      <c r="C1" s="86"/>
      <c r="D1" s="87"/>
      <c r="E1" s="87"/>
      <c r="F1" s="87"/>
      <c r="G1" s="87"/>
      <c r="H1" s="87"/>
      <c r="I1" s="87"/>
      <c r="J1" s="87"/>
      <c r="K1" s="87"/>
      <c r="L1" s="87"/>
      <c r="M1" s="87"/>
      <c r="N1" s="87"/>
      <c r="O1" s="87"/>
      <c r="P1" s="87"/>
      <c r="Q1" s="349"/>
      <c r="R1" s="349"/>
      <c r="S1" s="349"/>
      <c r="T1" s="349"/>
      <c r="U1" s="349"/>
      <c r="V1" s="349"/>
    </row>
    <row r="2" spans="1:22" ht="15">
      <c r="A2" s="36"/>
      <c r="B2" s="86"/>
      <c r="C2" s="86"/>
      <c r="D2" s="87"/>
      <c r="E2" s="87"/>
      <c r="F2" s="87"/>
      <c r="G2" s="87"/>
      <c r="H2" s="87"/>
      <c r="I2" s="87"/>
      <c r="J2" s="87"/>
      <c r="K2" s="87"/>
      <c r="L2" s="87"/>
      <c r="M2" s="87"/>
      <c r="N2" s="87"/>
      <c r="O2" s="87"/>
      <c r="P2" s="87"/>
      <c r="Q2" s="349"/>
      <c r="R2" s="349"/>
      <c r="S2" s="349"/>
      <c r="T2" s="349"/>
      <c r="U2" s="349"/>
      <c r="V2" s="349"/>
    </row>
    <row r="3" spans="1:22" ht="15">
      <c r="A3" s="87"/>
      <c r="B3" s="87"/>
      <c r="C3" s="87"/>
      <c r="D3" s="87"/>
      <c r="E3" s="87"/>
      <c r="F3" s="87"/>
      <c r="G3" s="87"/>
      <c r="H3" s="87"/>
      <c r="I3" s="87"/>
      <c r="J3" s="87"/>
      <c r="K3" s="87"/>
      <c r="L3" s="87"/>
      <c r="M3" s="87"/>
      <c r="N3" s="87"/>
      <c r="O3" s="87"/>
      <c r="P3" s="87"/>
      <c r="Q3" s="349"/>
      <c r="R3" s="349"/>
      <c r="S3" s="349"/>
      <c r="T3" s="349"/>
      <c r="U3" s="349"/>
      <c r="V3" s="349"/>
    </row>
    <row r="4" spans="1:22" ht="15">
      <c r="A4" s="87" t="s">
        <v>82</v>
      </c>
      <c r="B4" s="87"/>
      <c r="C4" s="87"/>
      <c r="D4" s="87"/>
      <c r="E4" s="87"/>
      <c r="F4" s="87"/>
      <c r="G4" s="87"/>
      <c r="H4" s="87"/>
      <c r="I4" s="87"/>
      <c r="J4" s="87"/>
      <c r="K4" s="87"/>
      <c r="L4" s="87"/>
      <c r="M4" s="87"/>
      <c r="N4" s="87"/>
      <c r="O4" s="87"/>
      <c r="P4" s="87"/>
      <c r="Q4" s="349"/>
      <c r="R4" s="349"/>
      <c r="S4" s="349"/>
      <c r="T4" s="349"/>
      <c r="U4" s="349"/>
      <c r="V4" s="349"/>
    </row>
    <row r="5" spans="1:22" ht="15">
      <c r="A5" s="88"/>
      <c r="B5" s="88"/>
      <c r="C5" s="88"/>
      <c r="D5" s="88"/>
      <c r="E5" s="88"/>
      <c r="F5" s="88"/>
      <c r="G5" s="88"/>
      <c r="H5" s="88"/>
      <c r="I5" s="88"/>
      <c r="J5" s="88"/>
      <c r="K5" s="88"/>
      <c r="L5" s="88"/>
      <c r="M5" s="88"/>
      <c r="N5" s="88"/>
      <c r="O5" s="88"/>
      <c r="P5" s="88"/>
      <c r="Q5" s="349"/>
      <c r="R5" s="349"/>
      <c r="S5" s="349"/>
      <c r="T5" s="349"/>
      <c r="U5" s="349"/>
      <c r="V5" s="349"/>
    </row>
    <row r="6" spans="1:22" ht="15">
      <c r="A6" s="88"/>
      <c r="B6" s="88"/>
      <c r="C6" s="88"/>
      <c r="D6" s="88"/>
      <c r="E6" s="88"/>
      <c r="F6" s="88"/>
      <c r="G6" s="88"/>
      <c r="H6" s="88"/>
      <c r="I6" s="88"/>
      <c r="J6" s="88"/>
      <c r="K6" s="88"/>
      <c r="L6" s="88"/>
      <c r="M6" s="88"/>
      <c r="N6" s="88"/>
      <c r="O6" s="88"/>
      <c r="P6" s="88"/>
      <c r="Q6" s="349"/>
      <c r="R6" s="349"/>
      <c r="S6" s="349"/>
      <c r="T6" s="349"/>
      <c r="U6" s="349"/>
      <c r="V6" s="349"/>
    </row>
    <row r="7" spans="1:16" ht="15">
      <c r="A7" s="88" t="s">
        <v>211</v>
      </c>
      <c r="B7" s="88"/>
      <c r="C7" s="88"/>
      <c r="D7" s="88"/>
      <c r="E7" s="88"/>
      <c r="F7" s="88"/>
      <c r="G7" s="88"/>
      <c r="H7" s="88"/>
      <c r="I7" s="88"/>
      <c r="J7" s="88"/>
      <c r="K7" s="88"/>
      <c r="L7" s="88"/>
      <c r="M7" s="88"/>
      <c r="N7" s="88"/>
      <c r="O7" s="88"/>
      <c r="P7" s="88"/>
    </row>
    <row r="8" spans="1:16" ht="15">
      <c r="A8" s="88"/>
      <c r="B8" s="88"/>
      <c r="C8" s="88"/>
      <c r="D8" s="88"/>
      <c r="E8" s="88"/>
      <c r="F8" s="88"/>
      <c r="G8" s="88"/>
      <c r="H8" s="88"/>
      <c r="I8" s="88"/>
      <c r="J8" s="88"/>
      <c r="K8" s="88"/>
      <c r="L8" s="88"/>
      <c r="M8" s="88"/>
      <c r="N8" s="88"/>
      <c r="O8" s="88"/>
      <c r="P8" s="88"/>
    </row>
    <row r="9" spans="1:16" ht="30" customHeight="1">
      <c r="A9" s="502" t="s">
        <v>316</v>
      </c>
      <c r="B9" s="502"/>
      <c r="C9" s="502"/>
      <c r="D9" s="502"/>
      <c r="E9" s="502"/>
      <c r="F9" s="502"/>
      <c r="G9" s="502"/>
      <c r="H9" s="502"/>
      <c r="I9" s="502"/>
      <c r="J9" s="502"/>
      <c r="K9" s="502"/>
      <c r="L9" s="502"/>
      <c r="M9" s="502"/>
      <c r="N9" s="502"/>
      <c r="O9" s="502"/>
      <c r="P9" s="502"/>
    </row>
    <row r="10" spans="1:16" ht="15">
      <c r="A10" s="88"/>
      <c r="B10" s="88"/>
      <c r="C10" s="88"/>
      <c r="D10" s="88"/>
      <c r="E10" s="88"/>
      <c r="F10" s="88"/>
      <c r="G10" s="88"/>
      <c r="H10" s="88"/>
      <c r="I10" s="88"/>
      <c r="J10" s="88"/>
      <c r="K10" s="88"/>
      <c r="L10" s="88"/>
      <c r="M10" s="88"/>
      <c r="N10" s="88"/>
      <c r="O10" s="88"/>
      <c r="P10" s="88"/>
    </row>
    <row r="11" spans="1:14" ht="15">
      <c r="A11" s="88"/>
      <c r="B11" s="88"/>
      <c r="C11" s="88"/>
      <c r="F11" s="87" t="s">
        <v>140</v>
      </c>
      <c r="G11" s="87"/>
      <c r="H11" s="87"/>
      <c r="I11" s="88"/>
      <c r="J11" s="87" t="s">
        <v>141</v>
      </c>
      <c r="K11" s="87"/>
      <c r="L11" s="87"/>
      <c r="M11" s="88"/>
      <c r="N11" s="88"/>
    </row>
    <row r="12" spans="2:14" ht="15">
      <c r="B12" s="88"/>
      <c r="C12" s="88"/>
      <c r="F12" s="87" t="s">
        <v>308</v>
      </c>
      <c r="G12" s="87"/>
      <c r="H12" s="87"/>
      <c r="I12" s="88"/>
      <c r="J12" s="87" t="s">
        <v>71</v>
      </c>
      <c r="K12" s="87"/>
      <c r="L12" s="87"/>
      <c r="M12" s="88"/>
      <c r="N12" s="88"/>
    </row>
    <row r="13" spans="2:14" ht="15">
      <c r="B13" s="87" t="s">
        <v>53</v>
      </c>
      <c r="C13" s="87"/>
      <c r="D13" s="86"/>
      <c r="F13" s="89" t="s">
        <v>55</v>
      </c>
      <c r="G13" s="89"/>
      <c r="H13" s="89" t="s">
        <v>73</v>
      </c>
      <c r="I13" s="90"/>
      <c r="J13" s="89" t="s">
        <v>55</v>
      </c>
      <c r="K13" s="89"/>
      <c r="L13" s="89" t="s">
        <v>73</v>
      </c>
      <c r="M13" s="90"/>
      <c r="N13" s="90" t="s">
        <v>55</v>
      </c>
    </row>
    <row r="14" spans="2:25" ht="15">
      <c r="B14" s="87" t="s">
        <v>56</v>
      </c>
      <c r="C14" s="87"/>
      <c r="D14" s="86"/>
      <c r="F14" s="90" t="s">
        <v>142</v>
      </c>
      <c r="G14" s="90"/>
      <c r="H14" s="90" t="s">
        <v>57</v>
      </c>
      <c r="I14" s="90"/>
      <c r="J14" s="90" t="s">
        <v>143</v>
      </c>
      <c r="K14" s="90"/>
      <c r="L14" s="90" t="s">
        <v>57</v>
      </c>
      <c r="M14" s="90"/>
      <c r="N14" s="90" t="s">
        <v>57</v>
      </c>
      <c r="Y14" s="182" t="s">
        <v>55</v>
      </c>
    </row>
    <row r="15" spans="2:25" ht="15">
      <c r="B15" s="91" t="s">
        <v>58</v>
      </c>
      <c r="C15" s="91"/>
      <c r="D15" s="98"/>
      <c r="F15" s="89" t="s">
        <v>75</v>
      </c>
      <c r="G15" s="88"/>
      <c r="H15" s="92" t="s">
        <v>144</v>
      </c>
      <c r="I15" s="88"/>
      <c r="J15" s="89" t="s">
        <v>77</v>
      </c>
      <c r="K15" s="88"/>
      <c r="L15" s="92" t="s">
        <v>145</v>
      </c>
      <c r="M15" s="88"/>
      <c r="N15" s="89" t="s">
        <v>79</v>
      </c>
      <c r="S15" s="182" t="s">
        <v>45</v>
      </c>
      <c r="T15" s="265">
        <f>+H16</f>
        <v>0.2451</v>
      </c>
      <c r="U15" s="182" t="s">
        <v>46</v>
      </c>
      <c r="V15" s="265">
        <f>+L16</f>
        <v>0.7549</v>
      </c>
      <c r="Y15" s="182" t="s">
        <v>57</v>
      </c>
    </row>
    <row r="16" spans="2:14" ht="15">
      <c r="B16" s="88"/>
      <c r="C16" s="88"/>
      <c r="F16" s="93"/>
      <c r="G16" s="93"/>
      <c r="H16" s="93">
        <f>N33</f>
        <v>0.2451</v>
      </c>
      <c r="I16" s="93"/>
      <c r="J16" s="93"/>
      <c r="K16" s="93"/>
      <c r="L16" s="93">
        <f>N35</f>
        <v>0.7549</v>
      </c>
      <c r="M16" s="93"/>
      <c r="N16" s="94"/>
    </row>
    <row r="17" spans="2:25" ht="15">
      <c r="B17" s="88"/>
      <c r="C17" s="88"/>
      <c r="F17" s="88"/>
      <c r="G17" s="88"/>
      <c r="H17" s="88"/>
      <c r="I17" s="88"/>
      <c r="J17" s="88"/>
      <c r="K17" s="88"/>
      <c r="L17" s="88"/>
      <c r="M17" s="88"/>
      <c r="N17" s="88"/>
      <c r="R17" s="93" t="s">
        <v>146</v>
      </c>
      <c r="S17" s="182">
        <f>+'F 3-4'!F17-'F 3-4'!F24</f>
        <v>0.5332</v>
      </c>
      <c r="T17" s="300">
        <f>ROUND(S17*$H$16,4)+0.0001</f>
        <v>0.1308</v>
      </c>
      <c r="U17" s="301">
        <f>+'F 3-4'!H46-'F 3-4'!H53-'F 3-4'!H54</f>
        <v>0.3274</v>
      </c>
      <c r="V17" s="300">
        <f>ROUND(U17*$L$16,4)-0.0001</f>
        <v>0.24710000000000001</v>
      </c>
      <c r="X17" s="300"/>
      <c r="Y17" s="265">
        <f>T17+V17+X17-0</f>
        <v>0.3779</v>
      </c>
    </row>
    <row r="18" spans="2:25" ht="15">
      <c r="B18" s="2" t="s">
        <v>61</v>
      </c>
      <c r="C18" s="88"/>
      <c r="F18" s="93">
        <f>'F 3-4'!$P$19</f>
        <v>0.46890000000000004</v>
      </c>
      <c r="G18" s="93"/>
      <c r="H18" s="93">
        <f aca="true" t="shared" si="0" ref="H18:H23">ROUND($H$16*F18,4)</f>
        <v>0.1149</v>
      </c>
      <c r="I18" s="93"/>
      <c r="J18" s="93">
        <f>+'F 3-4'!R48</f>
        <v>0.483</v>
      </c>
      <c r="K18" s="93"/>
      <c r="L18" s="93">
        <f>ROUND($L$16*J18,4)+0.0001</f>
        <v>0.36469999999999997</v>
      </c>
      <c r="M18" s="93"/>
      <c r="N18" s="93">
        <f aca="true" t="shared" si="1" ref="N18:N23">H18+L18</f>
        <v>0.47959999999999997</v>
      </c>
      <c r="R18" s="93" t="s">
        <v>147</v>
      </c>
      <c r="S18" s="182">
        <f>+'F 3-4'!J17</f>
        <v>0.3217</v>
      </c>
      <c r="T18" s="300">
        <f>ROUND(S18*$H$16,4)</f>
        <v>0.0788</v>
      </c>
      <c r="U18" s="301"/>
      <c r="V18" s="300">
        <f>ROUND(U18*$L$16,4)</f>
        <v>0</v>
      </c>
      <c r="X18" s="300"/>
      <c r="Y18" s="300">
        <f>T18+V18+X18</f>
        <v>0.0788</v>
      </c>
    </row>
    <row r="19" spans="2:25" ht="15">
      <c r="B19" s="2" t="s">
        <v>194</v>
      </c>
      <c r="C19" s="88"/>
      <c r="F19" s="93">
        <f>'F 3-4'!$P$20</f>
        <v>0.21610000000000001</v>
      </c>
      <c r="G19" s="93"/>
      <c r="H19" s="93">
        <f t="shared" si="0"/>
        <v>0.053</v>
      </c>
      <c r="I19" s="93"/>
      <c r="J19" s="93">
        <f>+'F 3-4'!R49</f>
        <v>0.2031</v>
      </c>
      <c r="K19" s="93"/>
      <c r="L19" s="93">
        <f>ROUND($L$16*J19,4)</f>
        <v>0.1533</v>
      </c>
      <c r="M19" s="93"/>
      <c r="N19" s="93">
        <f t="shared" si="1"/>
        <v>0.20629999999999998</v>
      </c>
      <c r="R19" s="93" t="s">
        <v>148</v>
      </c>
      <c r="S19" s="182">
        <f>'F 3B 4B'!I18</f>
        <v>0</v>
      </c>
      <c r="T19" s="300">
        <f>ROUND(S19*$H$16,4)</f>
        <v>0</v>
      </c>
      <c r="U19" s="301">
        <f>+'F 3-4'!L46</f>
        <v>0.4613</v>
      </c>
      <c r="V19" s="300">
        <f>ROUND(U19*$L$16,4)</f>
        <v>0.3482</v>
      </c>
      <c r="X19" s="300"/>
      <c r="Y19" s="300">
        <f>T19+V19+X19</f>
        <v>0.3482</v>
      </c>
    </row>
    <row r="20" spans="2:25" ht="15">
      <c r="B20" s="2" t="s">
        <v>63</v>
      </c>
      <c r="C20" s="88"/>
      <c r="F20" s="93">
        <f>'F 3-4'!$P$21</f>
        <v>0.0832</v>
      </c>
      <c r="G20" s="93"/>
      <c r="H20" s="93">
        <f t="shared" si="0"/>
        <v>0.0204</v>
      </c>
      <c r="I20" s="93"/>
      <c r="J20" s="93">
        <f>+'F 3-4'!R50</f>
        <v>0.0655</v>
      </c>
      <c r="K20" s="93"/>
      <c r="L20" s="93">
        <f>ROUND($L$16*J20,4)</f>
        <v>0.0494</v>
      </c>
      <c r="M20" s="93"/>
      <c r="N20" s="93">
        <f t="shared" si="1"/>
        <v>0.0698</v>
      </c>
      <c r="R20" s="93"/>
      <c r="S20" s="300"/>
      <c r="T20" s="300"/>
      <c r="U20" s="301"/>
      <c r="V20" s="300"/>
      <c r="X20" s="300"/>
      <c r="Y20" s="300"/>
    </row>
    <row r="21" spans="2:25" ht="15">
      <c r="B21" s="2" t="s">
        <v>64</v>
      </c>
      <c r="C21" s="88"/>
      <c r="F21" s="93">
        <f>'F 3-4'!$P$22</f>
        <v>0.0471</v>
      </c>
      <c r="G21" s="93"/>
      <c r="H21" s="93">
        <f t="shared" si="0"/>
        <v>0.0115</v>
      </c>
      <c r="I21" s="93"/>
      <c r="J21" s="93">
        <f>+'F 3-4'!R51</f>
        <v>0.037099999999999994</v>
      </c>
      <c r="K21" s="93"/>
      <c r="L21" s="93">
        <f>ROUND($L$16*J21,4)</f>
        <v>0.028</v>
      </c>
      <c r="M21" s="93"/>
      <c r="N21" s="93">
        <f t="shared" si="1"/>
        <v>0.0395</v>
      </c>
      <c r="R21" s="93" t="s">
        <v>456</v>
      </c>
      <c r="S21" s="300">
        <f>+'F 3-4'!P24</f>
        <v>0.1451</v>
      </c>
      <c r="T21" s="300">
        <f>ROUND(S21*$H$16,4)</f>
        <v>0.0356</v>
      </c>
      <c r="U21" s="301">
        <f>+'F 3-4'!R54</f>
        <v>0.2113</v>
      </c>
      <c r="V21" s="300">
        <f>ROUND(U21*$L$16,4)</f>
        <v>0.1595</v>
      </c>
      <c r="X21" s="300"/>
      <c r="Y21" s="300">
        <f>T21+V21+X21</f>
        <v>0.1951</v>
      </c>
    </row>
    <row r="22" spans="2:25" ht="15">
      <c r="B22" s="2" t="s">
        <v>427</v>
      </c>
      <c r="C22" s="88"/>
      <c r="F22" s="93">
        <f>'F 3-4'!$P$23</f>
        <v>0.039599999999999996</v>
      </c>
      <c r="G22" s="93"/>
      <c r="H22" s="93">
        <f t="shared" si="0"/>
        <v>0.0097</v>
      </c>
      <c r="I22" s="93"/>
      <c r="J22" s="93">
        <f>+'F 3-4'!R52</f>
        <v>0</v>
      </c>
      <c r="K22" s="93"/>
      <c r="L22" s="93">
        <f>ROUND($L$16*J22,4)</f>
        <v>0</v>
      </c>
      <c r="M22" s="93"/>
      <c r="N22" s="93">
        <f t="shared" si="1"/>
        <v>0.0097</v>
      </c>
      <c r="R22" s="93"/>
      <c r="S22" s="300">
        <f>SUM(S17:S21)</f>
        <v>1</v>
      </c>
      <c r="T22" s="300">
        <f aca="true" t="shared" si="2" ref="T22:Y22">SUM(T17:T21)</f>
        <v>0.2452</v>
      </c>
      <c r="U22" s="300">
        <f t="shared" si="2"/>
        <v>1</v>
      </c>
      <c r="V22" s="300">
        <f t="shared" si="2"/>
        <v>0.7548</v>
      </c>
      <c r="W22" s="300">
        <f t="shared" si="2"/>
        <v>0</v>
      </c>
      <c r="X22" s="300">
        <f t="shared" si="2"/>
        <v>0</v>
      </c>
      <c r="Y22" s="300">
        <f t="shared" si="2"/>
        <v>1</v>
      </c>
    </row>
    <row r="23" spans="2:14" ht="15">
      <c r="B23" s="65" t="s">
        <v>99</v>
      </c>
      <c r="C23" s="88"/>
      <c r="F23" s="93">
        <f>'F 3-4'!$P$24</f>
        <v>0.1451</v>
      </c>
      <c r="G23" s="93"/>
      <c r="H23" s="93">
        <f t="shared" si="0"/>
        <v>0.0356</v>
      </c>
      <c r="I23" s="93"/>
      <c r="J23" s="93">
        <f>+'F 3-4'!R54</f>
        <v>0.2113</v>
      </c>
      <c r="K23" s="93"/>
      <c r="L23" s="93">
        <f>ROUND($L$16*J23,4)</f>
        <v>0.1595</v>
      </c>
      <c r="M23" s="93"/>
      <c r="N23" s="93">
        <f t="shared" si="1"/>
        <v>0.1951</v>
      </c>
    </row>
    <row r="24" spans="2:14" ht="15">
      <c r="B24" s="88"/>
      <c r="C24" s="88"/>
      <c r="F24" s="95"/>
      <c r="G24" s="93"/>
      <c r="H24" s="95"/>
      <c r="I24" s="93"/>
      <c r="J24" s="95"/>
      <c r="K24" s="93"/>
      <c r="L24" s="95"/>
      <c r="M24" s="93"/>
      <c r="N24" s="95"/>
    </row>
    <row r="25" spans="2:14" ht="15.75" thickBot="1">
      <c r="B25" s="88" t="s">
        <v>66</v>
      </c>
      <c r="C25" s="88"/>
      <c r="F25" s="93">
        <f>SUM(F18:F24)</f>
        <v>1</v>
      </c>
      <c r="G25" s="93"/>
      <c r="H25" s="93">
        <f>SUM(H18:H24)</f>
        <v>0.2451</v>
      </c>
      <c r="I25" s="93"/>
      <c r="J25" s="184">
        <f>SUM(J18:J24)</f>
        <v>1</v>
      </c>
      <c r="K25" s="93"/>
      <c r="L25" s="93">
        <f>SUM(L18:L24)</f>
        <v>0.7549</v>
      </c>
      <c r="M25" s="93"/>
      <c r="N25" s="93">
        <f>SUM(N18:N24)</f>
        <v>1</v>
      </c>
    </row>
    <row r="26" spans="1:14" ht="15.75" thickTop="1">
      <c r="A26" s="88"/>
      <c r="B26" s="88"/>
      <c r="C26" s="88"/>
      <c r="F26" s="96"/>
      <c r="G26" s="88"/>
      <c r="H26" s="96"/>
      <c r="I26" s="88"/>
      <c r="J26" s="183"/>
      <c r="K26" s="88"/>
      <c r="L26" s="96"/>
      <c r="M26" s="88"/>
      <c r="N26" s="96"/>
    </row>
    <row r="27" spans="1:16" ht="15">
      <c r="A27" s="88"/>
      <c r="B27" s="88"/>
      <c r="C27" s="88"/>
      <c r="D27" s="88"/>
      <c r="E27" s="88"/>
      <c r="F27" s="88"/>
      <c r="G27" s="88"/>
      <c r="H27" s="88"/>
      <c r="I27" s="88"/>
      <c r="J27" s="88"/>
      <c r="K27" s="88"/>
      <c r="L27" s="88"/>
      <c r="M27" s="88"/>
      <c r="N27" s="88"/>
      <c r="O27" s="88"/>
      <c r="P27" s="88"/>
    </row>
    <row r="28" spans="1:20" ht="29.25" customHeight="1">
      <c r="A28" s="502" t="s">
        <v>166</v>
      </c>
      <c r="B28" s="502"/>
      <c r="C28" s="502"/>
      <c r="D28" s="502"/>
      <c r="E28" s="502"/>
      <c r="F28" s="502"/>
      <c r="G28" s="502"/>
      <c r="H28" s="502"/>
      <c r="I28" s="502"/>
      <c r="J28" s="502"/>
      <c r="K28" s="502"/>
      <c r="L28" s="502"/>
      <c r="M28" s="502"/>
      <c r="N28" s="502"/>
      <c r="O28" s="502"/>
      <c r="P28" s="502"/>
      <c r="R28" s="349"/>
      <c r="S28" s="439"/>
      <c r="T28" s="439"/>
    </row>
    <row r="29" spans="1:20" ht="15">
      <c r="A29" s="88"/>
      <c r="B29" s="88"/>
      <c r="C29" s="88"/>
      <c r="D29" s="88"/>
      <c r="E29" s="88"/>
      <c r="F29" s="88"/>
      <c r="G29" s="88"/>
      <c r="H29" s="88"/>
      <c r="I29" s="88"/>
      <c r="J29" s="88"/>
      <c r="K29" s="88"/>
      <c r="L29" s="88"/>
      <c r="M29" s="88"/>
      <c r="N29" s="88"/>
      <c r="O29" s="88"/>
      <c r="P29" s="88"/>
      <c r="R29" s="349"/>
      <c r="S29" s="439"/>
      <c r="T29" s="439"/>
    </row>
    <row r="30" spans="1:21" ht="15.75">
      <c r="A30" s="88"/>
      <c r="B30" s="88"/>
      <c r="C30" s="88"/>
      <c r="D30" s="88"/>
      <c r="E30" s="88"/>
      <c r="G30" s="90"/>
      <c r="H30" s="90" t="s">
        <v>167</v>
      </c>
      <c r="I30" s="90"/>
      <c r="K30" s="90"/>
      <c r="L30" s="90"/>
      <c r="M30" s="90"/>
      <c r="N30" s="90"/>
      <c r="O30" s="88"/>
      <c r="P30" s="88"/>
      <c r="S30" s="430"/>
      <c r="T30" s="434"/>
      <c r="U30" s="432"/>
    </row>
    <row r="31" spans="1:21" ht="15.75">
      <c r="A31" s="88"/>
      <c r="B31" s="88"/>
      <c r="C31" s="88"/>
      <c r="D31" s="88"/>
      <c r="E31" s="88"/>
      <c r="G31" s="90"/>
      <c r="H31" s="90" t="s">
        <v>168</v>
      </c>
      <c r="I31" s="90"/>
      <c r="K31" s="90"/>
      <c r="L31" s="90"/>
      <c r="M31" s="90"/>
      <c r="N31" s="90" t="s">
        <v>93</v>
      </c>
      <c r="O31" s="88"/>
      <c r="P31" s="88"/>
      <c r="R31" s="349"/>
      <c r="S31" s="429"/>
      <c r="T31" s="433"/>
      <c r="U31" s="357"/>
    </row>
    <row r="32" spans="1:21" ht="15.75">
      <c r="A32" s="88"/>
      <c r="B32" s="88"/>
      <c r="C32" s="88"/>
      <c r="D32" s="88"/>
      <c r="E32" s="88"/>
      <c r="G32" s="88"/>
      <c r="H32" s="341"/>
      <c r="I32" s="88"/>
      <c r="K32" s="88"/>
      <c r="L32" s="88"/>
      <c r="M32" s="88"/>
      <c r="N32" s="97"/>
      <c r="O32" s="88"/>
      <c r="P32" s="88"/>
      <c r="R32" s="349"/>
      <c r="T32" s="433"/>
      <c r="U32" s="357"/>
    </row>
    <row r="33" spans="1:21" ht="15.75">
      <c r="A33" s="88" t="s">
        <v>36</v>
      </c>
      <c r="C33" s="88"/>
      <c r="D33" s="88"/>
      <c r="E33" s="88"/>
      <c r="G33" s="88"/>
      <c r="H33" s="302">
        <v>1614189.35</v>
      </c>
      <c r="I33" s="88"/>
      <c r="K33" s="88"/>
      <c r="L33" s="88"/>
      <c r="M33" s="88"/>
      <c r="N33" s="93">
        <f>ROUND(H33/H37,4)</f>
        <v>0.2451</v>
      </c>
      <c r="O33" s="88"/>
      <c r="P33" s="88"/>
      <c r="R33" s="349"/>
      <c r="S33" s="429"/>
      <c r="T33" s="433"/>
      <c r="U33" s="357"/>
    </row>
    <row r="34" spans="1:21" ht="15.75">
      <c r="A34" s="88"/>
      <c r="C34" s="88"/>
      <c r="D34" s="88"/>
      <c r="E34" s="88"/>
      <c r="G34" s="88"/>
      <c r="H34" s="302"/>
      <c r="I34" s="88"/>
      <c r="K34" s="88"/>
      <c r="L34" s="88"/>
      <c r="M34" s="88"/>
      <c r="N34" s="93"/>
      <c r="O34" s="88"/>
      <c r="P34" s="88"/>
      <c r="R34" s="349"/>
      <c r="S34" s="429"/>
      <c r="T34" s="433"/>
      <c r="U34" s="357"/>
    </row>
    <row r="35" spans="1:21" ht="15.75">
      <c r="A35" s="88" t="s">
        <v>37</v>
      </c>
      <c r="C35" s="88"/>
      <c r="D35" s="88"/>
      <c r="E35" s="88"/>
      <c r="G35" s="88"/>
      <c r="H35" s="302">
        <v>4971339.08</v>
      </c>
      <c r="I35" s="88"/>
      <c r="K35" s="88"/>
      <c r="L35" s="88"/>
      <c r="M35" s="88"/>
      <c r="N35" s="93">
        <f>ROUND(H35/H37,4)</f>
        <v>0.7549</v>
      </c>
      <c r="O35" s="88"/>
      <c r="P35" s="88"/>
      <c r="R35" s="349"/>
      <c r="S35" s="429"/>
      <c r="T35" s="433"/>
      <c r="U35" s="357"/>
    </row>
    <row r="36" spans="1:21" ht="15.75">
      <c r="A36" s="88"/>
      <c r="B36" s="88"/>
      <c r="C36" s="88"/>
      <c r="D36" s="88"/>
      <c r="E36" s="88"/>
      <c r="G36" s="88"/>
      <c r="H36" s="347"/>
      <c r="I36" s="88"/>
      <c r="K36" s="88"/>
      <c r="L36" s="88"/>
      <c r="M36" s="88"/>
      <c r="N36" s="95"/>
      <c r="O36" s="88"/>
      <c r="P36" s="88"/>
      <c r="R36" s="349"/>
      <c r="S36" s="429"/>
      <c r="T36" s="433"/>
      <c r="U36" s="357"/>
    </row>
    <row r="37" spans="1:21" ht="16.5" thickBot="1">
      <c r="A37" s="88"/>
      <c r="B37" s="88" t="s">
        <v>165</v>
      </c>
      <c r="C37" s="88"/>
      <c r="D37" s="88"/>
      <c r="E37" s="88"/>
      <c r="G37" s="88"/>
      <c r="H37" s="348">
        <f>SUM(H33:H36)</f>
        <v>6585528.43</v>
      </c>
      <c r="I37" s="88"/>
      <c r="K37" s="88"/>
      <c r="L37" s="88"/>
      <c r="M37" s="88"/>
      <c r="N37" s="93">
        <f>SUM(N33:N36)</f>
        <v>1</v>
      </c>
      <c r="O37" s="88"/>
      <c r="P37" s="88"/>
      <c r="R37" s="349"/>
      <c r="S37" s="429"/>
      <c r="T37" s="433"/>
      <c r="U37" s="357"/>
    </row>
    <row r="38" spans="1:21" ht="16.5" thickTop="1">
      <c r="A38" s="88"/>
      <c r="B38" s="88"/>
      <c r="C38" s="88"/>
      <c r="D38" s="88"/>
      <c r="E38" s="88"/>
      <c r="F38" s="88"/>
      <c r="G38" s="88"/>
      <c r="H38" s="183"/>
      <c r="I38" s="88"/>
      <c r="J38" s="88"/>
      <c r="K38" s="88"/>
      <c r="L38" s="88"/>
      <c r="M38" s="88"/>
      <c r="N38" s="96"/>
      <c r="O38" s="88"/>
      <c r="P38" s="88"/>
      <c r="R38" s="349"/>
      <c r="S38" s="429"/>
      <c r="T38" s="433"/>
      <c r="U38" s="357"/>
    </row>
    <row r="39" spans="1:21" ht="15.75">
      <c r="A39" s="88"/>
      <c r="B39" s="88"/>
      <c r="C39" s="88"/>
      <c r="D39" s="88"/>
      <c r="E39" s="88"/>
      <c r="F39" s="88"/>
      <c r="G39" s="88"/>
      <c r="H39" s="302"/>
      <c r="I39" s="88"/>
      <c r="J39" s="88"/>
      <c r="K39" s="88"/>
      <c r="L39" s="88"/>
      <c r="M39" s="88"/>
      <c r="N39" s="88"/>
      <c r="O39" s="88"/>
      <c r="P39" s="88"/>
      <c r="R39" s="349"/>
      <c r="S39" s="429"/>
      <c r="T39" s="433"/>
      <c r="U39" s="357"/>
    </row>
    <row r="40" spans="18:21" ht="15.75">
      <c r="R40" s="349"/>
      <c r="S40" s="429"/>
      <c r="T40" s="433"/>
      <c r="U40" s="357"/>
    </row>
    <row r="41" spans="18:21" ht="15.75">
      <c r="R41" s="349"/>
      <c r="S41" s="429"/>
      <c r="T41" s="433"/>
      <c r="U41" s="357"/>
    </row>
    <row r="42" spans="18:21" ht="15.75">
      <c r="R42" s="349"/>
      <c r="S42" s="429"/>
      <c r="T42" s="433"/>
      <c r="U42" s="357"/>
    </row>
    <row r="43" spans="18:21" ht="15.75">
      <c r="R43" s="349"/>
      <c r="T43" s="434"/>
      <c r="U43" s="357"/>
    </row>
    <row r="44" spans="18:21" ht="15.75">
      <c r="R44" s="349"/>
      <c r="S44" s="429"/>
      <c r="T44" s="433"/>
      <c r="U44" s="357"/>
    </row>
    <row r="45" spans="18:21" ht="15.75">
      <c r="R45" s="349"/>
      <c r="S45" s="429"/>
      <c r="T45" s="433"/>
      <c r="U45" s="357"/>
    </row>
    <row r="46" spans="18:21" ht="15.75">
      <c r="R46" s="349"/>
      <c r="S46" s="429"/>
      <c r="T46" s="433"/>
      <c r="U46" s="357"/>
    </row>
    <row r="47" spans="19:21" ht="15.75">
      <c r="S47" s="429"/>
      <c r="T47" s="433"/>
      <c r="U47" s="357"/>
    </row>
    <row r="48" spans="19:21" ht="15.75">
      <c r="S48" s="429"/>
      <c r="T48" s="433"/>
      <c r="U48" s="357"/>
    </row>
    <row r="49" spans="19:21" ht="15.75">
      <c r="S49" s="429"/>
      <c r="T49" s="433"/>
      <c r="U49" s="357"/>
    </row>
    <row r="50" spans="19:21" ht="15.75">
      <c r="S50" s="429"/>
      <c r="T50" s="433"/>
      <c r="U50" s="357"/>
    </row>
    <row r="51" spans="19:21" ht="15.75">
      <c r="S51" s="429"/>
      <c r="T51" s="433"/>
      <c r="U51" s="357"/>
    </row>
    <row r="52" spans="19:21" ht="15.75">
      <c r="S52" s="429"/>
      <c r="T52" s="433"/>
      <c r="U52" s="357"/>
    </row>
    <row r="53" spans="19:21" ht="15.75">
      <c r="S53" s="429"/>
      <c r="T53" s="433"/>
      <c r="U53" s="357"/>
    </row>
    <row r="54" spans="19:21" ht="15.75">
      <c r="S54" s="429"/>
      <c r="T54" s="433"/>
      <c r="U54" s="357"/>
    </row>
    <row r="55" spans="19:21" ht="15.75">
      <c r="S55" s="429"/>
      <c r="T55" s="433"/>
      <c r="U55" s="357"/>
    </row>
    <row r="56" spans="19:21" ht="15.75">
      <c r="S56" s="433"/>
      <c r="T56" s="433"/>
      <c r="U56" s="357"/>
    </row>
    <row r="57" spans="19:21" ht="15.75">
      <c r="S57" s="433"/>
      <c r="T57" s="433"/>
      <c r="U57" s="357"/>
    </row>
    <row r="58" spans="19:21" ht="15.75">
      <c r="S58" s="433"/>
      <c r="T58" s="433"/>
      <c r="U58" s="357"/>
    </row>
    <row r="59" spans="19:21" ht="15.75">
      <c r="S59" s="433"/>
      <c r="T59" s="433"/>
      <c r="U59" s="357"/>
    </row>
    <row r="60" spans="19:21" ht="15.75">
      <c r="S60" s="435"/>
      <c r="T60" s="433"/>
      <c r="U60" s="357"/>
    </row>
    <row r="61" spans="19:21" ht="15.75">
      <c r="S61" s="435"/>
      <c r="T61" s="433"/>
      <c r="U61" s="357"/>
    </row>
    <row r="62" spans="19:21" ht="15.75">
      <c r="S62" s="435"/>
      <c r="T62" s="433"/>
      <c r="U62" s="357"/>
    </row>
    <row r="63" spans="19:21" ht="15.75">
      <c r="S63" s="433"/>
      <c r="T63" s="433"/>
      <c r="U63" s="357"/>
    </row>
    <row r="64" spans="19:21" ht="15.75">
      <c r="S64" s="433"/>
      <c r="T64" s="433"/>
      <c r="U64" s="357"/>
    </row>
    <row r="65" spans="19:21" ht="15.75">
      <c r="S65" s="433"/>
      <c r="T65" s="433"/>
      <c r="U65" s="357"/>
    </row>
    <row r="66" spans="19:21" ht="15.75">
      <c r="S66" s="433"/>
      <c r="T66" s="433"/>
      <c r="U66" s="357"/>
    </row>
    <row r="67" spans="19:21" ht="15.75">
      <c r="S67" s="433"/>
      <c r="T67" s="433"/>
      <c r="U67" s="357"/>
    </row>
    <row r="68" spans="19:21" ht="15.75">
      <c r="S68" s="433"/>
      <c r="T68" s="433"/>
      <c r="U68" s="357"/>
    </row>
    <row r="69" spans="19:21" ht="15.75">
      <c r="S69" s="433"/>
      <c r="T69" s="433"/>
      <c r="U69" s="357"/>
    </row>
    <row r="70" spans="19:21" ht="15.75">
      <c r="S70" s="433"/>
      <c r="T70" s="433"/>
      <c r="U70" s="357"/>
    </row>
    <row r="71" spans="19:21" ht="15.75">
      <c r="S71" s="433"/>
      <c r="T71" s="433"/>
      <c r="U71" s="357"/>
    </row>
    <row r="72" spans="19:21" ht="15.75">
      <c r="S72" s="433"/>
      <c r="T72" s="433"/>
      <c r="U72" s="357"/>
    </row>
    <row r="73" spans="19:21" ht="15.75">
      <c r="S73" s="433"/>
      <c r="T73" s="433"/>
      <c r="U73" s="357"/>
    </row>
    <row r="74" spans="19:20" ht="15.75">
      <c r="S74" s="433"/>
      <c r="T74" s="433"/>
    </row>
    <row r="75" spans="19:20" ht="15.75">
      <c r="S75" s="433"/>
      <c r="T75" s="434"/>
    </row>
    <row r="76" spans="19:20" ht="15.75">
      <c r="S76" s="434"/>
      <c r="T76" s="434"/>
    </row>
    <row r="77" spans="19:20" ht="15.75">
      <c r="S77" s="434"/>
      <c r="T77" s="434"/>
    </row>
    <row r="78" spans="19:20" ht="15.75">
      <c r="S78" s="434"/>
      <c r="T78" s="434"/>
    </row>
    <row r="79" spans="19:20" ht="15.75">
      <c r="S79" s="434"/>
      <c r="T79" s="434"/>
    </row>
    <row r="80" spans="19:20" ht="15.75">
      <c r="S80" s="434"/>
      <c r="T80" s="434"/>
    </row>
    <row r="81" spans="19:20" ht="15.75">
      <c r="S81" s="434"/>
      <c r="T81" s="434"/>
    </row>
    <row r="82" spans="19:20" ht="15.75">
      <c r="S82" s="434"/>
      <c r="T82" s="434"/>
    </row>
    <row r="83" spans="19:20" ht="15.75">
      <c r="S83" s="434"/>
      <c r="T83" s="434"/>
    </row>
    <row r="84" spans="19:20" ht="15.75">
      <c r="S84" s="434"/>
      <c r="T84" s="434"/>
    </row>
    <row r="85" spans="19:20" ht="15.75">
      <c r="S85" s="434"/>
      <c r="T85" s="434"/>
    </row>
    <row r="86" spans="19:20" ht="15.75">
      <c r="S86" s="434"/>
      <c r="T86" s="434"/>
    </row>
    <row r="87" spans="19:20" ht="15.75">
      <c r="S87" s="434"/>
      <c r="T87" s="434"/>
    </row>
    <row r="88" spans="20:21" ht="15.75">
      <c r="T88" s="434"/>
      <c r="U88" s="432"/>
    </row>
    <row r="89" spans="19:20" ht="15.75">
      <c r="S89" s="430"/>
      <c r="T89" s="434"/>
    </row>
  </sheetData>
  <mergeCells count="2">
    <mergeCell ref="A9:P9"/>
    <mergeCell ref="A28:P28"/>
  </mergeCells>
  <printOptions horizontalCentered="1"/>
  <pageMargins left="1" right="0.75" top="1" bottom="0.5" header="0.5" footer="0.5"/>
  <pageSetup fitToHeight="0" horizontalDpi="600" verticalDpi="600" orientation="portrait" scale="90" r:id="rId1"/>
</worksheet>
</file>

<file path=xl/worksheets/sheet9.xml><?xml version="1.0" encoding="utf-8"?>
<worksheet xmlns="http://schemas.openxmlformats.org/spreadsheetml/2006/main" xmlns:r="http://schemas.openxmlformats.org/officeDocument/2006/relationships">
  <dimension ref="A1:AY195"/>
  <sheetViews>
    <sheetView workbookViewId="0" topLeftCell="A1">
      <selection activeCell="D52" sqref="D52"/>
    </sheetView>
  </sheetViews>
  <sheetFormatPr defaultColWidth="8.88671875" defaultRowHeight="12.75"/>
  <cols>
    <col min="1" max="1" width="7.77734375" style="101" customWidth="1"/>
    <col min="2" max="2" width="8.4453125" style="101" customWidth="1"/>
    <col min="3" max="3" width="11.88671875" style="101" customWidth="1"/>
    <col min="4" max="4" width="10.6640625" style="101" customWidth="1"/>
    <col min="5" max="5" width="11.88671875" style="101" customWidth="1"/>
    <col min="6" max="6" width="10.6640625" style="101" customWidth="1"/>
    <col min="7" max="7" width="6.88671875" style="101" customWidth="1"/>
    <col min="8" max="9" width="9.77734375" style="101" customWidth="1"/>
    <col min="10" max="10" width="5.77734375" style="101" customWidth="1"/>
    <col min="11" max="11" width="8.6640625" style="101" customWidth="1"/>
    <col min="12" max="12" width="7.77734375" style="101" customWidth="1"/>
    <col min="13" max="13" width="1.77734375" style="101" customWidth="1"/>
    <col min="14" max="14" width="7.77734375" style="101" customWidth="1"/>
    <col min="15" max="15" width="1.77734375" style="101" customWidth="1"/>
    <col min="16" max="16" width="7.77734375" style="101" customWidth="1"/>
    <col min="17" max="17" width="1.77734375" style="101" customWidth="1"/>
    <col min="18" max="18" width="7.77734375" style="101" customWidth="1"/>
    <col min="19" max="19" width="1.77734375" style="101" customWidth="1"/>
    <col min="20" max="20" width="7.77734375" style="101" customWidth="1"/>
    <col min="21" max="21" width="1.77734375" style="101" customWidth="1"/>
    <col min="22" max="22" width="7.77734375" style="101" customWidth="1"/>
    <col min="23" max="23" width="1.77734375" style="101" customWidth="1"/>
    <col min="24" max="24" width="8.77734375" style="101" customWidth="1"/>
    <col min="25" max="25" width="1.77734375" style="101" customWidth="1"/>
    <col min="26" max="26" width="7.77734375" style="101" customWidth="1"/>
    <col min="27" max="27" width="1.77734375" style="101" customWidth="1"/>
    <col min="28" max="28" width="8.77734375" style="101" customWidth="1"/>
    <col min="29" max="29" width="1.77734375" style="101" customWidth="1"/>
    <col min="30" max="30" width="7.77734375" style="101" customWidth="1"/>
    <col min="31" max="31" width="1.77734375" style="101" customWidth="1"/>
    <col min="32" max="32" width="9.77734375" style="101" customWidth="1"/>
    <col min="33" max="33" width="1.77734375" style="101" customWidth="1"/>
    <col min="34" max="34" width="7.77734375" style="101" customWidth="1"/>
    <col min="35" max="35" width="1.77734375" style="101" customWidth="1"/>
    <col min="36" max="36" width="9.77734375" style="101" customWidth="1"/>
    <col min="37" max="37" width="1.77734375" style="101" customWidth="1"/>
    <col min="38" max="38" width="7.77734375" style="101" customWidth="1"/>
    <col min="39" max="39" width="1.77734375" style="101" customWidth="1"/>
    <col min="40" max="40" width="7.77734375" style="101" customWidth="1"/>
    <col min="41" max="42" width="9.77734375" style="101" customWidth="1"/>
    <col min="43" max="43" width="6.77734375" style="101" customWidth="1"/>
    <col min="44" max="44" width="4.77734375" style="101" customWidth="1"/>
    <col min="45" max="45" width="9.77734375" style="101" customWidth="1"/>
    <col min="46" max="46" width="4.77734375" style="101" customWidth="1"/>
    <col min="47" max="47" width="9.77734375" style="101" customWidth="1"/>
    <col min="48" max="48" width="4.77734375" style="101" customWidth="1"/>
    <col min="49" max="49" width="9.77734375" style="101" customWidth="1"/>
    <col min="50" max="50" width="4.77734375" style="101" customWidth="1"/>
    <col min="51" max="51" width="8.77734375" style="101" customWidth="1"/>
    <col min="52" max="16384" width="9.77734375" style="101" customWidth="1"/>
  </cols>
  <sheetData>
    <row r="1" spans="1:7" ht="15">
      <c r="A1" s="36" t="s">
        <v>369</v>
      </c>
      <c r="B1" s="100"/>
      <c r="C1" s="99"/>
      <c r="D1" s="100"/>
      <c r="E1" s="100"/>
      <c r="F1" s="100"/>
      <c r="G1" s="100"/>
    </row>
    <row r="2" spans="1:7" ht="15">
      <c r="A2" s="36"/>
      <c r="B2" s="100"/>
      <c r="C2" s="99"/>
      <c r="D2" s="100"/>
      <c r="E2" s="100"/>
      <c r="F2" s="100"/>
      <c r="G2" s="100"/>
    </row>
    <row r="3" spans="1:7" ht="15">
      <c r="A3" s="100"/>
      <c r="B3" s="100"/>
      <c r="C3" s="100"/>
      <c r="D3" s="100"/>
      <c r="E3" s="100"/>
      <c r="F3" s="100"/>
      <c r="G3" s="100"/>
    </row>
    <row r="4" spans="1:7" ht="15">
      <c r="A4" s="504" t="s">
        <v>82</v>
      </c>
      <c r="B4" s="504"/>
      <c r="C4" s="504"/>
      <c r="D4" s="504"/>
      <c r="E4" s="504"/>
      <c r="F4" s="504"/>
      <c r="G4" s="504"/>
    </row>
    <row r="5" spans="1:7" ht="15">
      <c r="A5" s="102"/>
      <c r="B5" s="102"/>
      <c r="C5" s="102"/>
      <c r="D5" s="102"/>
      <c r="E5" s="102"/>
      <c r="F5" s="102"/>
      <c r="G5" s="102"/>
    </row>
    <row r="6" spans="1:7" ht="15">
      <c r="A6" s="102"/>
      <c r="B6" s="102"/>
      <c r="C6" s="102"/>
      <c r="D6" s="102"/>
      <c r="E6" s="102"/>
      <c r="F6" s="102"/>
      <c r="G6" s="102"/>
    </row>
    <row r="7" spans="1:7" ht="15">
      <c r="A7" s="102" t="s">
        <v>214</v>
      </c>
      <c r="B7" s="102"/>
      <c r="C7" s="102"/>
      <c r="D7" s="102"/>
      <c r="E7" s="102"/>
      <c r="F7" s="102"/>
      <c r="G7" s="102"/>
    </row>
    <row r="8" spans="1:7" ht="15">
      <c r="A8" s="102"/>
      <c r="B8" s="102"/>
      <c r="C8" s="102"/>
      <c r="D8" s="102"/>
      <c r="E8" s="102"/>
      <c r="F8" s="102"/>
      <c r="G8" s="102"/>
    </row>
    <row r="9" spans="1:7" ht="15">
      <c r="A9" s="102" t="s">
        <v>13</v>
      </c>
      <c r="B9" s="102"/>
      <c r="C9" s="102"/>
      <c r="D9" s="102"/>
      <c r="E9" s="102"/>
      <c r="F9" s="102"/>
      <c r="G9" s="102"/>
    </row>
    <row r="10" spans="1:7" ht="15">
      <c r="A10" s="102"/>
      <c r="B10" s="102"/>
      <c r="C10" s="102"/>
      <c r="D10" s="102"/>
      <c r="E10" s="102"/>
      <c r="F10" s="102"/>
      <c r="G10" s="102"/>
    </row>
    <row r="11" spans="1:7" ht="15">
      <c r="A11" s="100" t="s">
        <v>53</v>
      </c>
      <c r="B11" s="99"/>
      <c r="C11" s="102"/>
      <c r="D11"/>
      <c r="E11" s="103"/>
      <c r="F11" s="103" t="s">
        <v>55</v>
      </c>
      <c r="G11" s="102"/>
    </row>
    <row r="12" spans="1:7" ht="15">
      <c r="A12" s="100" t="s">
        <v>56</v>
      </c>
      <c r="B12" s="99"/>
      <c r="C12" s="102"/>
      <c r="D12"/>
      <c r="E12" s="103"/>
      <c r="F12" s="103" t="s">
        <v>57</v>
      </c>
      <c r="G12" s="102"/>
    </row>
    <row r="13" spans="1:7" ht="15">
      <c r="A13" s="104" t="s">
        <v>58</v>
      </c>
      <c r="B13" s="105"/>
      <c r="C13" s="102"/>
      <c r="D13"/>
      <c r="E13" s="103"/>
      <c r="F13" s="106" t="s">
        <v>60</v>
      </c>
      <c r="G13" s="102"/>
    </row>
    <row r="14" spans="1:7" ht="12.75" customHeight="1">
      <c r="A14" s="102"/>
      <c r="C14" s="102"/>
      <c r="D14"/>
      <c r="E14" s="102"/>
      <c r="F14" s="102"/>
      <c r="G14" s="102"/>
    </row>
    <row r="15" spans="1:7" ht="15">
      <c r="A15" s="65" t="s">
        <v>99</v>
      </c>
      <c r="C15" s="102"/>
      <c r="D15"/>
      <c r="E15" s="102"/>
      <c r="F15" s="108">
        <v>1</v>
      </c>
      <c r="G15" s="102"/>
    </row>
    <row r="16" spans="1:7" ht="15">
      <c r="A16" s="102"/>
      <c r="B16" s="102"/>
      <c r="C16" s="102"/>
      <c r="D16"/>
      <c r="E16" s="102"/>
      <c r="F16" s="110"/>
      <c r="G16" s="102"/>
    </row>
    <row r="17" spans="1:7" ht="15.75" thickBot="1">
      <c r="A17" s="102" t="s">
        <v>170</v>
      </c>
      <c r="B17" s="102"/>
      <c r="C17" s="102"/>
      <c r="D17"/>
      <c r="E17" s="102"/>
      <c r="F17" s="108">
        <f>SUM(F15:F15)</f>
        <v>1</v>
      </c>
      <c r="G17" s="102"/>
    </row>
    <row r="18" spans="1:7" ht="15.75" thickTop="1">
      <c r="A18" s="102"/>
      <c r="B18" s="102"/>
      <c r="C18" s="102"/>
      <c r="D18"/>
      <c r="E18" s="102"/>
      <c r="F18" s="111"/>
      <c r="G18" s="102"/>
    </row>
    <row r="19" spans="1:7" ht="15">
      <c r="A19" s="102"/>
      <c r="B19" s="102"/>
      <c r="C19" s="102"/>
      <c r="D19" s="102"/>
      <c r="E19" s="102"/>
      <c r="F19" s="102"/>
      <c r="G19" s="102"/>
    </row>
    <row r="20" spans="1:7" ht="15">
      <c r="A20" s="102"/>
      <c r="B20" s="102"/>
      <c r="C20" s="102"/>
      <c r="D20" s="102"/>
      <c r="E20" s="102"/>
      <c r="F20" s="102"/>
      <c r="G20" s="102"/>
    </row>
    <row r="21" spans="1:7" ht="15">
      <c r="A21" s="102" t="s">
        <v>213</v>
      </c>
      <c r="B21" s="102"/>
      <c r="C21" s="102"/>
      <c r="D21" s="102"/>
      <c r="E21" s="102"/>
      <c r="F21" s="102"/>
      <c r="G21" s="102"/>
    </row>
    <row r="22" spans="1:7" ht="15">
      <c r="A22" s="102"/>
      <c r="B22" s="102"/>
      <c r="C22" s="102"/>
      <c r="D22" s="102"/>
      <c r="E22" s="102"/>
      <c r="F22" s="102"/>
      <c r="G22" s="102"/>
    </row>
    <row r="23" spans="1:7" ht="27.75" customHeight="1">
      <c r="A23" s="503" t="s">
        <v>171</v>
      </c>
      <c r="B23" s="503"/>
      <c r="C23" s="503"/>
      <c r="D23" s="503"/>
      <c r="E23" s="503"/>
      <c r="F23" s="503"/>
      <c r="G23" s="503"/>
    </row>
    <row r="24" spans="1:7" ht="15">
      <c r="A24" s="102"/>
      <c r="B24" s="102"/>
      <c r="C24" s="102"/>
      <c r="D24" s="102"/>
      <c r="E24" s="102"/>
      <c r="F24" s="102"/>
      <c r="G24" s="102"/>
    </row>
    <row r="25" spans="1:7" ht="15">
      <c r="A25" s="100" t="s">
        <v>53</v>
      </c>
      <c r="B25" s="99"/>
      <c r="C25" s="102"/>
      <c r="D25" s="103" t="s">
        <v>172</v>
      </c>
      <c r="E25" s="103"/>
      <c r="F25" s="103" t="s">
        <v>55</v>
      </c>
      <c r="G25" s="102"/>
    </row>
    <row r="26" spans="1:7" ht="15">
      <c r="A26" s="100" t="s">
        <v>56</v>
      </c>
      <c r="B26" s="99"/>
      <c r="C26" s="102"/>
      <c r="D26" s="103" t="s">
        <v>173</v>
      </c>
      <c r="E26" s="103"/>
      <c r="F26" s="103" t="s">
        <v>57</v>
      </c>
      <c r="G26" s="102"/>
    </row>
    <row r="27" spans="1:7" ht="15">
      <c r="A27" s="104" t="s">
        <v>58</v>
      </c>
      <c r="B27" s="105"/>
      <c r="C27" s="102"/>
      <c r="D27" s="106" t="s">
        <v>75</v>
      </c>
      <c r="E27" s="103" t="s">
        <v>174</v>
      </c>
      <c r="F27" s="106" t="s">
        <v>60</v>
      </c>
      <c r="G27" s="102"/>
    </row>
    <row r="28" spans="1:11" ht="12.75" customHeight="1">
      <c r="A28" s="102"/>
      <c r="C28" s="102"/>
      <c r="D28" s="102"/>
      <c r="E28" s="102"/>
      <c r="F28" s="108"/>
      <c r="G28" s="102"/>
      <c r="I28" s="364"/>
      <c r="J28" s="364"/>
      <c r="K28" s="364"/>
    </row>
    <row r="29" spans="1:11" ht="15">
      <c r="A29" s="2" t="s">
        <v>61</v>
      </c>
      <c r="C29" s="102"/>
      <c r="D29" s="107">
        <f>Meters!$G$32</f>
        <v>79441</v>
      </c>
      <c r="E29" s="102"/>
      <c r="F29" s="112">
        <f>ROUND(+D29/D$35,4)</f>
        <v>0.7768</v>
      </c>
      <c r="G29" s="102"/>
      <c r="I29" s="365"/>
      <c r="J29" s="364"/>
      <c r="K29" s="362"/>
    </row>
    <row r="30" spans="1:11" ht="15">
      <c r="A30" s="2" t="s">
        <v>194</v>
      </c>
      <c r="C30" s="102"/>
      <c r="D30" s="107">
        <f>Meters!$K$32</f>
        <v>18268</v>
      </c>
      <c r="E30" s="102"/>
      <c r="F30" s="108">
        <f>ROUND(+D30/D$35,4)</f>
        <v>0.1786</v>
      </c>
      <c r="G30" s="102"/>
      <c r="I30" s="365"/>
      <c r="J30" s="364"/>
      <c r="K30" s="366"/>
    </row>
    <row r="31" spans="1:11" ht="15">
      <c r="A31" s="2" t="s">
        <v>63</v>
      </c>
      <c r="C31" s="102"/>
      <c r="D31" s="107">
        <f>Meters!$O$32</f>
        <v>1407</v>
      </c>
      <c r="E31" s="102"/>
      <c r="F31" s="108">
        <f>ROUND(+D31/D$35,4)</f>
        <v>0.0138</v>
      </c>
      <c r="G31" s="102"/>
      <c r="I31" s="365"/>
      <c r="J31" s="364"/>
      <c r="K31" s="366"/>
    </row>
    <row r="32" spans="1:11" ht="15">
      <c r="A32" s="2" t="s">
        <v>64</v>
      </c>
      <c r="C32" s="102"/>
      <c r="D32" s="107">
        <f>Meters!$S$32</f>
        <v>3069</v>
      </c>
      <c r="E32" s="102"/>
      <c r="F32" s="108">
        <f>ROUND(+D32/D$35,4)</f>
        <v>0.03</v>
      </c>
      <c r="G32" s="102"/>
      <c r="I32" s="365"/>
      <c r="J32" s="364"/>
      <c r="K32" s="366"/>
    </row>
    <row r="33" spans="1:11" ht="15">
      <c r="A33" s="2" t="s">
        <v>427</v>
      </c>
      <c r="C33" s="102"/>
      <c r="D33" s="107">
        <f>Meters!$W$32</f>
        <v>86</v>
      </c>
      <c r="E33" s="102"/>
      <c r="F33" s="108">
        <f>ROUND(+D33/D$35,4)</f>
        <v>0.0008</v>
      </c>
      <c r="G33" s="102"/>
      <c r="I33" s="364"/>
      <c r="J33" s="364"/>
      <c r="K33" s="366"/>
    </row>
    <row r="34" spans="1:11" ht="15">
      <c r="A34" s="102"/>
      <c r="C34" s="102"/>
      <c r="D34" s="109"/>
      <c r="E34" s="102"/>
      <c r="F34" s="113"/>
      <c r="G34" s="102"/>
      <c r="I34" s="364"/>
      <c r="J34" s="364"/>
      <c r="K34" s="185"/>
    </row>
    <row r="35" spans="1:11" ht="15.75" thickBot="1">
      <c r="A35" s="102" t="s">
        <v>66</v>
      </c>
      <c r="C35" s="102"/>
      <c r="D35" s="107">
        <f>SUM(D29:D34)</f>
        <v>102271</v>
      </c>
      <c r="E35" s="102"/>
      <c r="F35" s="186">
        <f>SUM(F29:F34)</f>
        <v>1</v>
      </c>
      <c r="G35" s="102"/>
      <c r="I35" s="367"/>
      <c r="J35" s="364"/>
      <c r="K35" s="366"/>
    </row>
    <row r="36" spans="1:11" ht="15.75" thickTop="1">
      <c r="A36" s="102"/>
      <c r="B36" s="102"/>
      <c r="C36" s="102"/>
      <c r="D36" s="114"/>
      <c r="E36" s="115"/>
      <c r="F36" s="185"/>
      <c r="G36" s="102"/>
      <c r="I36" s="364"/>
      <c r="J36" s="364"/>
      <c r="K36" s="364"/>
    </row>
    <row r="37" spans="1:51" ht="15">
      <c r="A37" s="36" t="s">
        <v>369</v>
      </c>
      <c r="B37" s="100"/>
      <c r="C37" s="99"/>
      <c r="D37" s="100"/>
      <c r="E37" s="100"/>
      <c r="F37" s="100"/>
      <c r="G37" s="100"/>
      <c r="H37" s="117"/>
      <c r="I37" s="368"/>
      <c r="J37" s="368"/>
      <c r="K37" s="368"/>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row>
    <row r="38" spans="1:7" ht="15">
      <c r="A38" s="36"/>
      <c r="B38" s="100"/>
      <c r="C38" s="99"/>
      <c r="D38" s="100"/>
      <c r="E38" s="100"/>
      <c r="F38" s="100"/>
      <c r="G38" s="100"/>
    </row>
    <row r="39" spans="1:7" ht="15">
      <c r="A39" s="100"/>
      <c r="B39" s="100"/>
      <c r="C39" s="100"/>
      <c r="D39" s="100"/>
      <c r="E39" s="100"/>
      <c r="F39" s="100"/>
      <c r="G39" s="100"/>
    </row>
    <row r="40" spans="1:7" ht="15">
      <c r="A40" s="504" t="s">
        <v>82</v>
      </c>
      <c r="B40" s="504"/>
      <c r="C40" s="504"/>
      <c r="D40" s="504"/>
      <c r="E40" s="504"/>
      <c r="F40" s="504"/>
      <c r="G40" s="504"/>
    </row>
    <row r="41" spans="1:7" ht="15">
      <c r="A41" s="102"/>
      <c r="B41" s="102"/>
      <c r="C41" s="102"/>
      <c r="D41" s="102"/>
      <c r="E41" s="102"/>
      <c r="F41" s="102"/>
      <c r="G41" s="102"/>
    </row>
    <row r="42" spans="1:7" ht="15">
      <c r="A42" s="102"/>
      <c r="B42" s="102"/>
      <c r="C42" s="102"/>
      <c r="D42" s="102"/>
      <c r="E42" s="102"/>
      <c r="F42" s="102"/>
      <c r="G42" s="102"/>
    </row>
    <row r="43" spans="1:7" ht="15">
      <c r="A43" s="102" t="s">
        <v>212</v>
      </c>
      <c r="B43" s="102"/>
      <c r="C43" s="102"/>
      <c r="D43" s="102"/>
      <c r="E43" s="102"/>
      <c r="F43" s="102"/>
      <c r="G43" s="102"/>
    </row>
    <row r="44" spans="1:7" ht="15">
      <c r="A44" s="102"/>
      <c r="B44" s="102"/>
      <c r="C44" s="102"/>
      <c r="D44" s="102"/>
      <c r="E44" s="102"/>
      <c r="F44" s="102"/>
      <c r="G44" s="102"/>
    </row>
    <row r="45" spans="1:7" ht="27" customHeight="1">
      <c r="A45" s="503" t="s">
        <v>175</v>
      </c>
      <c r="B45" s="503"/>
      <c r="C45" s="503"/>
      <c r="D45" s="503"/>
      <c r="E45" s="503"/>
      <c r="F45" s="503"/>
      <c r="G45" s="102"/>
    </row>
    <row r="46" spans="1:7" ht="15">
      <c r="A46" s="102"/>
      <c r="B46" s="102"/>
      <c r="C46" s="102"/>
      <c r="D46" s="102"/>
      <c r="E46" s="102"/>
      <c r="F46" s="102"/>
      <c r="G46" s="102"/>
    </row>
    <row r="47" spans="1:7" ht="15">
      <c r="A47" s="100" t="s">
        <v>53</v>
      </c>
      <c r="B47" s="99"/>
      <c r="C47" s="102"/>
      <c r="D47" s="103" t="s">
        <v>176</v>
      </c>
      <c r="E47" s="103"/>
      <c r="F47" s="103" t="s">
        <v>55</v>
      </c>
      <c r="G47" s="102"/>
    </row>
    <row r="48" spans="1:7" ht="15">
      <c r="A48" s="100" t="s">
        <v>56</v>
      </c>
      <c r="B48" s="99"/>
      <c r="C48" s="102"/>
      <c r="D48" s="103" t="s">
        <v>173</v>
      </c>
      <c r="E48" s="103"/>
      <c r="F48" s="103" t="s">
        <v>57</v>
      </c>
      <c r="G48" s="102"/>
    </row>
    <row r="49" spans="1:7" ht="15">
      <c r="A49" s="104" t="s">
        <v>58</v>
      </c>
      <c r="B49" s="105"/>
      <c r="C49" s="102"/>
      <c r="D49" s="106" t="s">
        <v>75</v>
      </c>
      <c r="E49" s="103" t="s">
        <v>174</v>
      </c>
      <c r="F49" s="106" t="s">
        <v>60</v>
      </c>
      <c r="G49" s="102"/>
    </row>
    <row r="50" spans="1:7" ht="12.75" customHeight="1">
      <c r="A50" s="102"/>
      <c r="C50" s="102"/>
      <c r="D50" s="102"/>
      <c r="E50" s="102"/>
      <c r="F50" s="108"/>
      <c r="G50" s="102"/>
    </row>
    <row r="51" spans="1:7" ht="15">
      <c r="A51" s="2" t="s">
        <v>61</v>
      </c>
      <c r="C51" s="102"/>
      <c r="D51" s="107">
        <f>Meters!$G$64</f>
        <v>79142</v>
      </c>
      <c r="E51" s="102"/>
      <c r="F51" s="112">
        <f>ROUND(D51/D$57,4)</f>
        <v>0.8383</v>
      </c>
      <c r="G51" s="102"/>
    </row>
    <row r="52" spans="1:7" ht="15">
      <c r="A52" s="2" t="s">
        <v>194</v>
      </c>
      <c r="C52" s="102"/>
      <c r="D52" s="107">
        <f>Meters!$K$64</f>
        <v>12770</v>
      </c>
      <c r="E52" s="102"/>
      <c r="F52" s="108">
        <f>ROUND(D52/D$57,4)</f>
        <v>0.1353</v>
      </c>
      <c r="G52" s="102"/>
    </row>
    <row r="53" spans="1:7" ht="15">
      <c r="A53" s="2" t="s">
        <v>63</v>
      </c>
      <c r="C53" s="102"/>
      <c r="D53" s="107">
        <f>Meters!$O$64</f>
        <v>634</v>
      </c>
      <c r="E53" s="102"/>
      <c r="F53" s="108">
        <f>ROUND(D53/D$57,4)</f>
        <v>0.0067</v>
      </c>
      <c r="G53" s="102"/>
    </row>
    <row r="54" spans="1:7" ht="15">
      <c r="A54" s="2" t="s">
        <v>64</v>
      </c>
      <c r="C54" s="102"/>
      <c r="D54" s="107">
        <f>Meters!$S$64</f>
        <v>1831</v>
      </c>
      <c r="E54" s="102"/>
      <c r="F54" s="108">
        <f>ROUND(D54/D$57,4)</f>
        <v>0.0194</v>
      </c>
      <c r="G54" s="102"/>
    </row>
    <row r="55" spans="1:7" ht="15">
      <c r="A55" s="2" t="s">
        <v>427</v>
      </c>
      <c r="C55" s="102"/>
      <c r="D55" s="107">
        <f>Meters!$W$64</f>
        <v>28</v>
      </c>
      <c r="E55" s="102"/>
      <c r="F55" s="108">
        <f>ROUND(D55/D$57,4)</f>
        <v>0.0003</v>
      </c>
      <c r="G55" s="102"/>
    </row>
    <row r="56" spans="1:7" ht="15">
      <c r="A56" s="102"/>
      <c r="C56" s="102"/>
      <c r="D56" s="109"/>
      <c r="E56" s="102"/>
      <c r="F56" s="113"/>
      <c r="G56" s="102"/>
    </row>
    <row r="57" spans="1:7" ht="15.75" thickBot="1">
      <c r="A57" s="102" t="s">
        <v>66</v>
      </c>
      <c r="C57" s="102"/>
      <c r="D57" s="107">
        <f>SUM(D51:D56)</f>
        <v>94405</v>
      </c>
      <c r="E57" s="102"/>
      <c r="F57" s="186">
        <f>SUM(F51:F56)</f>
        <v>1</v>
      </c>
      <c r="G57" s="102"/>
    </row>
    <row r="58" spans="1:7" ht="15.75" thickTop="1">
      <c r="A58" s="102"/>
      <c r="B58" s="102"/>
      <c r="C58" s="102"/>
      <c r="D58" s="114"/>
      <c r="E58" s="115"/>
      <c r="F58" s="116"/>
      <c r="G58" s="102"/>
    </row>
    <row r="59" spans="1:7" ht="15">
      <c r="A59" s="102"/>
      <c r="B59" s="102"/>
      <c r="C59" s="102"/>
      <c r="D59" s="102"/>
      <c r="E59" s="102"/>
      <c r="F59" s="102"/>
      <c r="G59" s="102"/>
    </row>
    <row r="60" spans="1:7" ht="15">
      <c r="A60" s="102"/>
      <c r="B60" s="102"/>
      <c r="C60" s="102"/>
      <c r="D60" s="102"/>
      <c r="E60" s="102"/>
      <c r="F60" s="102"/>
      <c r="G60" s="102"/>
    </row>
    <row r="61" spans="1:7" ht="15">
      <c r="A61" s="102"/>
      <c r="B61" s="102"/>
      <c r="C61" s="102"/>
      <c r="D61" s="102"/>
      <c r="E61" s="102"/>
      <c r="F61" s="102"/>
      <c r="G61" s="102"/>
    </row>
    <row r="62" spans="1:7" ht="15">
      <c r="A62" s="102"/>
      <c r="B62" s="102"/>
      <c r="C62" s="102"/>
      <c r="D62" s="102"/>
      <c r="E62" s="102"/>
      <c r="F62" s="102"/>
      <c r="G62" s="102"/>
    </row>
    <row r="63" spans="1:7" ht="15">
      <c r="A63" s="102"/>
      <c r="B63" s="102"/>
      <c r="C63" s="102"/>
      <c r="D63" s="102"/>
      <c r="E63" s="102"/>
      <c r="F63" s="102"/>
      <c r="G63" s="102"/>
    </row>
    <row r="64" spans="1:7" ht="15">
      <c r="A64" s="102"/>
      <c r="B64" s="102"/>
      <c r="C64" s="102"/>
      <c r="D64" s="102"/>
      <c r="E64" s="102"/>
      <c r="F64" s="102"/>
      <c r="G64" s="102"/>
    </row>
    <row r="65" spans="1:7" ht="15">
      <c r="A65" s="102"/>
      <c r="B65" s="102"/>
      <c r="C65" s="102"/>
      <c r="D65" s="102"/>
      <c r="E65" s="102"/>
      <c r="F65" s="102"/>
      <c r="G65" s="102"/>
    </row>
    <row r="66" spans="1:7" ht="15">
      <c r="A66" s="102"/>
      <c r="B66" s="102"/>
      <c r="C66" s="102"/>
      <c r="D66" s="102"/>
      <c r="E66" s="102"/>
      <c r="F66" s="102"/>
      <c r="G66" s="102"/>
    </row>
    <row r="67" spans="1:7" ht="15">
      <c r="A67" s="102"/>
      <c r="B67" s="102"/>
      <c r="C67" s="102"/>
      <c r="D67" s="102"/>
      <c r="E67" s="102"/>
      <c r="F67" s="102"/>
      <c r="G67" s="102"/>
    </row>
    <row r="71" spans="41:51" ht="15">
      <c r="AO71" s="102"/>
      <c r="AQ71" s="99"/>
      <c r="AR71" s="99"/>
      <c r="AS71" s="99"/>
      <c r="AT71" s="99"/>
      <c r="AU71" s="99"/>
      <c r="AV71" s="99"/>
      <c r="AW71" s="99"/>
      <c r="AX71" s="99"/>
      <c r="AY71" s="99"/>
    </row>
    <row r="72" spans="41:51" ht="15">
      <c r="AO72" s="102">
        <f>14*15</f>
        <v>210</v>
      </c>
      <c r="AQ72" s="99"/>
      <c r="AR72" s="99"/>
      <c r="AS72" s="99"/>
      <c r="AT72" s="99"/>
      <c r="AU72" s="99"/>
      <c r="AV72" s="99"/>
      <c r="AW72" s="99"/>
      <c r="AX72" s="99"/>
      <c r="AY72" s="99"/>
    </row>
    <row r="73" spans="41:51" ht="15">
      <c r="AO73" s="102"/>
      <c r="AQ73" s="100"/>
      <c r="AR73" s="99"/>
      <c r="AS73" s="99"/>
      <c r="AT73" s="99"/>
      <c r="AU73" s="99"/>
      <c r="AV73" s="99"/>
      <c r="AW73" s="99"/>
      <c r="AX73" s="99"/>
      <c r="AY73" s="99"/>
    </row>
    <row r="74" spans="41:51" ht="15">
      <c r="AO74" s="102"/>
      <c r="AQ74" s="100"/>
      <c r="AR74" s="99"/>
      <c r="AS74" s="99"/>
      <c r="AT74" s="99"/>
      <c r="AU74" s="99"/>
      <c r="AV74" s="99"/>
      <c r="AW74" s="99"/>
      <c r="AX74" s="99"/>
      <c r="AY74" s="99"/>
    </row>
    <row r="75" ht="15">
      <c r="AO75" s="102"/>
    </row>
    <row r="76" spans="41:51" ht="15">
      <c r="AO76" s="102"/>
      <c r="AQ76" s="102"/>
      <c r="AR76" s="102"/>
      <c r="AS76" s="102"/>
      <c r="AT76" s="102"/>
      <c r="AU76" s="102"/>
      <c r="AV76" s="102"/>
      <c r="AW76" s="102"/>
      <c r="AX76" s="102"/>
      <c r="AY76" s="102"/>
    </row>
    <row r="77" spans="41:51" ht="15">
      <c r="AO77" s="102"/>
      <c r="AQ77" s="102"/>
      <c r="AR77" s="102"/>
      <c r="AS77" s="103"/>
      <c r="AT77" s="103"/>
      <c r="AU77" s="103"/>
      <c r="AV77" s="103"/>
      <c r="AW77" s="103"/>
      <c r="AX77" s="103"/>
      <c r="AY77" s="103"/>
    </row>
    <row r="78" spans="41:51" ht="15">
      <c r="AO78" s="102"/>
      <c r="AQ78" s="103"/>
      <c r="AR78" s="102"/>
      <c r="AS78" s="103"/>
      <c r="AT78" s="103"/>
      <c r="AU78" s="103"/>
      <c r="AV78" s="103"/>
      <c r="AW78" s="103"/>
      <c r="AX78" s="103"/>
      <c r="AY78" s="103"/>
    </row>
    <row r="79" spans="41:51" ht="15">
      <c r="AO79" s="102"/>
      <c r="AQ79" s="103"/>
      <c r="AR79" s="102"/>
      <c r="AS79" s="103"/>
      <c r="AT79" s="103"/>
      <c r="AU79" s="103"/>
      <c r="AV79" s="103"/>
      <c r="AW79" s="103"/>
      <c r="AX79" s="103"/>
      <c r="AY79" s="103"/>
    </row>
    <row r="80" spans="41:51" ht="15">
      <c r="AO80" s="102"/>
      <c r="AQ80" s="118"/>
      <c r="AR80" s="102"/>
      <c r="AS80" s="118"/>
      <c r="AT80" s="118"/>
      <c r="AU80" s="118"/>
      <c r="AV80" s="102"/>
      <c r="AW80" s="118"/>
      <c r="AX80" s="118"/>
      <c r="AY80" s="118"/>
    </row>
    <row r="81" spans="41:51" ht="15">
      <c r="AO81" s="102"/>
      <c r="AQ81" s="102"/>
      <c r="AR81" s="102"/>
      <c r="AS81" s="102"/>
      <c r="AT81" s="102"/>
      <c r="AU81" s="102"/>
      <c r="AV81" s="102"/>
      <c r="AW81" s="102"/>
      <c r="AX81" s="102"/>
      <c r="AY81" s="102"/>
    </row>
    <row r="82" spans="41:51" ht="15">
      <c r="AO82" s="102"/>
      <c r="AQ82" s="103"/>
      <c r="AR82" s="102"/>
      <c r="AS82" s="107"/>
      <c r="AT82" s="107"/>
      <c r="AU82" s="107"/>
      <c r="AV82" s="107"/>
      <c r="AW82" s="107"/>
      <c r="AX82" s="119"/>
      <c r="AY82" s="119"/>
    </row>
    <row r="83" spans="41:51" ht="15">
      <c r="AO83" s="102"/>
      <c r="AQ83" s="103"/>
      <c r="AR83" s="102"/>
      <c r="AS83" s="107"/>
      <c r="AT83" s="107"/>
      <c r="AU83" s="107"/>
      <c r="AV83" s="107"/>
      <c r="AW83" s="107"/>
      <c r="AX83" s="119"/>
      <c r="AY83" s="119"/>
    </row>
    <row r="84" spans="41:51" ht="15">
      <c r="AO84" s="102"/>
      <c r="AQ84" s="103"/>
      <c r="AR84" s="102"/>
      <c r="AS84" s="107"/>
      <c r="AT84" s="107"/>
      <c r="AU84" s="107"/>
      <c r="AV84" s="107"/>
      <c r="AW84" s="107"/>
      <c r="AX84" s="119"/>
      <c r="AY84" s="119"/>
    </row>
    <row r="85" spans="41:51" ht="15">
      <c r="AO85" s="102"/>
      <c r="AQ85" s="103"/>
      <c r="AR85" s="102"/>
      <c r="AS85" s="107"/>
      <c r="AT85" s="107"/>
      <c r="AU85" s="107"/>
      <c r="AV85" s="107"/>
      <c r="AW85" s="107"/>
      <c r="AX85" s="119"/>
      <c r="AY85" s="119"/>
    </row>
    <row r="86" spans="41:51" ht="15">
      <c r="AO86" s="102"/>
      <c r="AQ86" s="103"/>
      <c r="AR86" s="102"/>
      <c r="AS86" s="107"/>
      <c r="AT86" s="107"/>
      <c r="AU86" s="107"/>
      <c r="AV86" s="107"/>
      <c r="AW86" s="107"/>
      <c r="AX86" s="119"/>
      <c r="AY86" s="119"/>
    </row>
    <row r="87" spans="41:51" ht="15">
      <c r="AO87" s="102"/>
      <c r="AQ87" s="103"/>
      <c r="AR87" s="102"/>
      <c r="AS87" s="107"/>
      <c r="AT87" s="107"/>
      <c r="AU87" s="107"/>
      <c r="AV87" s="107"/>
      <c r="AW87" s="107"/>
      <c r="AX87" s="119"/>
      <c r="AY87" s="119"/>
    </row>
    <row r="88" spans="41:51" ht="15">
      <c r="AO88" s="102"/>
      <c r="AQ88" s="103"/>
      <c r="AR88" s="102"/>
      <c r="AS88" s="107"/>
      <c r="AT88" s="107"/>
      <c r="AU88" s="107"/>
      <c r="AV88" s="107"/>
      <c r="AW88" s="107"/>
      <c r="AX88" s="119"/>
      <c r="AY88" s="119"/>
    </row>
    <row r="89" spans="41:51" ht="15">
      <c r="AO89" s="102"/>
      <c r="AQ89" s="103"/>
      <c r="AR89" s="102"/>
      <c r="AS89" s="107"/>
      <c r="AT89" s="107"/>
      <c r="AU89" s="107"/>
      <c r="AV89" s="107"/>
      <c r="AW89" s="107"/>
      <c r="AX89" s="119"/>
      <c r="AY89" s="119"/>
    </row>
    <row r="90" spans="41:51" ht="15">
      <c r="AO90" s="102"/>
      <c r="AQ90" s="103"/>
      <c r="AR90" s="102"/>
      <c r="AS90" s="107"/>
      <c r="AT90" s="107"/>
      <c r="AU90" s="107"/>
      <c r="AV90" s="107"/>
      <c r="AW90" s="107"/>
      <c r="AX90" s="119"/>
      <c r="AY90" s="119"/>
    </row>
    <row r="91" spans="41:51" ht="15">
      <c r="AO91" s="102"/>
      <c r="AQ91" s="103"/>
      <c r="AR91" s="102"/>
      <c r="AS91" s="107"/>
      <c r="AT91" s="107"/>
      <c r="AU91" s="107"/>
      <c r="AV91" s="107"/>
      <c r="AW91" s="107"/>
      <c r="AX91" s="119"/>
      <c r="AY91" s="119"/>
    </row>
    <row r="92" spans="41:51" ht="15">
      <c r="AO92" s="102"/>
      <c r="AQ92" s="103"/>
      <c r="AR92" s="102"/>
      <c r="AS92" s="107"/>
      <c r="AT92" s="107"/>
      <c r="AU92" s="107"/>
      <c r="AV92" s="107"/>
      <c r="AW92" s="107"/>
      <c r="AX92" s="119"/>
      <c r="AY92" s="119"/>
    </row>
    <row r="93" spans="41:51" ht="15">
      <c r="AO93" s="102"/>
      <c r="AQ93" s="103"/>
      <c r="AR93" s="102"/>
      <c r="AS93" s="107"/>
      <c r="AT93" s="107"/>
      <c r="AU93" s="107"/>
      <c r="AV93" s="107"/>
      <c r="AW93" s="107"/>
      <c r="AX93" s="119"/>
      <c r="AY93" s="119"/>
    </row>
    <row r="94" spans="41:51" ht="15">
      <c r="AO94" s="102"/>
      <c r="AQ94" s="103"/>
      <c r="AR94" s="102"/>
      <c r="AS94" s="107"/>
      <c r="AT94" s="107"/>
      <c r="AU94" s="107"/>
      <c r="AV94" s="107"/>
      <c r="AW94" s="107"/>
      <c r="AX94" s="119"/>
      <c r="AY94" s="119"/>
    </row>
    <row r="95" spans="41:51" ht="15">
      <c r="AO95" s="102"/>
      <c r="AQ95" s="103"/>
      <c r="AR95" s="102"/>
      <c r="AS95" s="107"/>
      <c r="AT95" s="107"/>
      <c r="AU95" s="107"/>
      <c r="AV95" s="107"/>
      <c r="AW95" s="107"/>
      <c r="AX95" s="119"/>
      <c r="AY95" s="119"/>
    </row>
    <row r="96" spans="41:51" ht="15">
      <c r="AO96" s="102"/>
      <c r="AQ96" s="103"/>
      <c r="AR96" s="102"/>
      <c r="AS96" s="107"/>
      <c r="AT96" s="107"/>
      <c r="AU96" s="107"/>
      <c r="AV96" s="107"/>
      <c r="AW96" s="107"/>
      <c r="AX96" s="119"/>
      <c r="AY96" s="119"/>
    </row>
    <row r="97" spans="41:43" ht="15">
      <c r="AO97" s="102"/>
      <c r="AQ97" s="103"/>
    </row>
    <row r="98" spans="41:51" ht="15">
      <c r="AO98" s="102"/>
      <c r="AQ98" s="103"/>
      <c r="AS98" s="107"/>
      <c r="AU98" s="107"/>
      <c r="AW98" s="107"/>
      <c r="AY98" s="119"/>
    </row>
    <row r="99" spans="41:51" ht="15">
      <c r="AO99" s="102"/>
      <c r="AQ99" s="103"/>
      <c r="AS99" s="107"/>
      <c r="AU99" s="107"/>
      <c r="AW99" s="107"/>
      <c r="AY99" s="119"/>
    </row>
    <row r="100" spans="41:51" ht="15">
      <c r="AO100" s="102"/>
      <c r="AQ100" s="103"/>
      <c r="AS100" s="107"/>
      <c r="AU100" s="107"/>
      <c r="AW100" s="107"/>
      <c r="AY100" s="119"/>
    </row>
    <row r="101" spans="41:51" ht="15">
      <c r="AO101" s="102"/>
      <c r="AQ101" s="103"/>
      <c r="AS101" s="107"/>
      <c r="AU101" s="107"/>
      <c r="AW101" s="107"/>
      <c r="AY101" s="119"/>
    </row>
    <row r="102" spans="41:51" ht="15">
      <c r="AO102" s="102"/>
      <c r="AQ102" s="103"/>
      <c r="AS102" s="107"/>
      <c r="AU102" s="107"/>
      <c r="AW102" s="107"/>
      <c r="AY102" s="119"/>
    </row>
    <row r="103" spans="41:51" ht="15">
      <c r="AO103" s="102"/>
      <c r="AQ103" s="103"/>
      <c r="AS103" s="107"/>
      <c r="AU103" s="107"/>
      <c r="AW103" s="107"/>
      <c r="AY103" s="119"/>
    </row>
    <row r="104" spans="41:51" ht="15">
      <c r="AO104" s="102"/>
      <c r="AQ104" s="103"/>
      <c r="AS104" s="107"/>
      <c r="AU104" s="107"/>
      <c r="AW104" s="107"/>
      <c r="AY104" s="119"/>
    </row>
    <row r="105" ht="15">
      <c r="AO105" s="102"/>
    </row>
    <row r="106" ht="15">
      <c r="AO106" s="102"/>
    </row>
    <row r="107" ht="15">
      <c r="AO107" s="102"/>
    </row>
    <row r="108" spans="10:41" ht="15">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row>
    <row r="109" spans="10:41" ht="15">
      <c r="J109" s="102"/>
      <c r="K109" s="102"/>
      <c r="L109" s="102"/>
      <c r="M109" s="102"/>
      <c r="N109" s="102"/>
      <c r="O109" s="102"/>
      <c r="P109" s="120"/>
      <c r="Q109" s="102"/>
      <c r="R109" s="102"/>
      <c r="S109" s="102"/>
      <c r="T109" s="120"/>
      <c r="U109" s="102"/>
      <c r="V109" s="102"/>
      <c r="W109" s="102"/>
      <c r="X109" s="120"/>
      <c r="Y109" s="102"/>
      <c r="Z109" s="102"/>
      <c r="AA109" s="102"/>
      <c r="AB109" s="120"/>
      <c r="AC109" s="102"/>
      <c r="AD109" s="102"/>
      <c r="AE109" s="102"/>
      <c r="AF109" s="120"/>
      <c r="AG109" s="102"/>
      <c r="AH109" s="102"/>
      <c r="AI109" s="102"/>
      <c r="AJ109" s="121"/>
      <c r="AK109" s="102"/>
      <c r="AL109" s="102"/>
      <c r="AM109" s="102"/>
      <c r="AN109" s="120"/>
      <c r="AO109" s="102"/>
    </row>
    <row r="110" spans="10:41" ht="15">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row>
    <row r="111" spans="10:41" ht="15">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row>
    <row r="112" spans="10:41" ht="15">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row>
    <row r="113" spans="10:41" ht="15">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row>
    <row r="114" spans="10:41" ht="15">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row>
    <row r="115" spans="10:41" ht="15">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row>
    <row r="116" spans="10:41" ht="15">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row>
    <row r="117" spans="10:41" ht="15">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row>
    <row r="118" spans="10:41" ht="15">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row>
    <row r="119" spans="10:41" ht="15">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row>
    <row r="120" spans="10:41" ht="15">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row>
    <row r="121" spans="10:41" ht="15">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row>
    <row r="122" spans="10:41" ht="15">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row>
    <row r="123" spans="10:41" ht="15">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row>
    <row r="124" spans="10:41" ht="15">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row>
    <row r="125" spans="10:41" ht="15">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row>
    <row r="126" spans="10:41" ht="15">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row>
    <row r="127" spans="10:41" ht="15">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row>
    <row r="128" spans="10:41" ht="15">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row>
    <row r="129" spans="10:41" ht="15">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row>
    <row r="130" spans="10:41" ht="15">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row>
    <row r="131" spans="10:41" ht="15">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row>
    <row r="132" spans="10:41" ht="15">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row>
    <row r="133" spans="10:41" ht="15">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row>
    <row r="134" spans="10:41" ht="15">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row>
    <row r="135" spans="10:41" ht="15">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row>
    <row r="136" spans="10:41" ht="15">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row>
    <row r="137" spans="10:41" ht="15">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row>
    <row r="138" spans="10:41" ht="15">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row>
    <row r="139" spans="10:41" ht="15">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row>
    <row r="140" spans="10:41" ht="15">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row>
    <row r="141" spans="10:41" ht="15">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row>
    <row r="142" spans="10:41" ht="15">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row>
    <row r="143" spans="10:41" ht="15">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row>
    <row r="144" spans="10:41" ht="15">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row>
    <row r="145" spans="10:41" ht="15">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row>
    <row r="146" spans="10:41" ht="15">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row>
    <row r="147" spans="10:41" ht="15">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row>
    <row r="148" spans="10:41" ht="15">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row>
    <row r="149" spans="10:41" ht="15">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row>
    <row r="150" spans="10:41" ht="15">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row>
    <row r="151" spans="10:41" ht="15">
      <c r="J151" s="102" t="s">
        <v>177</v>
      </c>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row>
    <row r="152" spans="10:41" ht="15">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row>
    <row r="153" spans="10:41" ht="15">
      <c r="J153" s="122" t="s">
        <v>178</v>
      </c>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row>
    <row r="154" spans="10:51" ht="15">
      <c r="J154" s="99" t="s">
        <v>48</v>
      </c>
      <c r="K154" s="100"/>
      <c r="L154" s="100"/>
      <c r="M154" s="100"/>
      <c r="N154" s="100"/>
      <c r="O154" s="100"/>
      <c r="P154" s="100"/>
      <c r="Q154" s="100"/>
      <c r="R154" s="100"/>
      <c r="S154" s="100"/>
      <c r="T154" s="100"/>
      <c r="U154" s="100"/>
      <c r="V154" s="99"/>
      <c r="W154" s="100"/>
      <c r="X154" s="100"/>
      <c r="Y154" s="100"/>
      <c r="Z154" s="100"/>
      <c r="AA154" s="100"/>
      <c r="AB154" s="100"/>
      <c r="AC154" s="100"/>
      <c r="AD154" s="100"/>
      <c r="AE154" s="100"/>
      <c r="AF154" s="100"/>
      <c r="AG154" s="100"/>
      <c r="AH154" s="100"/>
      <c r="AI154" s="100"/>
      <c r="AJ154" s="100"/>
      <c r="AK154" s="100"/>
      <c r="AL154" s="100"/>
      <c r="AM154" s="100"/>
      <c r="AN154" s="100"/>
      <c r="AO154" s="102"/>
      <c r="AQ154" s="99"/>
      <c r="AR154" s="99"/>
      <c r="AS154" s="99"/>
      <c r="AT154" s="99"/>
      <c r="AU154" s="99"/>
      <c r="AV154" s="99"/>
      <c r="AW154" s="99"/>
      <c r="AX154" s="99"/>
      <c r="AY154" s="99"/>
    </row>
    <row r="155" spans="10:51" ht="15">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2"/>
      <c r="AQ155" s="99"/>
      <c r="AR155" s="99"/>
      <c r="AS155" s="99"/>
      <c r="AT155" s="99"/>
      <c r="AU155" s="99"/>
      <c r="AV155" s="99"/>
      <c r="AW155" s="99"/>
      <c r="AX155" s="99"/>
      <c r="AY155" s="99"/>
    </row>
    <row r="156" spans="10:51" ht="15">
      <c r="J156" s="100" t="s">
        <v>179</v>
      </c>
      <c r="K156" s="100"/>
      <c r="L156" s="100"/>
      <c r="M156" s="100"/>
      <c r="N156" s="100"/>
      <c r="O156" s="100"/>
      <c r="P156" s="100"/>
      <c r="Q156" s="100"/>
      <c r="R156" s="100"/>
      <c r="S156" s="100"/>
      <c r="T156" s="99"/>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2"/>
      <c r="AQ156" s="100"/>
      <c r="AR156" s="99"/>
      <c r="AS156" s="99"/>
      <c r="AT156" s="99"/>
      <c r="AU156" s="99"/>
      <c r="AV156" s="99"/>
      <c r="AW156" s="99"/>
      <c r="AX156" s="99"/>
      <c r="AY156" s="99"/>
    </row>
    <row r="157" spans="10:51" ht="15">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Q157" s="100"/>
      <c r="AR157" s="99"/>
      <c r="AS157" s="99"/>
      <c r="AT157" s="99"/>
      <c r="AU157" s="99"/>
      <c r="AV157" s="99"/>
      <c r="AW157" s="99"/>
      <c r="AX157" s="99"/>
      <c r="AY157" s="99"/>
    </row>
    <row r="158" spans="10:41" ht="15">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row>
    <row r="159" spans="10:51" ht="15">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Q159" s="102"/>
      <c r="AR159" s="102"/>
      <c r="AS159" s="102"/>
      <c r="AT159" s="102"/>
      <c r="AU159" s="102"/>
      <c r="AV159" s="102"/>
      <c r="AW159" s="102"/>
      <c r="AX159" s="102"/>
      <c r="AY159" s="102"/>
    </row>
    <row r="160" spans="10:51" ht="15">
      <c r="J160" s="103"/>
      <c r="K160" s="103"/>
      <c r="L160" s="103" t="s">
        <v>180</v>
      </c>
      <c r="M160" s="103"/>
      <c r="N160" s="100" t="s">
        <v>61</v>
      </c>
      <c r="O160" s="100"/>
      <c r="P160" s="100"/>
      <c r="Q160" s="103"/>
      <c r="R160" s="100" t="s">
        <v>62</v>
      </c>
      <c r="S160" s="100"/>
      <c r="T160" s="100"/>
      <c r="U160" s="103"/>
      <c r="V160" s="100" t="s">
        <v>63</v>
      </c>
      <c r="W160" s="100"/>
      <c r="X160" s="100"/>
      <c r="Y160" s="103"/>
      <c r="Z160" s="100" t="s">
        <v>64</v>
      </c>
      <c r="AA160" s="100"/>
      <c r="AB160" s="100"/>
      <c r="AC160" s="103"/>
      <c r="AD160" s="100" t="s">
        <v>183</v>
      </c>
      <c r="AE160" s="100"/>
      <c r="AF160" s="100"/>
      <c r="AG160" s="103"/>
      <c r="AH160" s="100" t="s">
        <v>65</v>
      </c>
      <c r="AI160" s="100"/>
      <c r="AJ160" s="100"/>
      <c r="AK160" s="103"/>
      <c r="AL160" s="100" t="s">
        <v>184</v>
      </c>
      <c r="AM160" s="100"/>
      <c r="AN160" s="100"/>
      <c r="AO160" s="102"/>
      <c r="AQ160" s="102"/>
      <c r="AR160" s="102"/>
      <c r="AS160" s="103"/>
      <c r="AT160" s="103"/>
      <c r="AU160" s="103"/>
      <c r="AV160" s="103"/>
      <c r="AW160" s="103"/>
      <c r="AX160" s="103"/>
      <c r="AY160" s="103"/>
    </row>
    <row r="161" spans="10:51" ht="15">
      <c r="J161" s="103" t="s">
        <v>185</v>
      </c>
      <c r="K161" s="103"/>
      <c r="L161" s="103" t="s">
        <v>186</v>
      </c>
      <c r="M161" s="103"/>
      <c r="N161" s="106" t="s">
        <v>169</v>
      </c>
      <c r="O161" s="106"/>
      <c r="P161" s="106"/>
      <c r="Q161" s="103"/>
      <c r="R161" s="106" t="s">
        <v>169</v>
      </c>
      <c r="S161" s="106"/>
      <c r="T161" s="106"/>
      <c r="U161" s="103"/>
      <c r="V161" s="106" t="s">
        <v>169</v>
      </c>
      <c r="W161" s="106"/>
      <c r="X161" s="106"/>
      <c r="Y161" s="103"/>
      <c r="Z161" s="106" t="s">
        <v>169</v>
      </c>
      <c r="AA161" s="106"/>
      <c r="AB161" s="106"/>
      <c r="AC161" s="103"/>
      <c r="AD161" s="106" t="s">
        <v>169</v>
      </c>
      <c r="AE161" s="106"/>
      <c r="AF161" s="106"/>
      <c r="AG161" s="103"/>
      <c r="AH161" s="106" t="s">
        <v>169</v>
      </c>
      <c r="AI161" s="106"/>
      <c r="AJ161" s="106"/>
      <c r="AK161" s="103"/>
      <c r="AL161" s="106" t="s">
        <v>169</v>
      </c>
      <c r="AM161" s="106"/>
      <c r="AN161" s="106"/>
      <c r="AO161" s="102"/>
      <c r="AQ161" s="103"/>
      <c r="AR161" s="102"/>
      <c r="AS161" s="103"/>
      <c r="AT161" s="103"/>
      <c r="AU161" s="103"/>
      <c r="AV161" s="103"/>
      <c r="AW161" s="103"/>
      <c r="AX161" s="103"/>
      <c r="AY161" s="103"/>
    </row>
    <row r="162" spans="10:51" ht="15">
      <c r="J162" s="103" t="s">
        <v>187</v>
      </c>
      <c r="K162" s="103"/>
      <c r="L162" s="103" t="s">
        <v>188</v>
      </c>
      <c r="M162" s="103"/>
      <c r="N162" s="103" t="s">
        <v>189</v>
      </c>
      <c r="O162" s="103"/>
      <c r="P162" s="103" t="s">
        <v>190</v>
      </c>
      <c r="Q162" s="103"/>
      <c r="R162" s="103" t="s">
        <v>189</v>
      </c>
      <c r="S162" s="103"/>
      <c r="T162" s="103" t="s">
        <v>190</v>
      </c>
      <c r="U162" s="103"/>
      <c r="V162" s="103" t="s">
        <v>189</v>
      </c>
      <c r="W162" s="103"/>
      <c r="X162" s="103" t="s">
        <v>190</v>
      </c>
      <c r="Y162" s="103"/>
      <c r="Z162" s="103" t="s">
        <v>189</v>
      </c>
      <c r="AA162" s="103"/>
      <c r="AB162" s="103" t="s">
        <v>190</v>
      </c>
      <c r="AC162" s="103"/>
      <c r="AD162" s="103" t="s">
        <v>189</v>
      </c>
      <c r="AE162" s="103"/>
      <c r="AF162" s="103" t="s">
        <v>190</v>
      </c>
      <c r="AG162" s="103"/>
      <c r="AH162" s="103" t="s">
        <v>189</v>
      </c>
      <c r="AI162" s="103"/>
      <c r="AJ162" s="103" t="s">
        <v>190</v>
      </c>
      <c r="AK162" s="103"/>
      <c r="AL162" s="103" t="s">
        <v>189</v>
      </c>
      <c r="AM162" s="103"/>
      <c r="AN162" s="103" t="s">
        <v>190</v>
      </c>
      <c r="AO162" s="102"/>
      <c r="AQ162" s="103"/>
      <c r="AR162" s="102"/>
      <c r="AS162" s="103"/>
      <c r="AT162" s="103"/>
      <c r="AU162" s="103"/>
      <c r="AV162" s="103"/>
      <c r="AW162" s="103"/>
      <c r="AX162" s="103"/>
      <c r="AY162" s="103"/>
    </row>
    <row r="163" spans="10:51" ht="15">
      <c r="J163" s="123">
        <v>-1</v>
      </c>
      <c r="K163" s="118"/>
      <c r="L163" s="123">
        <v>-2</v>
      </c>
      <c r="M163" s="118"/>
      <c r="N163" s="123">
        <v>-3</v>
      </c>
      <c r="O163" s="118"/>
      <c r="P163" s="123" t="s">
        <v>191</v>
      </c>
      <c r="Q163" s="118"/>
      <c r="R163" s="123">
        <v>-5</v>
      </c>
      <c r="S163" s="118"/>
      <c r="T163" s="123" t="s">
        <v>192</v>
      </c>
      <c r="U163" s="118"/>
      <c r="V163" s="123">
        <v>-7</v>
      </c>
      <c r="W163" s="118"/>
      <c r="X163" s="123" t="s">
        <v>195</v>
      </c>
      <c r="Y163" s="118"/>
      <c r="Z163" s="123">
        <v>-9</v>
      </c>
      <c r="AA163" s="118"/>
      <c r="AB163" s="123" t="s">
        <v>196</v>
      </c>
      <c r="AC163" s="118"/>
      <c r="AD163" s="123">
        <v>-11</v>
      </c>
      <c r="AE163" s="118"/>
      <c r="AF163" s="123" t="s">
        <v>218</v>
      </c>
      <c r="AG163" s="118"/>
      <c r="AH163" s="123">
        <v>-13</v>
      </c>
      <c r="AI163" s="118"/>
      <c r="AJ163" s="123" t="s">
        <v>219</v>
      </c>
      <c r="AK163" s="118"/>
      <c r="AL163" s="123">
        <v>-15</v>
      </c>
      <c r="AM163" s="118"/>
      <c r="AN163" s="123">
        <v>-16</v>
      </c>
      <c r="AO163" s="102"/>
      <c r="AQ163" s="118"/>
      <c r="AR163" s="102"/>
      <c r="AS163" s="118"/>
      <c r="AT163" s="118"/>
      <c r="AU163" s="118"/>
      <c r="AV163" s="102"/>
      <c r="AW163" s="118"/>
      <c r="AX163" s="118"/>
      <c r="AY163" s="118"/>
    </row>
    <row r="164" spans="10:51" ht="15">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Q164" s="102"/>
      <c r="AR164" s="102"/>
      <c r="AS164" s="102"/>
      <c r="AT164" s="102"/>
      <c r="AU164" s="102"/>
      <c r="AV164" s="102"/>
      <c r="AW164" s="102"/>
      <c r="AX164" s="102"/>
      <c r="AY164" s="102"/>
    </row>
    <row r="165" spans="10:51" ht="15">
      <c r="J165" s="102" t="s">
        <v>220</v>
      </c>
      <c r="K165" s="102"/>
      <c r="L165" s="119">
        <v>1</v>
      </c>
      <c r="M165" s="102"/>
      <c r="N165" s="107">
        <v>262484</v>
      </c>
      <c r="O165" s="102"/>
      <c r="P165" s="107">
        <f>ROUND(+N165*$L165,0)</f>
        <v>262484</v>
      </c>
      <c r="Q165" s="102"/>
      <c r="R165" s="107">
        <v>7892</v>
      </c>
      <c r="S165" s="102"/>
      <c r="T165" s="107">
        <f>ROUND(+R165*$L165,0)</f>
        <v>7892</v>
      </c>
      <c r="U165" s="102"/>
      <c r="V165" s="107">
        <v>272</v>
      </c>
      <c r="W165" s="102"/>
      <c r="X165" s="107">
        <f>ROUND(+V165*$L165,0)</f>
        <v>272</v>
      </c>
      <c r="Y165" s="102"/>
      <c r="Z165" s="107">
        <v>299</v>
      </c>
      <c r="AA165" s="102"/>
      <c r="AB165" s="107">
        <f>ROUND(+Z165*$L165,0)</f>
        <v>299</v>
      </c>
      <c r="AC165" s="102"/>
      <c r="AD165" s="107">
        <v>0</v>
      </c>
      <c r="AE165" s="102"/>
      <c r="AF165" s="107">
        <f>ROUND(+AD165*$L165,0)</f>
        <v>0</v>
      </c>
      <c r="AG165" s="102"/>
      <c r="AH165" s="107">
        <v>0</v>
      </c>
      <c r="AI165" s="102"/>
      <c r="AJ165" s="107">
        <f>ROUND(+AH165*$L165,0)</f>
        <v>0</v>
      </c>
      <c r="AK165" s="102"/>
      <c r="AL165" s="107">
        <f>N165+R165+V165+Z165+AD165+AH165</f>
        <v>270947</v>
      </c>
      <c r="AM165" s="102"/>
      <c r="AN165" s="107">
        <f>P165+T165+X165+AB165+AF165+AJ165</f>
        <v>270947</v>
      </c>
      <c r="AO165" s="102"/>
      <c r="AQ165" s="103"/>
      <c r="AR165" s="102"/>
      <c r="AS165" s="107"/>
      <c r="AT165" s="107"/>
      <c r="AU165" s="107"/>
      <c r="AV165" s="107"/>
      <c r="AW165" s="107"/>
      <c r="AX165" s="119"/>
      <c r="AY165" s="119"/>
    </row>
    <row r="166" spans="10:51" ht="15">
      <c r="J166" s="102"/>
      <c r="K166" s="102"/>
      <c r="L166" s="119"/>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Q166" s="103"/>
      <c r="AR166" s="102"/>
      <c r="AS166" s="107"/>
      <c r="AT166" s="107"/>
      <c r="AU166" s="107"/>
      <c r="AV166" s="107"/>
      <c r="AW166" s="107"/>
      <c r="AX166" s="119"/>
      <c r="AY166" s="119"/>
    </row>
    <row r="167" spans="7:51" ht="15">
      <c r="G167" s="119"/>
      <c r="J167" s="102" t="s">
        <v>221</v>
      </c>
      <c r="K167" s="102"/>
      <c r="L167" s="119">
        <v>1.19</v>
      </c>
      <c r="M167" s="102"/>
      <c r="N167" s="107">
        <v>4546</v>
      </c>
      <c r="O167" s="102"/>
      <c r="P167" s="107">
        <f>ROUND(+N167*$L167,0)</f>
        <v>5410</v>
      </c>
      <c r="Q167" s="102"/>
      <c r="R167" s="107">
        <v>2180</v>
      </c>
      <c r="S167" s="102"/>
      <c r="T167" s="107">
        <f>ROUND(+R167*$L167,0)</f>
        <v>2594</v>
      </c>
      <c r="U167" s="102"/>
      <c r="V167" s="107">
        <v>146</v>
      </c>
      <c r="W167" s="102"/>
      <c r="X167" s="107">
        <f>ROUND(+V167*$L167,0)</f>
        <v>174</v>
      </c>
      <c r="Y167" s="102"/>
      <c r="Z167" s="107">
        <v>179</v>
      </c>
      <c r="AA167" s="102"/>
      <c r="AB167" s="107">
        <f>ROUND(+Z167*$L167,0)</f>
        <v>213</v>
      </c>
      <c r="AC167" s="102"/>
      <c r="AD167" s="107">
        <v>1</v>
      </c>
      <c r="AE167" s="102"/>
      <c r="AF167" s="107">
        <f>ROUND(+AD167*$L167,0)</f>
        <v>1</v>
      </c>
      <c r="AG167" s="102"/>
      <c r="AH167" s="107">
        <v>2</v>
      </c>
      <c r="AI167" s="102"/>
      <c r="AJ167" s="107">
        <f>ROUND(+AH167*$L167,0)</f>
        <v>2</v>
      </c>
      <c r="AK167" s="102"/>
      <c r="AL167" s="107">
        <f>N167+R167+V167+Z167+AD167+AH167</f>
        <v>7054</v>
      </c>
      <c r="AM167" s="102"/>
      <c r="AN167" s="107">
        <f>P167+T167+X167+AB167+AF167+AJ167</f>
        <v>8394</v>
      </c>
      <c r="AO167" s="102"/>
      <c r="AQ167" s="103"/>
      <c r="AR167" s="102"/>
      <c r="AS167" s="107"/>
      <c r="AT167" s="107"/>
      <c r="AU167" s="107"/>
      <c r="AV167" s="107"/>
      <c r="AW167" s="107"/>
      <c r="AX167" s="119"/>
      <c r="AY167" s="119"/>
    </row>
    <row r="168" spans="7:51" ht="15">
      <c r="G168" s="119"/>
      <c r="J168" s="102"/>
      <c r="K168" s="102"/>
      <c r="L168" s="119"/>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Q168" s="103"/>
      <c r="AR168" s="102"/>
      <c r="AS168" s="107"/>
      <c r="AT168" s="107"/>
      <c r="AU168" s="107"/>
      <c r="AV168" s="107"/>
      <c r="AW168" s="107"/>
      <c r="AX168" s="119"/>
      <c r="AY168" s="119"/>
    </row>
    <row r="169" spans="7:51" ht="15">
      <c r="G169" s="119"/>
      <c r="J169" s="102" t="s">
        <v>222</v>
      </c>
      <c r="K169" s="102"/>
      <c r="L169" s="119">
        <v>1.72</v>
      </c>
      <c r="M169" s="102"/>
      <c r="N169" s="107">
        <v>149</v>
      </c>
      <c r="O169" s="102"/>
      <c r="P169" s="107">
        <f>ROUND(+N169*$L169,0)</f>
        <v>256</v>
      </c>
      <c r="Q169" s="102"/>
      <c r="R169" s="107">
        <v>1409</v>
      </c>
      <c r="S169" s="102"/>
      <c r="T169" s="107">
        <f>ROUND(+R169*$L169,0)</f>
        <v>2423</v>
      </c>
      <c r="U169" s="102"/>
      <c r="V169" s="107">
        <v>53</v>
      </c>
      <c r="W169" s="102"/>
      <c r="X169" s="107">
        <f>ROUND(+V169*$L169,0)</f>
        <v>91</v>
      </c>
      <c r="Y169" s="102"/>
      <c r="Z169" s="107">
        <v>64</v>
      </c>
      <c r="AA169" s="102"/>
      <c r="AB169" s="107">
        <f>ROUND(+Z169*$L169,0)</f>
        <v>110</v>
      </c>
      <c r="AC169" s="102"/>
      <c r="AD169" s="107">
        <v>0</v>
      </c>
      <c r="AE169" s="102"/>
      <c r="AF169" s="107">
        <f>ROUND(+AD169*$L169,0)</f>
        <v>0</v>
      </c>
      <c r="AG169" s="102"/>
      <c r="AH169" s="107">
        <v>61</v>
      </c>
      <c r="AI169" s="102"/>
      <c r="AJ169" s="107">
        <f>ROUND(+AH169*$L169,0)</f>
        <v>105</v>
      </c>
      <c r="AK169" s="102"/>
      <c r="AL169" s="107">
        <f>N169+R169+V169+Z169+AD169+AH169</f>
        <v>1736</v>
      </c>
      <c r="AM169" s="102"/>
      <c r="AN169" s="107">
        <f>P169+T169+X169+AB169+AF169+AJ169</f>
        <v>2985</v>
      </c>
      <c r="AO169" s="102"/>
      <c r="AQ169" s="103"/>
      <c r="AR169" s="102"/>
      <c r="AS169" s="107"/>
      <c r="AT169" s="107"/>
      <c r="AU169" s="107"/>
      <c r="AV169" s="107"/>
      <c r="AW169" s="107"/>
      <c r="AX169" s="119"/>
      <c r="AY169" s="119"/>
    </row>
    <row r="170" spans="7:51" ht="15">
      <c r="G170" s="119"/>
      <c r="J170" s="102"/>
      <c r="K170" s="102"/>
      <c r="L170" s="119"/>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Q170" s="103"/>
      <c r="AR170" s="102"/>
      <c r="AS170" s="107"/>
      <c r="AT170" s="107"/>
      <c r="AU170" s="107"/>
      <c r="AV170" s="107"/>
      <c r="AW170" s="107"/>
      <c r="AX170" s="119"/>
      <c r="AY170" s="119"/>
    </row>
    <row r="171" spans="7:51" ht="15">
      <c r="G171" s="119"/>
      <c r="J171" s="102" t="s">
        <v>223</v>
      </c>
      <c r="K171" s="102"/>
      <c r="L171" s="119">
        <v>2.38</v>
      </c>
      <c r="M171" s="102"/>
      <c r="N171" s="107">
        <v>79</v>
      </c>
      <c r="O171" s="102"/>
      <c r="P171" s="107">
        <f>ROUND(+N171*$L171,0)</f>
        <v>188</v>
      </c>
      <c r="Q171" s="102"/>
      <c r="R171" s="107">
        <v>1311</v>
      </c>
      <c r="S171" s="102"/>
      <c r="T171" s="107">
        <f>ROUND(+R171*$L171,0)</f>
        <v>3120</v>
      </c>
      <c r="U171" s="102"/>
      <c r="V171" s="107">
        <v>123</v>
      </c>
      <c r="W171" s="102"/>
      <c r="X171" s="107">
        <f>ROUND(+V171*$L171,0)</f>
        <v>293</v>
      </c>
      <c r="Y171" s="102"/>
      <c r="Z171" s="107">
        <v>115</v>
      </c>
      <c r="AA171" s="102"/>
      <c r="AB171" s="107">
        <f>ROUND(+Z171*$L171,0)</f>
        <v>274</v>
      </c>
      <c r="AC171" s="102"/>
      <c r="AD171" s="107">
        <v>1</v>
      </c>
      <c r="AE171" s="102"/>
      <c r="AF171" s="107">
        <f>ROUND(+AD171*$L171,0)</f>
        <v>2</v>
      </c>
      <c r="AG171" s="102"/>
      <c r="AH171" s="107">
        <v>51</v>
      </c>
      <c r="AI171" s="102"/>
      <c r="AJ171" s="107">
        <f>ROUND(+AH171*$L171,0)</f>
        <v>121</v>
      </c>
      <c r="AK171" s="102"/>
      <c r="AL171" s="107">
        <f>N171+R171+V171+Z171+AD171+AH171</f>
        <v>1680</v>
      </c>
      <c r="AM171" s="102"/>
      <c r="AN171" s="107">
        <f>P171+T171+X171+AB171+AF171+AJ171</f>
        <v>3998</v>
      </c>
      <c r="AO171" s="102"/>
      <c r="AQ171" s="103"/>
      <c r="AR171" s="102"/>
      <c r="AS171" s="107"/>
      <c r="AT171" s="107"/>
      <c r="AU171" s="107"/>
      <c r="AV171" s="107"/>
      <c r="AW171" s="107"/>
      <c r="AX171" s="119"/>
      <c r="AY171" s="119"/>
    </row>
    <row r="172" spans="7:51" ht="15">
      <c r="G172" s="119"/>
      <c r="J172" s="102"/>
      <c r="K172" s="102"/>
      <c r="L172" s="119"/>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Q172" s="103"/>
      <c r="AR172" s="102"/>
      <c r="AS172" s="107"/>
      <c r="AT172" s="107"/>
      <c r="AU172" s="107"/>
      <c r="AV172" s="107"/>
      <c r="AW172" s="107"/>
      <c r="AX172" s="119"/>
      <c r="AY172" s="119"/>
    </row>
    <row r="173" spans="7:51" ht="15">
      <c r="G173" s="119"/>
      <c r="J173" s="102" t="s">
        <v>224</v>
      </c>
      <c r="K173" s="102"/>
      <c r="L173" s="119">
        <v>2.92</v>
      </c>
      <c r="M173" s="102"/>
      <c r="N173" s="107">
        <v>2</v>
      </c>
      <c r="O173" s="102"/>
      <c r="P173" s="107">
        <f>ROUND(+N173*$L173,0)</f>
        <v>6</v>
      </c>
      <c r="Q173" s="102"/>
      <c r="R173" s="107">
        <v>530</v>
      </c>
      <c r="S173" s="102"/>
      <c r="T173" s="107">
        <f>ROUND(+R173*$L173,0)</f>
        <v>1548</v>
      </c>
      <c r="U173" s="102"/>
      <c r="V173" s="107">
        <v>82</v>
      </c>
      <c r="W173" s="102"/>
      <c r="X173" s="107">
        <f>ROUND(+V173*$L173,0)</f>
        <v>239</v>
      </c>
      <c r="Y173" s="102"/>
      <c r="Z173" s="107">
        <v>123</v>
      </c>
      <c r="AA173" s="102"/>
      <c r="AB173" s="107">
        <f>ROUND(+Z173*$L173,0)</f>
        <v>359</v>
      </c>
      <c r="AC173" s="102"/>
      <c r="AD173" s="107">
        <v>6</v>
      </c>
      <c r="AE173" s="102"/>
      <c r="AF173" s="107">
        <f>ROUND(+AD173*$L173,0)</f>
        <v>18</v>
      </c>
      <c r="AG173" s="102"/>
      <c r="AH173" s="107">
        <v>622</v>
      </c>
      <c r="AI173" s="102"/>
      <c r="AJ173" s="107">
        <f>ROUND(+AH173*$L173,0)</f>
        <v>1816</v>
      </c>
      <c r="AK173" s="102"/>
      <c r="AL173" s="107">
        <f>N173+R173+V173+Z173+AD173+AH173</f>
        <v>1365</v>
      </c>
      <c r="AM173" s="102"/>
      <c r="AN173" s="107">
        <f>P173+T173+X173+AB173+AF173+AJ173</f>
        <v>3986</v>
      </c>
      <c r="AO173" s="102"/>
      <c r="AQ173" s="103"/>
      <c r="AR173" s="102"/>
      <c r="AS173" s="107"/>
      <c r="AT173" s="107"/>
      <c r="AU173" s="107"/>
      <c r="AV173" s="107"/>
      <c r="AW173" s="107"/>
      <c r="AX173" s="119"/>
      <c r="AY173" s="119"/>
    </row>
    <row r="174" spans="7:51" ht="15">
      <c r="G174" s="119"/>
      <c r="J174" s="102"/>
      <c r="K174" s="102"/>
      <c r="L174" s="119"/>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Q174" s="103"/>
      <c r="AR174" s="102"/>
      <c r="AS174" s="107"/>
      <c r="AT174" s="107"/>
      <c r="AU174" s="107"/>
      <c r="AV174" s="107"/>
      <c r="AW174" s="107"/>
      <c r="AX174" s="119"/>
      <c r="AY174" s="119"/>
    </row>
    <row r="175" spans="7:51" ht="15">
      <c r="G175" s="119"/>
      <c r="J175" s="102" t="s">
        <v>225</v>
      </c>
      <c r="K175" s="102"/>
      <c r="L175" s="119">
        <v>3.96</v>
      </c>
      <c r="M175" s="102"/>
      <c r="N175" s="107">
        <v>16</v>
      </c>
      <c r="O175" s="102"/>
      <c r="P175" s="107">
        <f>ROUND(+N175*$L175,0)</f>
        <v>63</v>
      </c>
      <c r="Q175" s="102"/>
      <c r="R175" s="107">
        <v>144</v>
      </c>
      <c r="S175" s="102"/>
      <c r="T175" s="107">
        <f>ROUND(+R175*$L175,0)</f>
        <v>570</v>
      </c>
      <c r="U175" s="102"/>
      <c r="V175" s="107">
        <v>61</v>
      </c>
      <c r="W175" s="102"/>
      <c r="X175" s="107">
        <f>ROUND(+V175*$L175,0)</f>
        <v>242</v>
      </c>
      <c r="Y175" s="102"/>
      <c r="Z175" s="107">
        <v>9</v>
      </c>
      <c r="AA175" s="102"/>
      <c r="AB175" s="107">
        <f>ROUND(+Z175*$L175,0)</f>
        <v>36</v>
      </c>
      <c r="AC175" s="102"/>
      <c r="AD175" s="107">
        <v>2</v>
      </c>
      <c r="AE175" s="102"/>
      <c r="AF175" s="107">
        <f>ROUND(+AD175*$L175,0)</f>
        <v>8</v>
      </c>
      <c r="AG175" s="102"/>
      <c r="AH175" s="107">
        <v>988</v>
      </c>
      <c r="AI175" s="102"/>
      <c r="AJ175" s="107">
        <f>ROUND(+AH175*$L175,0)</f>
        <v>3912</v>
      </c>
      <c r="AK175" s="102"/>
      <c r="AL175" s="107">
        <f>N175+R175+V175+Z175+AD175+AH175</f>
        <v>1220</v>
      </c>
      <c r="AM175" s="102"/>
      <c r="AN175" s="107">
        <f>P175+T175+X175+AB175+AF175+AJ175</f>
        <v>4831</v>
      </c>
      <c r="AO175" s="102"/>
      <c r="AQ175" s="103"/>
      <c r="AR175" s="102"/>
      <c r="AS175" s="107"/>
      <c r="AT175" s="107"/>
      <c r="AU175" s="107"/>
      <c r="AV175" s="107"/>
      <c r="AW175" s="107"/>
      <c r="AX175" s="119"/>
      <c r="AY175" s="119"/>
    </row>
    <row r="176" spans="7:51" ht="15">
      <c r="G176" s="119"/>
      <c r="J176" s="102"/>
      <c r="K176" s="102"/>
      <c r="L176" s="119"/>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Q176" s="103"/>
      <c r="AR176" s="102"/>
      <c r="AS176" s="107"/>
      <c r="AT176" s="107"/>
      <c r="AU176" s="107"/>
      <c r="AV176" s="107"/>
      <c r="AW176" s="107"/>
      <c r="AX176" s="119"/>
      <c r="AY176" s="119"/>
    </row>
    <row r="177" spans="7:51" ht="15">
      <c r="G177" s="119"/>
      <c r="J177" s="102" t="s">
        <v>226</v>
      </c>
      <c r="K177" s="102"/>
      <c r="L177" s="119">
        <v>6.46</v>
      </c>
      <c r="M177" s="102"/>
      <c r="N177" s="107">
        <v>1</v>
      </c>
      <c r="O177" s="102"/>
      <c r="P177" s="107">
        <f>ROUND(+N177*$L177,0)</f>
        <v>6</v>
      </c>
      <c r="Q177" s="102"/>
      <c r="R177" s="107">
        <v>12</v>
      </c>
      <c r="S177" s="102"/>
      <c r="T177" s="107">
        <f>ROUND(+R177*$L177,0)</f>
        <v>78</v>
      </c>
      <c r="U177" s="102"/>
      <c r="V177" s="107">
        <v>10</v>
      </c>
      <c r="W177" s="102"/>
      <c r="X177" s="107">
        <f>ROUND(+V177*$L177,0)</f>
        <v>65</v>
      </c>
      <c r="Y177" s="102"/>
      <c r="Z177" s="107">
        <v>0</v>
      </c>
      <c r="AA177" s="102"/>
      <c r="AB177" s="107">
        <f>ROUND(+Z177*$L177,0)</f>
        <v>0</v>
      </c>
      <c r="AC177" s="102"/>
      <c r="AD177" s="107">
        <v>1</v>
      </c>
      <c r="AE177" s="102"/>
      <c r="AF177" s="107">
        <f>ROUND(+AD177*$L177,0)</f>
        <v>6</v>
      </c>
      <c r="AG177" s="102"/>
      <c r="AH177" s="107">
        <v>445</v>
      </c>
      <c r="AI177" s="102"/>
      <c r="AJ177" s="107">
        <f>ROUND(+AH177*$L177,0)</f>
        <v>2875</v>
      </c>
      <c r="AK177" s="102"/>
      <c r="AL177" s="107">
        <f>N177+R177+V177+Z177+AD177+AH177</f>
        <v>469</v>
      </c>
      <c r="AM177" s="102"/>
      <c r="AN177" s="107">
        <f>P177+T177+X177+AB177+AF177+AJ177</f>
        <v>3030</v>
      </c>
      <c r="AO177" s="102"/>
      <c r="AQ177" s="103"/>
      <c r="AR177" s="102"/>
      <c r="AS177" s="107"/>
      <c r="AT177" s="107"/>
      <c r="AU177" s="107"/>
      <c r="AV177" s="107"/>
      <c r="AW177" s="107"/>
      <c r="AX177" s="119"/>
      <c r="AY177" s="119"/>
    </row>
    <row r="178" spans="7:51" ht="15">
      <c r="G178" s="119"/>
      <c r="J178" s="102"/>
      <c r="K178" s="102"/>
      <c r="L178" s="119"/>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Q178" s="103"/>
      <c r="AR178" s="102"/>
      <c r="AS178" s="107"/>
      <c r="AT178" s="107"/>
      <c r="AU178" s="107"/>
      <c r="AV178" s="107"/>
      <c r="AW178" s="107"/>
      <c r="AX178" s="119"/>
      <c r="AY178" s="119"/>
    </row>
    <row r="179" spans="7:51" ht="15">
      <c r="G179" s="119"/>
      <c r="J179" s="102" t="s">
        <v>227</v>
      </c>
      <c r="K179" s="102"/>
      <c r="L179" s="119">
        <v>8.68</v>
      </c>
      <c r="M179" s="102"/>
      <c r="N179" s="107">
        <v>0</v>
      </c>
      <c r="O179" s="102"/>
      <c r="P179" s="107">
        <f>ROUND(+N179*$L179,0)</f>
        <v>0</v>
      </c>
      <c r="Q179" s="102"/>
      <c r="R179" s="107">
        <v>12</v>
      </c>
      <c r="S179" s="102"/>
      <c r="T179" s="107">
        <f>ROUND(+R179*$L179,0)</f>
        <v>104</v>
      </c>
      <c r="U179" s="102"/>
      <c r="V179" s="107">
        <v>10</v>
      </c>
      <c r="W179" s="102"/>
      <c r="X179" s="107">
        <f>ROUND(+V179*$L179,0)</f>
        <v>87</v>
      </c>
      <c r="Y179" s="102"/>
      <c r="Z179" s="107">
        <v>0</v>
      </c>
      <c r="AA179" s="102"/>
      <c r="AB179" s="107">
        <f>ROUND(+Z179*$L179,0)</f>
        <v>0</v>
      </c>
      <c r="AC179" s="102"/>
      <c r="AD179" s="107">
        <v>1</v>
      </c>
      <c r="AE179" s="102"/>
      <c r="AF179" s="107">
        <f>ROUND(+AD179*$L179,0)</f>
        <v>9</v>
      </c>
      <c r="AG179" s="102"/>
      <c r="AH179" s="107">
        <v>20</v>
      </c>
      <c r="AI179" s="102"/>
      <c r="AJ179" s="107">
        <f>ROUND(+AH179*$L179,0)</f>
        <v>174</v>
      </c>
      <c r="AK179" s="102"/>
      <c r="AL179" s="107">
        <f>N179+R179+V179+Z179+AD179+AH179</f>
        <v>43</v>
      </c>
      <c r="AM179" s="102"/>
      <c r="AN179" s="107">
        <f>P179+T179+X179+AB179+AF179+AJ179</f>
        <v>374</v>
      </c>
      <c r="AO179" s="102"/>
      <c r="AQ179" s="103"/>
      <c r="AR179" s="102"/>
      <c r="AS179" s="107"/>
      <c r="AT179" s="107"/>
      <c r="AU179" s="107"/>
      <c r="AV179" s="107"/>
      <c r="AW179" s="107"/>
      <c r="AX179" s="119"/>
      <c r="AY179" s="119"/>
    </row>
    <row r="180" spans="7:51" ht="15">
      <c r="G180" s="119"/>
      <c r="J180" s="102"/>
      <c r="K180" s="102"/>
      <c r="L180" s="119"/>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Q180" s="103"/>
      <c r="AR180" s="102"/>
      <c r="AS180" s="107"/>
      <c r="AT180" s="107"/>
      <c r="AU180" s="107"/>
      <c r="AV180" s="107"/>
      <c r="AW180" s="107"/>
      <c r="AX180" s="119"/>
      <c r="AY180" s="119"/>
    </row>
    <row r="181" spans="7:51" ht="15">
      <c r="G181" s="119"/>
      <c r="J181" s="102" t="s">
        <v>228</v>
      </c>
      <c r="K181" s="102"/>
      <c r="L181" s="119">
        <v>11.11</v>
      </c>
      <c r="M181" s="102"/>
      <c r="N181" s="107">
        <v>0</v>
      </c>
      <c r="O181" s="102"/>
      <c r="P181" s="107">
        <f>ROUND(+N181*$L181,0)</f>
        <v>0</v>
      </c>
      <c r="Q181" s="102"/>
      <c r="R181" s="107">
        <v>0</v>
      </c>
      <c r="S181" s="102"/>
      <c r="T181" s="107">
        <f>ROUND(+R181*$L181,0)</f>
        <v>0</v>
      </c>
      <c r="U181" s="102"/>
      <c r="V181" s="107">
        <v>0</v>
      </c>
      <c r="W181" s="102"/>
      <c r="X181" s="107">
        <f>ROUND(+V181*$L181,0)</f>
        <v>0</v>
      </c>
      <c r="Y181" s="102"/>
      <c r="Z181" s="107">
        <v>0</v>
      </c>
      <c r="AA181" s="102"/>
      <c r="AB181" s="107">
        <f>ROUND(+Z181*$L181,0)</f>
        <v>0</v>
      </c>
      <c r="AC181" s="102"/>
      <c r="AD181" s="107">
        <v>1</v>
      </c>
      <c r="AE181" s="102"/>
      <c r="AF181" s="107">
        <f>ROUND(+AD181*$L181,0)</f>
        <v>11</v>
      </c>
      <c r="AG181" s="102"/>
      <c r="AH181" s="107">
        <v>0</v>
      </c>
      <c r="AI181" s="102"/>
      <c r="AJ181" s="107">
        <f>ROUND(+AH181*$L181,0)</f>
        <v>0</v>
      </c>
      <c r="AK181" s="102"/>
      <c r="AL181" s="107">
        <f>N181+R181+V181+Z181+AD181+AH181</f>
        <v>1</v>
      </c>
      <c r="AM181" s="102"/>
      <c r="AN181" s="107">
        <f>P181+T181+X181+AB181+AF181+AJ181</f>
        <v>11</v>
      </c>
      <c r="AO181" s="102"/>
      <c r="AQ181" s="103"/>
      <c r="AR181" s="102"/>
      <c r="AS181" s="107"/>
      <c r="AT181" s="107"/>
      <c r="AU181" s="107"/>
      <c r="AV181" s="107"/>
      <c r="AW181" s="107"/>
      <c r="AX181" s="119"/>
      <c r="AY181" s="119"/>
    </row>
    <row r="182" spans="7:51" ht="15">
      <c r="G182" s="119"/>
      <c r="J182" s="102"/>
      <c r="K182" s="102"/>
      <c r="L182" s="119"/>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Q182" s="103"/>
      <c r="AR182" s="102"/>
      <c r="AS182" s="107"/>
      <c r="AT182" s="107"/>
      <c r="AU182" s="107"/>
      <c r="AV182" s="107"/>
      <c r="AW182" s="107"/>
      <c r="AX182" s="119"/>
      <c r="AY182" s="119"/>
    </row>
    <row r="183" spans="7:51" ht="15">
      <c r="G183" s="119"/>
      <c r="I183" s="124"/>
      <c r="J183" s="102" t="s">
        <v>229</v>
      </c>
      <c r="K183" s="102"/>
      <c r="L183" s="119">
        <v>15.97</v>
      </c>
      <c r="M183" s="102"/>
      <c r="N183" s="107">
        <v>0</v>
      </c>
      <c r="O183" s="102"/>
      <c r="P183" s="107">
        <f>ROUND(+N183*$L183,0)</f>
        <v>0</v>
      </c>
      <c r="Q183" s="102"/>
      <c r="R183" s="107">
        <v>0</v>
      </c>
      <c r="S183" s="102"/>
      <c r="T183" s="107">
        <f>ROUND(+R183*$L183,0)</f>
        <v>0</v>
      </c>
      <c r="U183" s="102"/>
      <c r="V183" s="107">
        <v>0</v>
      </c>
      <c r="W183" s="102"/>
      <c r="X183" s="107">
        <f>ROUND(+V183*$L183,0)</f>
        <v>0</v>
      </c>
      <c r="Y183" s="102"/>
      <c r="Z183" s="107">
        <v>0</v>
      </c>
      <c r="AA183" s="102"/>
      <c r="AB183" s="107">
        <f>ROUND(+Z183*$L183,0)</f>
        <v>0</v>
      </c>
      <c r="AC183" s="102"/>
      <c r="AD183" s="107">
        <v>1</v>
      </c>
      <c r="AE183" s="102"/>
      <c r="AF183" s="107">
        <f>ROUND(+AD183*$L183,0)</f>
        <v>16</v>
      </c>
      <c r="AG183" s="102"/>
      <c r="AH183" s="107">
        <v>0</v>
      </c>
      <c r="AI183" s="102"/>
      <c r="AJ183" s="107">
        <f>ROUND(+AH183*$L183,0)</f>
        <v>0</v>
      </c>
      <c r="AK183" s="102"/>
      <c r="AL183" s="107">
        <f>N183+R183+V183+Z183+AD183+AH183</f>
        <v>1</v>
      </c>
      <c r="AM183" s="102"/>
      <c r="AN183" s="107">
        <f>P183+T183+X183+AB183+AF183+AJ183</f>
        <v>16</v>
      </c>
      <c r="AO183" s="102"/>
      <c r="AQ183" s="103"/>
      <c r="AR183" s="102"/>
      <c r="AS183" s="107"/>
      <c r="AT183" s="107"/>
      <c r="AU183" s="107"/>
      <c r="AV183" s="107"/>
      <c r="AW183" s="107"/>
      <c r="AX183" s="119"/>
      <c r="AY183" s="119"/>
    </row>
    <row r="184" spans="10:51" ht="15">
      <c r="J184" s="102"/>
      <c r="K184" s="102"/>
      <c r="L184" s="102"/>
      <c r="M184" s="102"/>
      <c r="N184" s="125"/>
      <c r="O184" s="102"/>
      <c r="P184" s="125"/>
      <c r="Q184" s="102"/>
      <c r="R184" s="125"/>
      <c r="S184" s="102"/>
      <c r="T184" s="125"/>
      <c r="U184" s="102"/>
      <c r="V184" s="125"/>
      <c r="W184" s="102"/>
      <c r="X184" s="125"/>
      <c r="Y184" s="102"/>
      <c r="Z184" s="125"/>
      <c r="AA184" s="102"/>
      <c r="AB184" s="125"/>
      <c r="AC184" s="102"/>
      <c r="AD184" s="125"/>
      <c r="AE184" s="102"/>
      <c r="AF184" s="125"/>
      <c r="AG184" s="102"/>
      <c r="AH184" s="125"/>
      <c r="AI184" s="102"/>
      <c r="AJ184" s="125"/>
      <c r="AK184" s="102"/>
      <c r="AL184" s="125"/>
      <c r="AM184" s="102"/>
      <c r="AN184" s="125"/>
      <c r="AO184" s="102"/>
      <c r="AQ184" s="102"/>
      <c r="AR184" s="102"/>
      <c r="AS184" s="107"/>
      <c r="AT184" s="107"/>
      <c r="AU184" s="107"/>
      <c r="AV184" s="107"/>
      <c r="AW184" s="107"/>
      <c r="AX184" s="102"/>
      <c r="AY184" s="102"/>
    </row>
    <row r="185" spans="10:51" ht="15">
      <c r="J185" s="102" t="s">
        <v>184</v>
      </c>
      <c r="K185" s="102"/>
      <c r="L185" s="102"/>
      <c r="M185" s="102"/>
      <c r="N185" s="107">
        <f>SUM(N165:N183)</f>
        <v>267277</v>
      </c>
      <c r="O185" s="102"/>
      <c r="P185" s="107">
        <f>SUM(P165:P183)</f>
        <v>268413</v>
      </c>
      <c r="Q185" s="102"/>
      <c r="R185" s="107">
        <f>SUM(R165:R183)</f>
        <v>13490</v>
      </c>
      <c r="S185" s="102"/>
      <c r="T185" s="107">
        <f>SUM(T165:T183)</f>
        <v>18329</v>
      </c>
      <c r="U185" s="102"/>
      <c r="V185" s="107">
        <f>SUM(V165:V183)</f>
        <v>757</v>
      </c>
      <c r="W185" s="102"/>
      <c r="X185" s="107">
        <f>SUM(X165:X183)</f>
        <v>1463</v>
      </c>
      <c r="Y185" s="102"/>
      <c r="Z185" s="107">
        <f>SUM(Z165:Z183)</f>
        <v>789</v>
      </c>
      <c r="AA185" s="102"/>
      <c r="AB185" s="107">
        <f>SUM(AB165:AB183)</f>
        <v>1291</v>
      </c>
      <c r="AC185" s="102"/>
      <c r="AD185" s="107">
        <f>SUM(AD165:AD183)</f>
        <v>14</v>
      </c>
      <c r="AE185" s="102"/>
      <c r="AF185" s="107">
        <f>SUM(AF165:AF183)</f>
        <v>71</v>
      </c>
      <c r="AG185" s="102"/>
      <c r="AH185" s="107">
        <f>SUM(AH165:AH183)</f>
        <v>2189</v>
      </c>
      <c r="AI185" s="102"/>
      <c r="AJ185" s="107">
        <f>SUM(AJ165:AJ183)</f>
        <v>9005</v>
      </c>
      <c r="AK185" s="102"/>
      <c r="AL185" s="107">
        <f>SUM(AL165:AL183)</f>
        <v>284516</v>
      </c>
      <c r="AM185" s="102"/>
      <c r="AN185" s="107">
        <f>SUM(AN165:AN183)</f>
        <v>298572</v>
      </c>
      <c r="AO185" s="102"/>
      <c r="AQ185" s="102"/>
      <c r="AR185" s="102"/>
      <c r="AS185" s="102"/>
      <c r="AT185" s="102"/>
      <c r="AU185" s="102"/>
      <c r="AV185" s="102"/>
      <c r="AW185" s="102"/>
      <c r="AX185" s="102"/>
      <c r="AY185" s="102"/>
    </row>
    <row r="186" spans="10:41" ht="15">
      <c r="J186" s="102"/>
      <c r="K186" s="102"/>
      <c r="L186" s="102"/>
      <c r="M186" s="102"/>
      <c r="N186" s="114"/>
      <c r="O186" s="102"/>
      <c r="P186" s="114"/>
      <c r="Q186" s="102"/>
      <c r="R186" s="114"/>
      <c r="S186" s="102"/>
      <c r="T186" s="114"/>
      <c r="U186" s="102"/>
      <c r="V186" s="114"/>
      <c r="W186" s="102"/>
      <c r="X186" s="114"/>
      <c r="Y186" s="102"/>
      <c r="Z186" s="114"/>
      <c r="AA186" s="102"/>
      <c r="AB186" s="114"/>
      <c r="AC186" s="102"/>
      <c r="AD186" s="114"/>
      <c r="AE186" s="102"/>
      <c r="AF186" s="114"/>
      <c r="AG186" s="102"/>
      <c r="AH186" s="114"/>
      <c r="AI186" s="102"/>
      <c r="AJ186" s="114"/>
      <c r="AK186" s="102"/>
      <c r="AL186" s="114"/>
      <c r="AM186" s="102"/>
      <c r="AN186" s="114"/>
      <c r="AO186" s="102"/>
    </row>
    <row r="187" spans="10:41" ht="15">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row>
    <row r="188" spans="10:41" ht="15">
      <c r="J188" s="102"/>
      <c r="K188" s="102"/>
      <c r="L188" s="102"/>
      <c r="M188" s="102"/>
      <c r="N188" s="102"/>
      <c r="O188" s="102"/>
      <c r="P188" s="120"/>
      <c r="Q188" s="102"/>
      <c r="R188" s="102"/>
      <c r="S188" s="102"/>
      <c r="T188" s="120"/>
      <c r="U188" s="102"/>
      <c r="V188" s="102"/>
      <c r="W188" s="102"/>
      <c r="X188" s="120"/>
      <c r="Y188" s="102"/>
      <c r="Z188" s="102"/>
      <c r="AA188" s="102"/>
      <c r="AB188" s="120"/>
      <c r="AC188" s="102"/>
      <c r="AD188" s="102"/>
      <c r="AE188" s="102"/>
      <c r="AF188" s="120"/>
      <c r="AG188" s="102"/>
      <c r="AH188" s="102"/>
      <c r="AI188" s="102"/>
      <c r="AJ188" s="120"/>
      <c r="AK188" s="102"/>
      <c r="AL188" s="102"/>
      <c r="AM188" s="102"/>
      <c r="AN188" s="120"/>
      <c r="AO188" s="102"/>
    </row>
    <row r="189" spans="10:41" ht="15">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row>
    <row r="190" spans="10:41" ht="15">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row>
    <row r="191" spans="10:41" ht="15">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row>
    <row r="192" spans="10:41" ht="15">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row>
    <row r="193" spans="10:41" ht="15">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row>
    <row r="194" spans="10:41" ht="15">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row>
    <row r="195" spans="10:41" ht="15">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row>
  </sheetData>
  <mergeCells count="4">
    <mergeCell ref="A23:G23"/>
    <mergeCell ref="A45:F45"/>
    <mergeCell ref="A4:G4"/>
    <mergeCell ref="A40:G40"/>
  </mergeCells>
  <printOptions horizontalCentered="1"/>
  <pageMargins left="1" right="1" top="1" bottom="0.5" header="0.5" footer="0.5"/>
  <pageSetup fitToHeight="0" horizontalDpi="600" verticalDpi="600" orientation="portrait" r:id="rId1"/>
  <rowBreaks count="1" manualBreakCount="1">
    <brk id="36"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NKW</cp:lastModifiedBy>
  <cp:lastPrinted>2010-09-07T17:06:38Z</cp:lastPrinted>
  <dcterms:created xsi:type="dcterms:W3CDTF">2000-03-27T20:18:41Z</dcterms:created>
  <dcterms:modified xsi:type="dcterms:W3CDTF">2010-09-07T17:06:42Z</dcterms:modified>
  <cp:category/>
  <cp:version/>
  <cp:contentType/>
  <cp:contentStatus/>
</cp:coreProperties>
</file>