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AGDr 7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'AGDr 74'!$A$1:$Y$34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<sst xmlns="http://schemas.openxmlformats.org/spreadsheetml/2006/main" count="67" uniqueCount="55">
  <si>
    <t>Kentucky  American Water</t>
  </si>
  <si>
    <t>Insurance other than group</t>
  </si>
  <si>
    <t>Marsh NY- Excess Liab</t>
  </si>
  <si>
    <t>Marsh UK- Excess Liab</t>
  </si>
  <si>
    <t>Marsh Bermuda- Excess Liab</t>
  </si>
  <si>
    <t>Rhenas- RWE Liab</t>
  </si>
  <si>
    <t>Premium</t>
  </si>
  <si>
    <t>As of 12/08</t>
  </si>
  <si>
    <t>As of 12/07</t>
  </si>
  <si>
    <t>Excess Liability</t>
  </si>
  <si>
    <t>As of 12/06</t>
  </si>
  <si>
    <t>incl terrorism</t>
  </si>
  <si>
    <t>All risk</t>
  </si>
  <si>
    <t>As of 12/05</t>
  </si>
  <si>
    <t>% chg</t>
  </si>
  <si>
    <t>Current</t>
  </si>
  <si>
    <t>Coverage</t>
  </si>
  <si>
    <t>Period</t>
  </si>
  <si>
    <t>Assumed</t>
  </si>
  <si>
    <t>Changes</t>
  </si>
  <si>
    <t>Executive risk</t>
  </si>
  <si>
    <t>Total</t>
  </si>
  <si>
    <t>As of 12/09</t>
  </si>
  <si>
    <t>As of Dec 2009</t>
  </si>
  <si>
    <t>Actual</t>
  </si>
  <si>
    <t>budget</t>
  </si>
  <si>
    <t xml:space="preserve"> premium</t>
  </si>
  <si>
    <t>Rate Case</t>
  </si>
  <si>
    <t>Forecast</t>
  </si>
  <si>
    <t>9/31/11</t>
  </si>
  <si>
    <t>% ^</t>
  </si>
  <si>
    <t>over 09</t>
  </si>
  <si>
    <t>over 10</t>
  </si>
  <si>
    <t>Budget</t>
  </si>
  <si>
    <t>AGDR1#74</t>
  </si>
  <si>
    <t>RC</t>
  </si>
  <si>
    <t>retros/contingency</t>
  </si>
  <si>
    <t xml:space="preserve">premium </t>
  </si>
  <si>
    <t>expiration</t>
  </si>
  <si>
    <t>Owenton Building - general liability</t>
  </si>
  <si>
    <t>Fiduciary</t>
  </si>
  <si>
    <t>Excess Fiduciary</t>
  </si>
  <si>
    <t>Auto Liab</t>
  </si>
  <si>
    <t>General Liab</t>
  </si>
  <si>
    <t>Consulting Fee</t>
  </si>
  <si>
    <t>Property - incl terrorism</t>
  </si>
  <si>
    <t>Surety Bond</t>
  </si>
  <si>
    <t>Crime</t>
  </si>
  <si>
    <t>Kidnap &amp; ransom</t>
  </si>
  <si>
    <t>Network Security &amp; Privacy Liab</t>
  </si>
  <si>
    <t>D&amp;O</t>
  </si>
  <si>
    <t>Business Travel</t>
  </si>
  <si>
    <t>Premium for Laywer Liab</t>
  </si>
  <si>
    <t>Employment Practices Liab</t>
  </si>
  <si>
    <t xml:space="preserve">Worker's compensation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</si>
</sst>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&quot;$&quot;#,##0.0_);\(&quot;$&quot;#,##0.0\)"/>
    <numFmt numFmtId="170" formatCode="0.0%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15" applyNumberFormat="1" applyFont="1" applyFill="1" applyAlignment="1">
      <alignment horizontal="center"/>
    </xf>
    <xf numFmtId="7" fontId="0" fillId="0" borderId="0" xfId="15" applyNumberFormat="1" applyFont="1" applyFill="1" applyAlignment="1" applyProtection="1">
      <alignment/>
      <protection/>
    </xf>
    <xf numFmtId="5" fontId="0" fillId="0" borderId="0" xfId="15" applyNumberFormat="1" applyFont="1" applyFill="1" applyAlignment="1" applyProtection="1">
      <alignment/>
      <protection/>
    </xf>
    <xf numFmtId="14" fontId="0" fillId="0" borderId="0" xfId="0" applyNumberFormat="1" applyFont="1" applyFill="1" applyBorder="1" applyAlignment="1" applyProtection="1" quotePrefix="1">
      <alignment horizontal="center"/>
      <protection/>
    </xf>
    <xf numFmtId="9" fontId="0" fillId="0" borderId="0" xfId="21" applyFont="1" applyFill="1" applyAlignment="1" applyProtection="1">
      <alignment horizontal="center"/>
      <protection/>
    </xf>
    <xf numFmtId="7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7" fontId="0" fillId="0" borderId="0" xfId="15" applyNumberFormat="1" applyFont="1" applyFill="1" applyBorder="1" applyAlignment="1" applyProtection="1">
      <alignment/>
      <protection/>
    </xf>
    <xf numFmtId="170" fontId="0" fillId="0" borderId="0" xfId="21" applyNumberFormat="1" applyFont="1" applyFill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 quotePrefix="1">
      <alignment horizontal="center"/>
      <protection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7" fontId="0" fillId="0" borderId="0" xfId="0" applyNumberFormat="1" applyFont="1" applyFill="1" applyBorder="1" applyAlignment="1">
      <alignment/>
    </xf>
    <xf numFmtId="5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0" fontId="0" fillId="0" borderId="0" xfId="20" applyFont="1" applyFill="1" applyBorder="1" applyAlignment="1" quotePrefix="1">
      <alignment horizontal="left"/>
    </xf>
    <xf numFmtId="0" fontId="0" fillId="0" borderId="0" xfId="20" applyFont="1" applyFill="1" applyBorder="1" applyAlignment="1">
      <alignment horizontal="left"/>
    </xf>
    <xf numFmtId="0" fontId="0" fillId="0" borderId="0" xfId="20" applyFont="1" applyFill="1" applyBorder="1" applyAlignment="1" quotePrefix="1">
      <alignment horizontal="left"/>
    </xf>
    <xf numFmtId="0" fontId="0" fillId="0" borderId="0" xfId="20" applyFont="1" applyFill="1" applyBorder="1" applyAlignment="1">
      <alignment/>
    </xf>
    <xf numFmtId="0" fontId="0" fillId="0" borderId="0" xfId="2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9" fontId="0" fillId="0" borderId="2" xfId="21" applyFont="1" applyFill="1" applyBorder="1" applyAlignment="1" applyProtection="1">
      <alignment horizontal="center"/>
      <protection/>
    </xf>
    <xf numFmtId="9" fontId="0" fillId="0" borderId="3" xfId="21" applyFont="1" applyFill="1" applyBorder="1" applyAlignment="1" applyProtection="1">
      <alignment horizontal="center"/>
      <protection/>
    </xf>
    <xf numFmtId="9" fontId="0" fillId="0" borderId="4" xfId="21" applyFont="1" applyFill="1" applyBorder="1" applyAlignment="1" applyProtection="1">
      <alignment horizontal="center"/>
      <protection/>
    </xf>
    <xf numFmtId="5" fontId="0" fillId="0" borderId="3" xfId="15" applyNumberFormat="1" applyFont="1" applyFill="1" applyBorder="1" applyAlignment="1" applyProtection="1">
      <alignment/>
      <protection/>
    </xf>
    <xf numFmtId="5" fontId="0" fillId="0" borderId="4" xfId="15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 quotePrefix="1">
      <alignment horizontal="center"/>
      <protection/>
    </xf>
    <xf numFmtId="7" fontId="0" fillId="0" borderId="3" xfId="15" applyNumberFormat="1" applyFont="1" applyFill="1" applyBorder="1" applyAlignment="1" applyProtection="1">
      <alignment horizontal="center"/>
      <protection/>
    </xf>
    <xf numFmtId="7" fontId="0" fillId="0" borderId="3" xfId="15" applyNumberFormat="1" applyFont="1" applyFill="1" applyBorder="1" applyAlignment="1" applyProtection="1">
      <alignment/>
      <protection/>
    </xf>
    <xf numFmtId="7" fontId="0" fillId="0" borderId="5" xfId="0" applyNumberFormat="1" applyFont="1" applyFill="1" applyBorder="1" applyAlignment="1">
      <alignment/>
    </xf>
    <xf numFmtId="7" fontId="0" fillId="0" borderId="6" xfId="0" applyNumberFormat="1" applyFont="1" applyFill="1" applyBorder="1" applyAlignment="1">
      <alignment/>
    </xf>
    <xf numFmtId="7" fontId="0" fillId="0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9" fontId="0" fillId="0" borderId="3" xfId="21" applyFont="1" applyBorder="1" applyAlignment="1">
      <alignment horizontal="center"/>
    </xf>
    <xf numFmtId="43" fontId="0" fillId="0" borderId="3" xfId="15" applyFont="1" applyBorder="1" applyAlignment="1">
      <alignment/>
    </xf>
    <xf numFmtId="7" fontId="0" fillId="0" borderId="3" xfId="0" applyNumberFormat="1" applyFont="1" applyBorder="1" applyAlignment="1">
      <alignment/>
    </xf>
    <xf numFmtId="9" fontId="0" fillId="0" borderId="4" xfId="21" applyFont="1" applyBorder="1" applyAlignment="1">
      <alignment horizontal="center"/>
    </xf>
    <xf numFmtId="7" fontId="0" fillId="0" borderId="8" xfId="0" applyNumberFormat="1" applyFont="1" applyFill="1" applyBorder="1" applyAlignment="1">
      <alignment/>
    </xf>
    <xf numFmtId="7" fontId="0" fillId="0" borderId="9" xfId="0" applyNumberFormat="1" applyFont="1" applyFill="1" applyBorder="1" applyAlignment="1">
      <alignment/>
    </xf>
    <xf numFmtId="9" fontId="0" fillId="0" borderId="2" xfId="2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9" fontId="0" fillId="0" borderId="3" xfId="21" applyFont="1" applyFill="1" applyBorder="1" applyAlignment="1">
      <alignment horizontal="center"/>
    </xf>
    <xf numFmtId="166" fontId="0" fillId="0" borderId="3" xfId="15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2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0" fontId="0" fillId="0" borderId="0" xfId="21" applyNumberFormat="1" applyFont="1" applyFill="1" applyBorder="1" applyAlignment="1">
      <alignment/>
    </xf>
    <xf numFmtId="9" fontId="0" fillId="0" borderId="0" xfId="21" applyFont="1" applyFill="1" applyBorder="1" applyAlignment="1">
      <alignment horizontal="center"/>
    </xf>
    <xf numFmtId="10" fontId="0" fillId="0" borderId="0" xfId="21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5" fontId="0" fillId="0" borderId="0" xfId="15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5" fontId="0" fillId="0" borderId="0" xfId="21" applyNumberFormat="1" applyFont="1" applyFill="1" applyBorder="1" applyAlignment="1" applyProtection="1">
      <alignment horizontal="center"/>
      <protection/>
    </xf>
    <xf numFmtId="9" fontId="0" fillId="0" borderId="0" xfId="2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en%20Acct\KY\2008\Reconciliations\12.08\165200%20Prepaid%20Insurance_KY_12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en%20Acct\KY\2007\Reconciliation\12.07\165200%20Prepaid%20Insurance_KY_12.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en%20Acct\KY\2006\Reconciliations\12.06\165200%20Prepaid%20Insurance%20KY_12.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en%20Acct\KY\2005\Reconciliations\12-05\16520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165200 Rec"/>
      <sheetName val="JDE"/>
      <sheetName val="PV41827531 &amp; 41827446"/>
      <sheetName val="PV 41522136"/>
      <sheetName val="PV 41833269 &amp; 41833239"/>
      <sheetName val="PV 41833210"/>
      <sheetName val="PV41833205"/>
      <sheetName val="PV 41863981 RWE Excess Liab"/>
      <sheetName val="PV 41833357"/>
      <sheetName val="PV 41522152 Willis of PA"/>
      <sheetName val="PV 41863941 Willis of PA "/>
      <sheetName val="PV 42033298"/>
      <sheetName val="PV41257833"/>
      <sheetName val="PV  41877077"/>
      <sheetName val="PV41827421"/>
      <sheetName val="PV41508920"/>
      <sheetName val="PV 41508929 "/>
      <sheetName val="Bus Travel Ins PV 41853472"/>
      <sheetName val="Various PVs Willis of PA"/>
      <sheetName val="PV 4196636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165200 Rec"/>
      <sheetName val="JDE"/>
      <sheetName val="Marsh 3rd qtr"/>
      <sheetName val="surety"/>
      <sheetName val="premium prop cas"/>
      <sheetName val="billing financial products"/>
      <sheetName val="pollution"/>
      <sheetName val="2007 Insurance Schedule"/>
      <sheetName val="PV41257827"/>
      <sheetName val="PV41257841"/>
      <sheetName val="PV41257818"/>
      <sheetName val="PV41251518"/>
      <sheetName val="PV41257757"/>
      <sheetName val="PV41257843"/>
      <sheetName val="PV41257837"/>
      <sheetName val="PV41257833"/>
      <sheetName val="PV41414911"/>
      <sheetName val="PV41257830"/>
      <sheetName val="PV41257847"/>
      <sheetName val="PV41257845"/>
      <sheetName val="PV41279553"/>
      <sheetName val="PV41279552"/>
      <sheetName val="PV41279540"/>
      <sheetName val="PV41279534"/>
      <sheetName val="PV41257835"/>
      <sheetName val="PV41257822"/>
      <sheetName val="PV41325233"/>
      <sheetName val="2006 GL"/>
      <sheetName val="Journal Entry"/>
      <sheetName val="Descr of Pymts"/>
      <sheetName val="Billing - Prop-Cas"/>
      <sheetName val="GL download"/>
      <sheetName val="Premium - Excess Liab"/>
      <sheetName val="Prop-CasFinal per TRusso"/>
      <sheetName val="2005_Billing - Prop-Cas"/>
      <sheetName val="1Q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165200 Rec"/>
      <sheetName val="PV41257827"/>
      <sheetName val="PV41257841"/>
      <sheetName val="PV41257818"/>
      <sheetName val="PV41251518"/>
      <sheetName val="PV41257757"/>
      <sheetName val="PV41257843"/>
      <sheetName val="PV41257837"/>
      <sheetName val="PV41257833"/>
      <sheetName val="PV41414911"/>
      <sheetName val="PV41257830"/>
      <sheetName val="PV41257847"/>
      <sheetName val="PV41257845"/>
      <sheetName val="PV41279553"/>
      <sheetName val="PV41279552"/>
      <sheetName val="PV41279540"/>
      <sheetName val="PV41279534"/>
      <sheetName val="PV41257835"/>
      <sheetName val="PV41257822"/>
      <sheetName val="PV41325233"/>
      <sheetName val="2006 GL"/>
      <sheetName val="Journal Entry"/>
      <sheetName val="Descr of Pymts"/>
      <sheetName val="Billing - Prop-Cas"/>
      <sheetName val="GL download"/>
      <sheetName val="Premium - Excess Liab"/>
      <sheetName val="Prop-CasFinal per TRusso"/>
      <sheetName val="2005_Billing - Prop-Cas"/>
      <sheetName val="1Q Adj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"/>
      <sheetName val="2005_Billing - Prop-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WV/2009/Reconciliation/05.09/165200-Willis%20of%20PA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workbookViewId="0" topLeftCell="A1">
      <selection activeCell="J10" sqref="J10:J11"/>
    </sheetView>
  </sheetViews>
  <sheetFormatPr defaultColWidth="9.140625" defaultRowHeight="12.75"/>
  <cols>
    <col min="1" max="2" width="9.140625" style="4" customWidth="1"/>
    <col min="3" max="3" width="18.7109375" style="4" customWidth="1"/>
    <col min="4" max="4" width="10.140625" style="4" bestFit="1" customWidth="1"/>
    <col min="5" max="5" width="9.57421875" style="4" bestFit="1" customWidth="1"/>
    <col min="6" max="8" width="11.8515625" style="4" hidden="1" customWidth="1"/>
    <col min="9" max="9" width="11.28125" style="4" hidden="1" customWidth="1"/>
    <col min="10" max="10" width="10.7109375" style="4" customWidth="1"/>
    <col min="11" max="11" width="7.57421875" style="4" customWidth="1"/>
    <col min="12" max="12" width="10.7109375" style="4" customWidth="1"/>
    <col min="13" max="13" width="6.7109375" style="4" customWidth="1"/>
    <col min="14" max="14" width="11.8515625" style="4" customWidth="1"/>
    <col min="15" max="15" width="8.57421875" style="4" customWidth="1"/>
    <col min="16" max="16" width="16.00390625" style="4" hidden="1" customWidth="1"/>
    <col min="17" max="17" width="13.28125" style="4" bestFit="1" customWidth="1"/>
    <col min="18" max="18" width="8.421875" style="4" customWidth="1"/>
    <col min="19" max="19" width="13.28125" style="4" customWidth="1"/>
    <col min="20" max="20" width="7.7109375" style="4" customWidth="1"/>
    <col min="21" max="21" width="13.421875" style="4" bestFit="1" customWidth="1"/>
    <col min="22" max="22" width="7.7109375" style="4" customWidth="1"/>
    <col min="23" max="23" width="13.57421875" style="4" customWidth="1"/>
    <col min="24" max="24" width="6.00390625" style="12" customWidth="1"/>
    <col min="25" max="25" width="13.7109375" style="4" customWidth="1"/>
    <col min="26" max="16384" width="9.140625" style="4" customWidth="1"/>
  </cols>
  <sheetData>
    <row r="1" spans="1:24" s="1" customFormat="1" ht="12.75">
      <c r="A1" s="35" t="s">
        <v>0</v>
      </c>
      <c r="X1" s="2"/>
    </row>
    <row r="2" spans="1:26" s="1" customFormat="1" ht="12.75">
      <c r="A2" s="35" t="s">
        <v>1</v>
      </c>
      <c r="F2" s="2" t="s">
        <v>15</v>
      </c>
      <c r="G2" s="2"/>
      <c r="H2" s="2"/>
      <c r="I2" s="2"/>
      <c r="J2" s="2"/>
      <c r="K2" s="61">
        <v>2010</v>
      </c>
      <c r="L2" s="25" t="s">
        <v>27</v>
      </c>
      <c r="M2" s="61" t="s">
        <v>35</v>
      </c>
      <c r="N2" s="25" t="s">
        <v>24</v>
      </c>
      <c r="O2" s="61"/>
      <c r="P2" s="2"/>
      <c r="Q2" s="2"/>
      <c r="R2" s="61"/>
      <c r="S2" s="2"/>
      <c r="T2" s="61"/>
      <c r="U2" s="2"/>
      <c r="V2" s="61"/>
      <c r="W2" s="2"/>
      <c r="X2" s="61"/>
      <c r="Y2" s="2"/>
      <c r="Z2" s="2"/>
    </row>
    <row r="3" spans="1:26" s="1" customFormat="1" ht="12.75">
      <c r="A3" s="35" t="s">
        <v>34</v>
      </c>
      <c r="D3" s="1" t="s">
        <v>37</v>
      </c>
      <c r="F3" s="2" t="s">
        <v>16</v>
      </c>
      <c r="G3" s="2" t="s">
        <v>18</v>
      </c>
      <c r="H3" s="2">
        <v>2011</v>
      </c>
      <c r="I3" s="2">
        <v>2011</v>
      </c>
      <c r="J3" s="25">
        <v>2010</v>
      </c>
      <c r="K3" s="62" t="s">
        <v>30</v>
      </c>
      <c r="L3" s="27" t="s">
        <v>28</v>
      </c>
      <c r="M3" s="62" t="s">
        <v>30</v>
      </c>
      <c r="N3" s="25">
        <v>2010</v>
      </c>
      <c r="O3" s="62">
        <v>2010</v>
      </c>
      <c r="P3" s="2"/>
      <c r="Q3" s="25" t="s">
        <v>22</v>
      </c>
      <c r="R3" s="62">
        <v>2009</v>
      </c>
      <c r="S3" s="25" t="s">
        <v>7</v>
      </c>
      <c r="T3" s="62">
        <v>2008</v>
      </c>
      <c r="U3" s="25" t="s">
        <v>8</v>
      </c>
      <c r="V3" s="62">
        <v>2007</v>
      </c>
      <c r="W3" s="25" t="s">
        <v>10</v>
      </c>
      <c r="X3" s="62">
        <v>2006</v>
      </c>
      <c r="Y3" s="25" t="s">
        <v>13</v>
      </c>
      <c r="Z3" s="2"/>
    </row>
    <row r="4" spans="4:26" s="1" customFormat="1" ht="12.75">
      <c r="D4" s="1" t="s">
        <v>38</v>
      </c>
      <c r="F4" s="3" t="s">
        <v>17</v>
      </c>
      <c r="G4" s="3" t="s">
        <v>19</v>
      </c>
      <c r="H4" s="3" t="s">
        <v>33</v>
      </c>
      <c r="I4" s="3" t="s">
        <v>14</v>
      </c>
      <c r="J4" s="26" t="s">
        <v>25</v>
      </c>
      <c r="K4" s="63" t="s">
        <v>31</v>
      </c>
      <c r="L4" s="28" t="s">
        <v>29</v>
      </c>
      <c r="M4" s="63" t="s">
        <v>32</v>
      </c>
      <c r="N4" s="26" t="s">
        <v>26</v>
      </c>
      <c r="O4" s="63" t="s">
        <v>14</v>
      </c>
      <c r="P4" s="3" t="s">
        <v>23</v>
      </c>
      <c r="Q4" s="26" t="s">
        <v>6</v>
      </c>
      <c r="R4" s="63" t="s">
        <v>14</v>
      </c>
      <c r="S4" s="26" t="s">
        <v>6</v>
      </c>
      <c r="T4" s="63" t="s">
        <v>14</v>
      </c>
      <c r="U4" s="26" t="s">
        <v>6</v>
      </c>
      <c r="V4" s="63" t="s">
        <v>14</v>
      </c>
      <c r="W4" s="26" t="s">
        <v>6</v>
      </c>
      <c r="X4" s="63" t="s">
        <v>14</v>
      </c>
      <c r="Y4" s="26" t="s">
        <v>6</v>
      </c>
      <c r="Z4" s="2"/>
    </row>
    <row r="5" spans="1:27" ht="12.75">
      <c r="A5" s="30" t="s">
        <v>40</v>
      </c>
      <c r="B5" s="1"/>
      <c r="C5" s="1"/>
      <c r="D5" s="64">
        <v>40298</v>
      </c>
      <c r="E5" s="17">
        <v>557000.16</v>
      </c>
      <c r="F5" s="5">
        <v>16</v>
      </c>
      <c r="G5" s="5"/>
      <c r="H5" s="6"/>
      <c r="I5" s="6"/>
      <c r="J5" s="7"/>
      <c r="K5" s="36">
        <v>-1</v>
      </c>
      <c r="L5" s="7">
        <v>1644</v>
      </c>
      <c r="M5" s="36">
        <f>(+L5-N5)/N5</f>
        <v>0.0010092291954936483</v>
      </c>
      <c r="N5" s="6">
        <f>+Q5</f>
        <v>1642.3425</v>
      </c>
      <c r="O5" s="36">
        <f aca="true" t="shared" si="0" ref="O5:O11">(+N5-Q5)/Q5</f>
        <v>0</v>
      </c>
      <c r="P5" s="8">
        <v>40290</v>
      </c>
      <c r="Q5" s="6">
        <f>2189.79/16*12</f>
        <v>1642.3425</v>
      </c>
      <c r="R5" s="36">
        <f>(Q5-S5)/S5</f>
        <v>-0.3331211704084492</v>
      </c>
      <c r="S5" s="18">
        <v>2462.73</v>
      </c>
      <c r="T5" s="55">
        <f>(+S5-U5)/U5</f>
        <v>-0.14629048025125307</v>
      </c>
      <c r="U5" s="18">
        <v>2884.74</v>
      </c>
      <c r="V5" s="55">
        <f>(U5-W5)/W5</f>
        <v>-0.3094578096947936</v>
      </c>
      <c r="W5" s="18">
        <v>4177.5</v>
      </c>
      <c r="X5" s="55">
        <f>(W5-Y5)/Y5</f>
        <v>0.5887534133002715</v>
      </c>
      <c r="Y5" s="20">
        <v>2629.42</v>
      </c>
      <c r="Z5" s="19"/>
      <c r="AA5" s="19"/>
    </row>
    <row r="6" spans="1:27" ht="12.75">
      <c r="A6" s="30" t="s">
        <v>41</v>
      </c>
      <c r="B6" s="1"/>
      <c r="C6" s="1"/>
      <c r="D6" s="64">
        <v>40298</v>
      </c>
      <c r="E6" s="17">
        <v>557000.16</v>
      </c>
      <c r="F6" s="5">
        <v>16</v>
      </c>
      <c r="G6" s="5"/>
      <c r="H6" s="6"/>
      <c r="I6" s="6"/>
      <c r="J6" s="7"/>
      <c r="K6" s="37">
        <v>-1</v>
      </c>
      <c r="L6" s="7">
        <v>890</v>
      </c>
      <c r="M6" s="37">
        <f aca="true" t="shared" si="1" ref="M6:M28">(+L6-N6)/N6</f>
        <v>0.07485975495613004</v>
      </c>
      <c r="N6" s="6">
        <f>+Q6</f>
        <v>828.015</v>
      </c>
      <c r="O6" s="37">
        <f t="shared" si="0"/>
        <v>0</v>
      </c>
      <c r="P6" s="8">
        <v>40290</v>
      </c>
      <c r="Q6" s="6">
        <f>1104.02/16*12</f>
        <v>828.015</v>
      </c>
      <c r="R6" s="37">
        <v>1</v>
      </c>
      <c r="S6" s="19"/>
      <c r="T6" s="56"/>
      <c r="U6" s="19"/>
      <c r="V6" s="58"/>
      <c r="W6" s="19"/>
      <c r="X6" s="56"/>
      <c r="Y6" s="19"/>
      <c r="Z6" s="19"/>
      <c r="AA6" s="19"/>
    </row>
    <row r="7" spans="1:27" ht="12.75">
      <c r="A7" s="30" t="s">
        <v>42</v>
      </c>
      <c r="B7" s="1"/>
      <c r="C7" s="1"/>
      <c r="D7" s="64">
        <v>40543</v>
      </c>
      <c r="E7" s="17">
        <v>556000.16</v>
      </c>
      <c r="F7" s="5">
        <v>3</v>
      </c>
      <c r="G7" s="5">
        <v>1.1</v>
      </c>
      <c r="H7" s="7">
        <v>46457</v>
      </c>
      <c r="I7" s="9">
        <f>(H7-N7)/N7</f>
        <v>0.32666208996754814</v>
      </c>
      <c r="J7" s="7">
        <v>42233</v>
      </c>
      <c r="K7" s="37">
        <f aca="true" t="shared" si="2" ref="K7:K29">(+J7-Q7)/Q7</f>
        <v>0.099991873713338</v>
      </c>
      <c r="L7" s="7">
        <v>37644</v>
      </c>
      <c r="M7" s="37">
        <f t="shared" si="1"/>
        <v>0.07499123307011604</v>
      </c>
      <c r="N7" s="7">
        <f>8754.49*4</f>
        <v>35017.96</v>
      </c>
      <c r="O7" s="37">
        <f t="shared" si="0"/>
        <v>-0.08792954717830322</v>
      </c>
      <c r="P7" s="8">
        <v>40178</v>
      </c>
      <c r="Q7" s="13">
        <f>9598.48*4</f>
        <v>38393.92</v>
      </c>
      <c r="R7" s="37">
        <f aca="true" t="shared" si="3" ref="R7:R24">(Q7-S7)/S7</f>
        <v>0.04497478054776223</v>
      </c>
      <c r="S7" s="18">
        <v>36741.48</v>
      </c>
      <c r="T7" s="57">
        <f aca="true" t="shared" si="4" ref="T7:T19">(+S7-U7)/U7</f>
        <v>0.12821177346272766</v>
      </c>
      <c r="U7" s="22">
        <v>32566.12</v>
      </c>
      <c r="V7" s="57">
        <f aca="true" t="shared" si="5" ref="V7:V19">(U7-W7)/W7</f>
        <v>-0.0425790183325021</v>
      </c>
      <c r="W7" s="18">
        <v>34014.42064</v>
      </c>
      <c r="X7" s="57">
        <f>(W7-Y7)/Y7</f>
        <v>0.003859275297782471</v>
      </c>
      <c r="Y7" s="21">
        <v>33883.65429</v>
      </c>
      <c r="Z7" s="19"/>
      <c r="AA7" s="19"/>
    </row>
    <row r="8" spans="1:27" ht="12.75">
      <c r="A8" s="30" t="s">
        <v>43</v>
      </c>
      <c r="B8" s="1"/>
      <c r="C8" s="1"/>
      <c r="D8" s="64">
        <v>40543</v>
      </c>
      <c r="E8" s="17">
        <v>557000.16</v>
      </c>
      <c r="F8" s="5">
        <v>3</v>
      </c>
      <c r="G8" s="5">
        <v>1.1</v>
      </c>
      <c r="H8" s="7">
        <v>312622</v>
      </c>
      <c r="I8" s="9">
        <f>(H8-N8)/N8</f>
        <v>0.1689289296355801</v>
      </c>
      <c r="J8" s="7">
        <v>284202</v>
      </c>
      <c r="K8" s="37">
        <f t="shared" si="2"/>
        <v>0.10502019349926096</v>
      </c>
      <c r="L8" s="7">
        <f>288286-774</f>
        <v>287512</v>
      </c>
      <c r="M8" s="37">
        <f t="shared" si="1"/>
        <v>0.07503980659513695</v>
      </c>
      <c r="N8" s="7">
        <f>66860.78*4</f>
        <v>267443.12</v>
      </c>
      <c r="O8" s="37">
        <f t="shared" si="0"/>
        <v>0.03985914318845774</v>
      </c>
      <c r="P8" s="8">
        <v>40178</v>
      </c>
      <c r="Q8" s="13">
        <f>(64591.42*4)-1174</f>
        <v>257191.68</v>
      </c>
      <c r="R8" s="37">
        <f t="shared" si="3"/>
        <v>0.12906866381902707</v>
      </c>
      <c r="S8" s="18">
        <v>227791</v>
      </c>
      <c r="T8" s="57">
        <f t="shared" si="4"/>
        <v>-0.051477413527382616</v>
      </c>
      <c r="U8" s="18">
        <v>240153.48</v>
      </c>
      <c r="V8" s="57">
        <f t="shared" si="5"/>
        <v>-0.21998931813329725</v>
      </c>
      <c r="W8" s="18">
        <v>307884.860532</v>
      </c>
      <c r="X8" s="57">
        <f>(W8-Y8)/Y8</f>
        <v>0.651961350065586</v>
      </c>
      <c r="Y8" s="21">
        <v>186375.34136</v>
      </c>
      <c r="Z8" s="19"/>
      <c r="AA8" s="19"/>
    </row>
    <row r="9" spans="1:27" ht="12.75">
      <c r="A9" s="65" t="s">
        <v>54</v>
      </c>
      <c r="B9" s="1"/>
      <c r="C9" s="1"/>
      <c r="D9" s="64">
        <v>40543</v>
      </c>
      <c r="E9" s="17">
        <v>558000.16</v>
      </c>
      <c r="F9" s="5">
        <v>3</v>
      </c>
      <c r="G9" s="5">
        <v>1.05</v>
      </c>
      <c r="H9" s="7">
        <f>190542+12682</f>
        <v>203224</v>
      </c>
      <c r="I9" s="9">
        <f>(H9-N9)/N9</f>
        <v>0.6789754964620099</v>
      </c>
      <c r="J9" s="7">
        <f>177248+12078-37865</f>
        <v>151461</v>
      </c>
      <c r="K9" s="37">
        <f t="shared" si="2"/>
        <v>0.05530879667163953</v>
      </c>
      <c r="L9" s="7">
        <v>129804</v>
      </c>
      <c r="M9" s="37">
        <f t="shared" si="1"/>
        <v>0.07240156350999259</v>
      </c>
      <c r="N9" s="7">
        <f>(37824.62*4)-30258</f>
        <v>121040.48000000001</v>
      </c>
      <c r="O9" s="37">
        <f t="shared" si="0"/>
        <v>-0.15664703588806583</v>
      </c>
      <c r="P9" s="8">
        <v>40178</v>
      </c>
      <c r="Q9" s="13">
        <f>(44096.23*4)-32862</f>
        <v>143522.92</v>
      </c>
      <c r="R9" s="37">
        <f t="shared" si="3"/>
        <v>0.04980688101055607</v>
      </c>
      <c r="S9" s="18">
        <v>136713.64</v>
      </c>
      <c r="T9" s="57">
        <f t="shared" si="4"/>
        <v>-0.11343662527881475</v>
      </c>
      <c r="U9" s="18">
        <v>154206.28</v>
      </c>
      <c r="V9" s="57">
        <f t="shared" si="5"/>
        <v>0.3718669307684678</v>
      </c>
      <c r="W9" s="18">
        <v>112406.15</v>
      </c>
      <c r="X9" s="57">
        <f>(W9-Y9)/Y9</f>
        <v>-0.05846250984414061</v>
      </c>
      <c r="Y9" s="21">
        <v>119385.74</v>
      </c>
      <c r="Z9" s="19"/>
      <c r="AA9" s="19"/>
    </row>
    <row r="10" spans="1:27" ht="12.75">
      <c r="A10" s="65" t="s">
        <v>44</v>
      </c>
      <c r="B10" s="1"/>
      <c r="C10" s="1"/>
      <c r="D10" s="64">
        <v>40543</v>
      </c>
      <c r="E10" s="17">
        <v>559000.16</v>
      </c>
      <c r="F10" s="5">
        <v>3</v>
      </c>
      <c r="G10" s="5">
        <v>1.03</v>
      </c>
      <c r="H10" s="7">
        <v>5610</v>
      </c>
      <c r="I10" s="9">
        <f>(H10-N10)/N10</f>
        <v>0.12399621728189267</v>
      </c>
      <c r="J10" s="7">
        <v>5447</v>
      </c>
      <c r="K10" s="37">
        <f t="shared" si="2"/>
        <v>0.11078935991451382</v>
      </c>
      <c r="L10" s="7">
        <v>5505</v>
      </c>
      <c r="M10" s="37">
        <f t="shared" si="1"/>
        <v>0.10295885492634922</v>
      </c>
      <c r="N10" s="7">
        <f>1247.78*4</f>
        <v>4991.12</v>
      </c>
      <c r="O10" s="37">
        <f t="shared" si="0"/>
        <v>0.017823203608688838</v>
      </c>
      <c r="P10" s="8">
        <v>40178</v>
      </c>
      <c r="Q10" s="13">
        <f>1225.93*4</f>
        <v>4903.72</v>
      </c>
      <c r="R10" s="37">
        <f t="shared" si="3"/>
        <v>0.014767111721808926</v>
      </c>
      <c r="S10" s="18">
        <v>4832.36</v>
      </c>
      <c r="T10" s="57">
        <f t="shared" si="4"/>
        <v>-0.08583298020461291</v>
      </c>
      <c r="U10" s="18">
        <v>5286.08</v>
      </c>
      <c r="V10" s="57">
        <f t="shared" si="5"/>
        <v>-0.45828021430708876</v>
      </c>
      <c r="W10" s="18">
        <v>9757.96</v>
      </c>
      <c r="X10" s="57">
        <f>(W10-Y10)/Y10</f>
        <v>0.47803089972735524</v>
      </c>
      <c r="Y10" s="21">
        <v>6602</v>
      </c>
      <c r="Z10" s="19"/>
      <c r="AA10" s="19"/>
    </row>
    <row r="11" spans="1:27" ht="12.75">
      <c r="A11" s="30" t="s">
        <v>45</v>
      </c>
      <c r="B11" s="1"/>
      <c r="C11" s="1" t="s">
        <v>11</v>
      </c>
      <c r="D11" s="64">
        <v>40543</v>
      </c>
      <c r="E11" s="17">
        <v>559000.16</v>
      </c>
      <c r="F11" s="5">
        <v>12</v>
      </c>
      <c r="G11" s="5">
        <v>1.05</v>
      </c>
      <c r="H11" s="7">
        <v>163884</v>
      </c>
      <c r="I11" s="9">
        <f>(H11-N11)/N11</f>
        <v>0.31050586146784587</v>
      </c>
      <c r="J11" s="7">
        <v>151745</v>
      </c>
      <c r="K11" s="37">
        <f t="shared" si="2"/>
        <v>0.15000116709070954</v>
      </c>
      <c r="L11" s="7">
        <v>154176</v>
      </c>
      <c r="M11" s="37">
        <f t="shared" si="1"/>
        <v>0.23287539782813824</v>
      </c>
      <c r="N11" s="7">
        <v>125054</v>
      </c>
      <c r="O11" s="37">
        <f t="shared" si="0"/>
        <v>-0.05227687271829983</v>
      </c>
      <c r="P11" s="8">
        <v>40178</v>
      </c>
      <c r="Q11" s="13">
        <v>131952.04</v>
      </c>
      <c r="R11" s="37">
        <f t="shared" si="3"/>
        <v>0.35781107979350074</v>
      </c>
      <c r="S11" s="18">
        <v>97179.97</v>
      </c>
      <c r="T11" s="57">
        <f t="shared" si="4"/>
        <v>-0.09904517115226667</v>
      </c>
      <c r="U11" s="18">
        <v>107863.31</v>
      </c>
      <c r="V11" s="57">
        <f t="shared" si="5"/>
        <v>0.23221403995467937</v>
      </c>
      <c r="W11" s="18">
        <v>87536.18</v>
      </c>
      <c r="X11" s="57">
        <f>(W11-Y11)/Y11</f>
        <v>0.26667950669405804</v>
      </c>
      <c r="Y11" s="21">
        <v>69106.81</v>
      </c>
      <c r="Z11" s="19"/>
      <c r="AA11" s="19"/>
    </row>
    <row r="12" spans="1:27" ht="12.75">
      <c r="A12" s="30" t="s">
        <v>46</v>
      </c>
      <c r="B12" s="1"/>
      <c r="C12" s="1"/>
      <c r="D12" s="1"/>
      <c r="E12" s="17">
        <v>559000.16</v>
      </c>
      <c r="F12" s="5">
        <v>12</v>
      </c>
      <c r="G12" s="5"/>
      <c r="H12" s="7"/>
      <c r="I12" s="6"/>
      <c r="J12" s="7"/>
      <c r="K12" s="37">
        <f t="shared" si="2"/>
        <v>-1</v>
      </c>
      <c r="L12" s="7">
        <v>756</v>
      </c>
      <c r="M12" s="37">
        <v>1</v>
      </c>
      <c r="N12" s="7"/>
      <c r="O12" s="42"/>
      <c r="P12" s="8">
        <v>40178</v>
      </c>
      <c r="Q12" s="13">
        <v>759.79</v>
      </c>
      <c r="R12" s="37">
        <f t="shared" si="3"/>
        <v>0.07841996196099583</v>
      </c>
      <c r="S12" s="18">
        <v>704.54</v>
      </c>
      <c r="T12" s="57">
        <f t="shared" si="4"/>
        <v>-0.08605749273557498</v>
      </c>
      <c r="U12" s="18">
        <v>770.88</v>
      </c>
      <c r="V12" s="57">
        <f t="shared" si="5"/>
        <v>-0.2946408147206032</v>
      </c>
      <c r="W12" s="18">
        <v>1092.89</v>
      </c>
      <c r="X12" s="57">
        <v>1</v>
      </c>
      <c r="Y12" s="19"/>
      <c r="Z12" s="19"/>
      <c r="AA12" s="19"/>
    </row>
    <row r="13" spans="1:27" ht="12.75">
      <c r="A13" s="30" t="s">
        <v>9</v>
      </c>
      <c r="B13" s="1"/>
      <c r="C13" s="1"/>
      <c r="D13" s="64">
        <v>40543</v>
      </c>
      <c r="E13" s="17">
        <v>557000.16</v>
      </c>
      <c r="F13" s="5">
        <v>12</v>
      </c>
      <c r="G13" s="5">
        <v>1.125</v>
      </c>
      <c r="H13" s="7">
        <v>98653</v>
      </c>
      <c r="I13" s="14">
        <f>(H13-N13)/N13</f>
        <v>0.11631425853753587</v>
      </c>
      <c r="J13" s="7">
        <v>87692</v>
      </c>
      <c r="K13" s="37">
        <f t="shared" si="2"/>
        <v>-0.05276217927349637</v>
      </c>
      <c r="L13" s="7">
        <v>94173</v>
      </c>
      <c r="M13" s="37">
        <f t="shared" si="1"/>
        <v>0.06562053530308622</v>
      </c>
      <c r="N13" s="7">
        <f>49551.07+17977.6+20845.19</f>
        <v>88373.86</v>
      </c>
      <c r="O13" s="37">
        <f aca="true" t="shared" si="6" ref="O13:O19">(+N13-Q13)/Q13</f>
        <v>-0.04539681435491116</v>
      </c>
      <c r="P13" s="8"/>
      <c r="Q13" s="13">
        <f>+Q14+Q15+Q16+Q17</f>
        <v>92576.54000000001</v>
      </c>
      <c r="R13" s="37">
        <f t="shared" si="3"/>
        <v>0.02364511778882636</v>
      </c>
      <c r="S13" s="18">
        <v>90438.12</v>
      </c>
      <c r="T13" s="57">
        <f t="shared" si="4"/>
        <v>-0.15243124864635949</v>
      </c>
      <c r="U13" s="18">
        <v>106702.99</v>
      </c>
      <c r="V13" s="57">
        <f t="shared" si="5"/>
        <v>0.3213730749607438</v>
      </c>
      <c r="W13" s="18">
        <v>80751.6</v>
      </c>
      <c r="X13" s="57">
        <f aca="true" t="shared" si="7" ref="X13:X18">(W13-Y13)/Y13</f>
        <v>0.5934880416765334</v>
      </c>
      <c r="Y13" s="21">
        <v>50676</v>
      </c>
      <c r="Z13" s="19"/>
      <c r="AA13" s="19"/>
    </row>
    <row r="14" spans="1:27" ht="12.75" hidden="1">
      <c r="A14" s="29" t="s">
        <v>2</v>
      </c>
      <c r="B14" s="1"/>
      <c r="C14" s="1"/>
      <c r="D14" s="1"/>
      <c r="E14" s="17"/>
      <c r="F14" s="5">
        <v>12</v>
      </c>
      <c r="G14" s="5"/>
      <c r="H14" s="7"/>
      <c r="I14" s="6"/>
      <c r="J14" s="7"/>
      <c r="K14" s="37">
        <f t="shared" si="2"/>
        <v>-1</v>
      </c>
      <c r="L14" s="7"/>
      <c r="M14" s="37" t="e">
        <f t="shared" si="1"/>
        <v>#DIV/0!</v>
      </c>
      <c r="N14" s="7"/>
      <c r="O14" s="37">
        <f t="shared" si="6"/>
        <v>-1</v>
      </c>
      <c r="P14" s="8">
        <v>40178</v>
      </c>
      <c r="Q14" s="13">
        <v>42772.69</v>
      </c>
      <c r="R14" s="37">
        <f t="shared" si="3"/>
        <v>-0.11982453569908735</v>
      </c>
      <c r="S14" s="53">
        <v>48595.64</v>
      </c>
      <c r="T14" s="57">
        <f t="shared" si="4"/>
        <v>0.28162725353230755</v>
      </c>
      <c r="U14" s="44">
        <v>37917.14</v>
      </c>
      <c r="V14" s="57" t="e">
        <f t="shared" si="5"/>
        <v>#DIV/0!</v>
      </c>
      <c r="W14" s="19"/>
      <c r="X14" s="57" t="e">
        <f t="shared" si="7"/>
        <v>#DIV/0!</v>
      </c>
      <c r="Y14" s="19"/>
      <c r="Z14" s="19"/>
      <c r="AA14" s="19"/>
    </row>
    <row r="15" spans="1:27" ht="12.75" hidden="1">
      <c r="A15" s="29" t="s">
        <v>2</v>
      </c>
      <c r="B15" s="1"/>
      <c r="C15" s="1"/>
      <c r="D15" s="1"/>
      <c r="E15" s="17"/>
      <c r="F15" s="5">
        <v>12</v>
      </c>
      <c r="G15" s="5"/>
      <c r="H15" s="7"/>
      <c r="I15" s="6"/>
      <c r="J15" s="7"/>
      <c r="K15" s="37">
        <f t="shared" si="2"/>
        <v>-1</v>
      </c>
      <c r="L15" s="7"/>
      <c r="M15" s="37" t="e">
        <f t="shared" si="1"/>
        <v>#DIV/0!</v>
      </c>
      <c r="N15" s="7"/>
      <c r="O15" s="37">
        <f t="shared" si="6"/>
        <v>-1</v>
      </c>
      <c r="P15" s="8">
        <v>40178</v>
      </c>
      <c r="Q15" s="13">
        <v>8316.91</v>
      </c>
      <c r="R15" s="37">
        <f t="shared" si="3"/>
        <v>3.3347040673796564</v>
      </c>
      <c r="S15" s="22">
        <v>1918.68</v>
      </c>
      <c r="T15" s="57">
        <f t="shared" si="4"/>
        <v>0.025927846903255822</v>
      </c>
      <c r="U15" s="45">
        <v>1870.19</v>
      </c>
      <c r="V15" s="57" t="e">
        <f t="shared" si="5"/>
        <v>#DIV/0!</v>
      </c>
      <c r="W15" s="19"/>
      <c r="X15" s="57" t="e">
        <f t="shared" si="7"/>
        <v>#DIV/0!</v>
      </c>
      <c r="Y15" s="19"/>
      <c r="Z15" s="19"/>
      <c r="AA15" s="19"/>
    </row>
    <row r="16" spans="1:27" ht="12.75" hidden="1">
      <c r="A16" s="31" t="s">
        <v>3</v>
      </c>
      <c r="B16" s="1"/>
      <c r="C16" s="1"/>
      <c r="D16" s="1"/>
      <c r="E16" s="17"/>
      <c r="F16" s="5">
        <v>12</v>
      </c>
      <c r="G16" s="5"/>
      <c r="H16" s="7"/>
      <c r="I16" s="6"/>
      <c r="J16" s="7"/>
      <c r="K16" s="37">
        <f t="shared" si="2"/>
        <v>-1</v>
      </c>
      <c r="L16" s="7"/>
      <c r="M16" s="37" t="e">
        <f t="shared" si="1"/>
        <v>#DIV/0!</v>
      </c>
      <c r="N16" s="7"/>
      <c r="O16" s="37">
        <f t="shared" si="6"/>
        <v>-1</v>
      </c>
      <c r="P16" s="8">
        <v>40178</v>
      </c>
      <c r="Q16" s="13">
        <v>22793.73</v>
      </c>
      <c r="R16" s="37">
        <f t="shared" si="3"/>
        <v>0.07842495291238266</v>
      </c>
      <c r="S16" s="22">
        <v>21136.13</v>
      </c>
      <c r="T16" s="57">
        <f t="shared" si="4"/>
        <v>-0.13466241970415915</v>
      </c>
      <c r="U16" s="45">
        <v>24425.3</v>
      </c>
      <c r="V16" s="57" t="e">
        <f t="shared" si="5"/>
        <v>#DIV/0!</v>
      </c>
      <c r="W16" s="19"/>
      <c r="X16" s="57" t="e">
        <f t="shared" si="7"/>
        <v>#DIV/0!</v>
      </c>
      <c r="Y16" s="19"/>
      <c r="Z16" s="19"/>
      <c r="AA16" s="19"/>
    </row>
    <row r="17" spans="1:27" ht="13.5" hidden="1" thickBot="1">
      <c r="A17" s="29" t="s">
        <v>4</v>
      </c>
      <c r="B17" s="1"/>
      <c r="C17" s="1"/>
      <c r="D17" s="1"/>
      <c r="E17" s="17"/>
      <c r="F17" s="5">
        <v>12</v>
      </c>
      <c r="G17" s="5"/>
      <c r="H17" s="7"/>
      <c r="I17" s="6"/>
      <c r="J17" s="7"/>
      <c r="K17" s="37">
        <f t="shared" si="2"/>
        <v>-1</v>
      </c>
      <c r="L17" s="7"/>
      <c r="M17" s="37" t="e">
        <f t="shared" si="1"/>
        <v>#DIV/0!</v>
      </c>
      <c r="N17" s="7"/>
      <c r="O17" s="37">
        <f t="shared" si="6"/>
        <v>-1</v>
      </c>
      <c r="P17" s="8">
        <v>40178</v>
      </c>
      <c r="Q17" s="13">
        <v>18693.21</v>
      </c>
      <c r="R17" s="37">
        <f t="shared" si="3"/>
        <v>-0.005027765550491313</v>
      </c>
      <c r="S17" s="54">
        <v>18787.67</v>
      </c>
      <c r="T17" s="57">
        <f t="shared" si="4"/>
        <v>0.2042444143755516</v>
      </c>
      <c r="U17" s="46">
        <v>15601.21</v>
      </c>
      <c r="V17" s="57" t="e">
        <f t="shared" si="5"/>
        <v>#DIV/0!</v>
      </c>
      <c r="W17" s="19"/>
      <c r="X17" s="57" t="e">
        <f t="shared" si="7"/>
        <v>#DIV/0!</v>
      </c>
      <c r="Y17" s="19"/>
      <c r="Z17" s="19"/>
      <c r="AA17" s="19"/>
    </row>
    <row r="18" spans="1:27" ht="12.75">
      <c r="A18" s="30" t="s">
        <v>47</v>
      </c>
      <c r="B18" s="1"/>
      <c r="C18" s="1"/>
      <c r="D18" s="64">
        <v>40298</v>
      </c>
      <c r="E18" s="17">
        <v>559000.16</v>
      </c>
      <c r="F18" s="5">
        <v>16</v>
      </c>
      <c r="G18" s="5"/>
      <c r="H18" s="7"/>
      <c r="I18" s="6"/>
      <c r="J18" s="7"/>
      <c r="K18" s="37"/>
      <c r="L18" s="7">
        <v>708</v>
      </c>
      <c r="M18" s="37">
        <f t="shared" si="1"/>
        <v>-0.2469527111829649</v>
      </c>
      <c r="N18" s="7">
        <f>+Q18</f>
        <v>940.18</v>
      </c>
      <c r="O18" s="37">
        <f t="shared" si="6"/>
        <v>0</v>
      </c>
      <c r="P18" s="8">
        <v>40290</v>
      </c>
      <c r="Q18" s="13">
        <v>940.18</v>
      </c>
      <c r="R18" s="37">
        <v>1</v>
      </c>
      <c r="S18" s="19"/>
      <c r="T18" s="57">
        <f t="shared" si="4"/>
        <v>-1</v>
      </c>
      <c r="U18" s="18">
        <v>1450</v>
      </c>
      <c r="V18" s="57">
        <f t="shared" si="5"/>
        <v>-0.412041392285983</v>
      </c>
      <c r="W18" s="18">
        <v>2466.16</v>
      </c>
      <c r="X18" s="57">
        <f t="shared" si="7"/>
        <v>0.4887505810338478</v>
      </c>
      <c r="Y18" s="21">
        <v>1656.53</v>
      </c>
      <c r="Z18" s="19"/>
      <c r="AA18" s="19"/>
    </row>
    <row r="19" spans="1:27" ht="12.75">
      <c r="A19" s="30" t="s">
        <v>48</v>
      </c>
      <c r="B19" s="1"/>
      <c r="C19" s="1"/>
      <c r="D19" s="64">
        <v>40543</v>
      </c>
      <c r="E19" s="17">
        <v>559000.16</v>
      </c>
      <c r="F19" s="5">
        <v>36</v>
      </c>
      <c r="G19" s="5"/>
      <c r="H19" s="7"/>
      <c r="I19" s="6"/>
      <c r="J19" s="7"/>
      <c r="K19" s="37"/>
      <c r="L19" s="7">
        <v>96</v>
      </c>
      <c r="M19" s="37">
        <f t="shared" si="1"/>
        <v>-0.01193906957595715</v>
      </c>
      <c r="N19" s="7">
        <v>97.16</v>
      </c>
      <c r="O19" s="37">
        <f t="shared" si="6"/>
        <v>0.050643405543740645</v>
      </c>
      <c r="P19" s="8">
        <v>40178</v>
      </c>
      <c r="Q19" s="13">
        <f>277.43/3</f>
        <v>92.47666666666667</v>
      </c>
      <c r="R19" s="37">
        <f t="shared" si="3"/>
        <v>-3.604382929639167E-05</v>
      </c>
      <c r="S19" s="18">
        <v>92.48</v>
      </c>
      <c r="T19" s="57">
        <f t="shared" si="4"/>
        <v>0</v>
      </c>
      <c r="U19" s="18">
        <v>92.48</v>
      </c>
      <c r="V19" s="57">
        <f t="shared" si="5"/>
        <v>-0.566066066066066</v>
      </c>
      <c r="W19" s="18">
        <v>213.12</v>
      </c>
      <c r="X19" s="57">
        <v>1</v>
      </c>
      <c r="Y19" s="19"/>
      <c r="Z19" s="19"/>
      <c r="AA19" s="19"/>
    </row>
    <row r="20" spans="1:27" ht="12.75">
      <c r="A20" s="29" t="s">
        <v>5</v>
      </c>
      <c r="B20" s="1"/>
      <c r="C20" s="1"/>
      <c r="D20" s="1"/>
      <c r="E20" s="17">
        <v>557000.16</v>
      </c>
      <c r="F20" s="5">
        <v>12</v>
      </c>
      <c r="G20" s="5"/>
      <c r="H20" s="7"/>
      <c r="I20" s="6"/>
      <c r="J20" s="7"/>
      <c r="K20" s="37"/>
      <c r="L20" s="7"/>
      <c r="M20" s="37"/>
      <c r="N20" s="7"/>
      <c r="O20" s="42"/>
      <c r="P20" s="8">
        <v>40178</v>
      </c>
      <c r="Q20" s="13">
        <v>1664.7</v>
      </c>
      <c r="R20" s="37">
        <v>1</v>
      </c>
      <c r="S20" s="19"/>
      <c r="T20" s="56"/>
      <c r="U20" s="19"/>
      <c r="V20" s="58"/>
      <c r="W20" s="19"/>
      <c r="X20" s="56"/>
      <c r="Y20" s="19"/>
      <c r="Z20" s="19"/>
      <c r="AA20" s="19"/>
    </row>
    <row r="21" spans="1:27" ht="12.75">
      <c r="A21" s="29" t="s">
        <v>49</v>
      </c>
      <c r="B21" s="1"/>
      <c r="C21" s="1"/>
      <c r="D21" s="64">
        <v>40543</v>
      </c>
      <c r="E21" s="17">
        <v>557000.16</v>
      </c>
      <c r="F21" s="5">
        <v>12</v>
      </c>
      <c r="G21" s="5"/>
      <c r="H21" s="7">
        <v>4749</v>
      </c>
      <c r="I21" s="6"/>
      <c r="J21" s="7">
        <v>4523</v>
      </c>
      <c r="K21" s="37">
        <f t="shared" si="2"/>
        <v>0.5529453773866706</v>
      </c>
      <c r="L21" s="7">
        <v>4693</v>
      </c>
      <c r="M21" s="37">
        <f t="shared" si="1"/>
        <v>0.16069993198540777</v>
      </c>
      <c r="N21" s="7">
        <v>4043.25</v>
      </c>
      <c r="O21" s="37">
        <f>(+N21-Q21)/Q21</f>
        <v>0.3882260440235808</v>
      </c>
      <c r="P21" s="8">
        <v>40178</v>
      </c>
      <c r="Q21" s="13">
        <v>2912.53</v>
      </c>
      <c r="R21" s="37">
        <v>1</v>
      </c>
      <c r="S21" s="19"/>
      <c r="T21" s="56"/>
      <c r="U21" s="19"/>
      <c r="V21" s="56"/>
      <c r="W21" s="19"/>
      <c r="X21" s="56"/>
      <c r="Y21" s="19"/>
      <c r="Z21" s="19"/>
      <c r="AA21" s="19"/>
    </row>
    <row r="22" spans="1:27" ht="12.75">
      <c r="A22" s="65" t="s">
        <v>50</v>
      </c>
      <c r="B22" s="1"/>
      <c r="C22" s="1"/>
      <c r="D22" s="64">
        <v>40298</v>
      </c>
      <c r="E22" s="17">
        <v>559000.16</v>
      </c>
      <c r="F22" s="5">
        <v>12</v>
      </c>
      <c r="G22" s="5">
        <v>1.05</v>
      </c>
      <c r="H22" s="7">
        <v>14673</v>
      </c>
      <c r="I22" s="9">
        <f>(H22-N22)/N22</f>
        <v>0.1928948247729939</v>
      </c>
      <c r="J22" s="7">
        <v>13974</v>
      </c>
      <c r="K22" s="37">
        <f t="shared" si="2"/>
        <v>0.13606708112709173</v>
      </c>
      <c r="L22" s="7">
        <v>14502</v>
      </c>
      <c r="M22" s="37">
        <f t="shared" si="1"/>
        <v>0.17899275873086332</v>
      </c>
      <c r="N22" s="7">
        <v>12300.33</v>
      </c>
      <c r="O22" s="37">
        <f>(+N22-Q22)/Q22</f>
        <v>0</v>
      </c>
      <c r="P22" s="41">
        <v>40290</v>
      </c>
      <c r="Q22" s="13">
        <v>12300.33</v>
      </c>
      <c r="R22" s="37">
        <f t="shared" si="3"/>
        <v>-0.044258947594161324</v>
      </c>
      <c r="S22" s="18">
        <v>12869.94</v>
      </c>
      <c r="T22" s="57">
        <f>(+S22-U22)/U22</f>
        <v>10.485582715322213</v>
      </c>
      <c r="U22" s="18">
        <v>1120.53</v>
      </c>
      <c r="V22" s="57">
        <v>1</v>
      </c>
      <c r="W22" s="19"/>
      <c r="X22" s="56"/>
      <c r="Y22" s="19"/>
      <c r="Z22" s="19"/>
      <c r="AA22" s="19"/>
    </row>
    <row r="23" spans="1:27" ht="12.75">
      <c r="A23" s="32" t="s">
        <v>51</v>
      </c>
      <c r="B23" s="1"/>
      <c r="C23" s="1"/>
      <c r="D23" s="64">
        <v>40633</v>
      </c>
      <c r="E23" s="17">
        <v>559000.16</v>
      </c>
      <c r="F23" s="5">
        <v>36</v>
      </c>
      <c r="G23" s="5"/>
      <c r="H23" s="7"/>
      <c r="I23" s="6"/>
      <c r="J23" s="7"/>
      <c r="K23" s="37">
        <f t="shared" si="2"/>
        <v>-1</v>
      </c>
      <c r="L23" s="7">
        <v>81</v>
      </c>
      <c r="M23" s="37">
        <f t="shared" si="1"/>
        <v>-0.17239970029289559</v>
      </c>
      <c r="N23" s="7">
        <f>+Q23</f>
        <v>97.87333333333333</v>
      </c>
      <c r="O23" s="37">
        <f>(+N23-Q23)/Q23</f>
        <v>0</v>
      </c>
      <c r="P23" s="8">
        <v>40645</v>
      </c>
      <c r="Q23" s="13">
        <f>293.62/3</f>
        <v>97.87333333333333</v>
      </c>
      <c r="R23" s="37">
        <f t="shared" si="3"/>
        <v>0</v>
      </c>
      <c r="S23" s="18">
        <v>97.87333333333333</v>
      </c>
      <c r="T23" s="57">
        <v>1</v>
      </c>
      <c r="U23" s="19"/>
      <c r="V23" s="56"/>
      <c r="W23" s="19"/>
      <c r="X23" s="56"/>
      <c r="Y23" s="19"/>
      <c r="Z23" s="19"/>
      <c r="AA23" s="19"/>
    </row>
    <row r="24" spans="1:27" ht="12.75">
      <c r="A24" s="30" t="s">
        <v>52</v>
      </c>
      <c r="B24" s="1"/>
      <c r="C24" s="1"/>
      <c r="D24" s="64">
        <v>40359</v>
      </c>
      <c r="E24" s="17">
        <v>557000.16</v>
      </c>
      <c r="F24" s="5">
        <v>12</v>
      </c>
      <c r="G24" s="5">
        <v>1.05</v>
      </c>
      <c r="H24" s="7">
        <v>2081</v>
      </c>
      <c r="I24" s="9">
        <f>(H24-N24)/N24</f>
        <v>0.290902887627555</v>
      </c>
      <c r="J24" s="7">
        <v>1982</v>
      </c>
      <c r="K24" s="37">
        <f t="shared" si="2"/>
        <v>0.22949040042182317</v>
      </c>
      <c r="L24" s="7">
        <v>2052</v>
      </c>
      <c r="M24" s="37">
        <f t="shared" si="1"/>
        <v>0.27291337117335074</v>
      </c>
      <c r="N24" s="7">
        <v>1612.05</v>
      </c>
      <c r="O24" s="37">
        <f>(+N24-Q24)/Q24</f>
        <v>0</v>
      </c>
      <c r="P24" s="8">
        <v>40347</v>
      </c>
      <c r="Q24" s="13">
        <v>1612.05</v>
      </c>
      <c r="R24" s="37">
        <f t="shared" si="3"/>
        <v>-0.14597902097902096</v>
      </c>
      <c r="S24" s="18">
        <v>1887.6</v>
      </c>
      <c r="T24" s="57">
        <v>1</v>
      </c>
      <c r="U24" s="19"/>
      <c r="V24" s="56"/>
      <c r="W24" s="19"/>
      <c r="X24" s="56"/>
      <c r="Y24" s="19"/>
      <c r="Z24" s="19"/>
      <c r="AA24" s="19"/>
    </row>
    <row r="25" spans="1:27" ht="12.75">
      <c r="A25" s="33" t="s">
        <v>53</v>
      </c>
      <c r="B25" s="1"/>
      <c r="C25" s="1"/>
      <c r="D25" s="64">
        <v>40298</v>
      </c>
      <c r="E25" s="17">
        <v>557000.16</v>
      </c>
      <c r="F25" s="5">
        <v>15</v>
      </c>
      <c r="G25" s="5"/>
      <c r="H25" s="7"/>
      <c r="I25" s="6"/>
      <c r="J25" s="7"/>
      <c r="K25" s="37"/>
      <c r="L25" s="7">
        <v>2376</v>
      </c>
      <c r="M25" s="37">
        <f t="shared" si="1"/>
        <v>-0.19908312546349355</v>
      </c>
      <c r="N25" s="7">
        <f>+Q25</f>
        <v>2966.6</v>
      </c>
      <c r="O25" s="37">
        <f>(+N25-Q25)/Q25</f>
        <v>0</v>
      </c>
      <c r="P25" s="8">
        <v>40290</v>
      </c>
      <c r="Q25" s="13">
        <v>2966.6</v>
      </c>
      <c r="R25" s="37">
        <v>1</v>
      </c>
      <c r="S25" s="19"/>
      <c r="T25" s="57">
        <f>(+S25-U25)/U25</f>
        <v>-1</v>
      </c>
      <c r="U25" s="18">
        <v>4059.31</v>
      </c>
      <c r="V25" s="57">
        <f>(U25-W25)/W25</f>
        <v>0</v>
      </c>
      <c r="W25" s="18">
        <v>4059.31</v>
      </c>
      <c r="X25" s="57">
        <f>(W25-Y25)/Y25</f>
        <v>-0.3851393517116026</v>
      </c>
      <c r="Y25" s="21">
        <v>6602</v>
      </c>
      <c r="Z25" s="19"/>
      <c r="AA25" s="19"/>
    </row>
    <row r="26" spans="1:27" ht="12.75">
      <c r="A26" s="33" t="s">
        <v>20</v>
      </c>
      <c r="B26" s="1"/>
      <c r="C26" s="1"/>
      <c r="D26" s="1"/>
      <c r="E26" s="17">
        <v>557000.16</v>
      </c>
      <c r="F26" s="5"/>
      <c r="G26" s="5"/>
      <c r="H26" s="7">
        <v>9870</v>
      </c>
      <c r="I26" s="9" t="e">
        <f>(H26-N26)/N26</f>
        <v>#DIV/0!</v>
      </c>
      <c r="J26" s="7">
        <v>8973</v>
      </c>
      <c r="K26" s="37">
        <v>1</v>
      </c>
      <c r="L26" s="7">
        <v>9651</v>
      </c>
      <c r="M26" s="37">
        <v>1</v>
      </c>
      <c r="N26" s="7"/>
      <c r="O26" s="37"/>
      <c r="P26" s="15"/>
      <c r="Q26" s="13"/>
      <c r="R26" s="37"/>
      <c r="S26" s="19"/>
      <c r="T26" s="57"/>
      <c r="U26" s="18"/>
      <c r="V26" s="57"/>
      <c r="W26" s="18"/>
      <c r="X26" s="57"/>
      <c r="Y26" s="21"/>
      <c r="Z26" s="19"/>
      <c r="AA26" s="19"/>
    </row>
    <row r="27" spans="1:27" ht="12.75">
      <c r="A27" s="34" t="s">
        <v>12</v>
      </c>
      <c r="B27" s="1"/>
      <c r="C27" s="1"/>
      <c r="D27" s="64">
        <v>40543</v>
      </c>
      <c r="E27" s="17">
        <v>559000.16</v>
      </c>
      <c r="H27" s="7"/>
      <c r="I27" s="6"/>
      <c r="J27" s="7"/>
      <c r="K27" s="37"/>
      <c r="L27" s="7"/>
      <c r="M27" s="37">
        <f t="shared" si="1"/>
        <v>-1</v>
      </c>
      <c r="N27" s="7">
        <v>291.48</v>
      </c>
      <c r="O27" s="37">
        <v>1</v>
      </c>
      <c r="P27" s="19"/>
      <c r="Q27" s="18"/>
      <c r="R27" s="47"/>
      <c r="S27" s="19"/>
      <c r="T27" s="47"/>
      <c r="U27" s="19"/>
      <c r="V27" s="57"/>
      <c r="W27" s="18">
        <v>4439.45</v>
      </c>
      <c r="X27" s="57">
        <v>1</v>
      </c>
      <c r="Y27" s="19"/>
      <c r="Z27" s="19"/>
      <c r="AA27" s="19"/>
    </row>
    <row r="28" spans="1:24" ht="12.75">
      <c r="A28" s="4" t="s">
        <v>39</v>
      </c>
      <c r="H28" s="7"/>
      <c r="I28" s="9"/>
      <c r="J28" s="7"/>
      <c r="K28" s="39"/>
      <c r="L28" s="7">
        <v>774</v>
      </c>
      <c r="M28" s="37">
        <f t="shared" si="1"/>
        <v>0.19093412934098572</v>
      </c>
      <c r="N28" s="7">
        <v>649.91</v>
      </c>
      <c r="O28" s="37">
        <f>(+N28-Q28)/Q28</f>
        <v>-0.0015363107034766712</v>
      </c>
      <c r="Q28" s="16">
        <v>650.91</v>
      </c>
      <c r="R28" s="37">
        <f>(Q28-S28)/S28</f>
        <v>-0.7043871202143605</v>
      </c>
      <c r="S28" s="11">
        <v>2201.9</v>
      </c>
      <c r="T28" s="48"/>
      <c r="V28" s="48"/>
      <c r="X28" s="59"/>
    </row>
    <row r="29" spans="2:25" ht="12.75">
      <c r="B29" s="4" t="s">
        <v>21</v>
      </c>
      <c r="H29" s="7">
        <f>SUM(H5:H27)</f>
        <v>861823</v>
      </c>
      <c r="I29" s="9"/>
      <c r="J29" s="7">
        <f>SUM(J5:J13)+SUM(J18:J27)</f>
        <v>752232</v>
      </c>
      <c r="K29" s="37">
        <f t="shared" si="2"/>
        <v>0.08233478126621907</v>
      </c>
      <c r="L29" s="7">
        <f>SUM(L5:L13)+SUM(L18:L28)</f>
        <v>747037</v>
      </c>
      <c r="M29" s="37">
        <f>(+L29-N29)/N29</f>
        <v>0.11934146644302639</v>
      </c>
      <c r="N29" s="7">
        <f>SUM(N5:N13)+SUM(N18:N28)</f>
        <v>667389.7308333333</v>
      </c>
      <c r="O29" s="37">
        <f>(+N29-Q29)/Q29</f>
        <v>-0.03973891254185323</v>
      </c>
      <c r="Q29" s="7">
        <f>SUM(Q5:Q13)+SUM(Q18:Q28)</f>
        <v>695008.6175000002</v>
      </c>
      <c r="R29" s="49">
        <f>(Q29-S29)/S29</f>
        <v>0.13191072603219625</v>
      </c>
      <c r="S29" s="7">
        <v>614013.6333333334</v>
      </c>
      <c r="T29" s="49">
        <f>(S29-U29)/U29</f>
        <v>-0.06565039889552368</v>
      </c>
      <c r="U29" s="7">
        <v>657156.2</v>
      </c>
      <c r="V29" s="57">
        <f>(U29-W29)/W29</f>
        <v>0.012880092424385637</v>
      </c>
      <c r="W29" s="7">
        <v>648799.601172</v>
      </c>
      <c r="X29" s="57">
        <f>(W29-Y29)/Y29</f>
        <v>0.3604021808588478</v>
      </c>
      <c r="Y29" s="7">
        <v>476917.49565</v>
      </c>
    </row>
    <row r="30" spans="8:24" ht="12.75">
      <c r="H30" s="7"/>
      <c r="I30" s="6"/>
      <c r="J30" s="7"/>
      <c r="K30" s="39"/>
      <c r="L30" s="7"/>
      <c r="M30" s="39"/>
      <c r="N30" s="7"/>
      <c r="O30" s="42"/>
      <c r="R30" s="48"/>
      <c r="T30" s="48"/>
      <c r="V30" s="48"/>
      <c r="X30" s="59"/>
    </row>
    <row r="31" spans="8:24" ht="12.75">
      <c r="H31" s="7"/>
      <c r="I31" s="6"/>
      <c r="J31" s="7"/>
      <c r="K31" s="39"/>
      <c r="L31" s="7"/>
      <c r="M31" s="39"/>
      <c r="N31" s="7"/>
      <c r="O31" s="43"/>
      <c r="R31" s="48"/>
      <c r="T31" s="48"/>
      <c r="V31" s="48"/>
      <c r="X31" s="59"/>
    </row>
    <row r="32" spans="4:25" ht="12.75">
      <c r="D32" s="4" t="s">
        <v>36</v>
      </c>
      <c r="H32" s="7">
        <v>29240</v>
      </c>
      <c r="I32" s="9">
        <f>(H32-N32)/N32</f>
        <v>0</v>
      </c>
      <c r="J32" s="7">
        <v>29240</v>
      </c>
      <c r="K32" s="39"/>
      <c r="L32" s="7">
        <v>29240</v>
      </c>
      <c r="M32" s="39"/>
      <c r="N32" s="7">
        <v>29240</v>
      </c>
      <c r="O32" s="43"/>
      <c r="Q32" s="24">
        <v>-46420.75</v>
      </c>
      <c r="R32" s="50"/>
      <c r="S32" s="24">
        <v>-83922</v>
      </c>
      <c r="T32" s="50"/>
      <c r="U32" s="24">
        <v>-47081.75</v>
      </c>
      <c r="V32" s="48"/>
      <c r="W32" s="24">
        <v>27442.22</v>
      </c>
      <c r="X32" s="60"/>
      <c r="Y32" s="24">
        <v>28696.92</v>
      </c>
    </row>
    <row r="33" spans="8:24" ht="12.75">
      <c r="H33" s="6"/>
      <c r="I33" s="6"/>
      <c r="J33" s="7"/>
      <c r="K33" s="39"/>
      <c r="L33" s="7"/>
      <c r="M33" s="39"/>
      <c r="N33" s="7"/>
      <c r="O33" s="43"/>
      <c r="R33" s="51"/>
      <c r="T33" s="48"/>
      <c r="V33" s="48"/>
      <c r="X33" s="59"/>
    </row>
    <row r="34" spans="4:25" ht="12.75">
      <c r="D34" s="4" t="s">
        <v>21</v>
      </c>
      <c r="H34" s="7">
        <f>+H29+H32</f>
        <v>891063</v>
      </c>
      <c r="I34" s="6"/>
      <c r="J34" s="7">
        <f>+J29+J32</f>
        <v>781472</v>
      </c>
      <c r="K34" s="40"/>
      <c r="L34" s="7">
        <f>+L29+L32</f>
        <v>776277</v>
      </c>
      <c r="M34" s="38">
        <f>(+L34-N34)/N34</f>
        <v>0.11433228534675051</v>
      </c>
      <c r="N34" s="7">
        <f>+N29+N32</f>
        <v>696629.7308333333</v>
      </c>
      <c r="O34" s="38">
        <f>(+N34-Q34)/Q34</f>
        <v>0.07407148011958943</v>
      </c>
      <c r="Q34" s="7">
        <f>+Q29+Q32</f>
        <v>648587.8675000002</v>
      </c>
      <c r="R34" s="52">
        <f>(Q34-S34)/S34</f>
        <v>0.2235391519415921</v>
      </c>
      <c r="S34" s="7">
        <v>530091.6333333334</v>
      </c>
      <c r="T34" s="52">
        <f>(S34-U34)/U34</f>
        <v>-0.13110337052578835</v>
      </c>
      <c r="U34" s="7">
        <v>610074.45</v>
      </c>
      <c r="V34" s="52">
        <f>(U34-W34)/W34</f>
        <v>-0.09784572485819477</v>
      </c>
      <c r="W34" s="10">
        <v>676241.821172</v>
      </c>
      <c r="X34" s="52">
        <f>(+W34-Y34)/Y34</f>
        <v>0.33746546823165136</v>
      </c>
      <c r="Y34" s="23">
        <v>505614.41565</v>
      </c>
    </row>
    <row r="35" spans="4:25" ht="12.75">
      <c r="D35" s="66"/>
      <c r="E35" s="66"/>
      <c r="F35" s="66"/>
      <c r="G35" s="66"/>
      <c r="H35" s="67"/>
      <c r="I35" s="68"/>
      <c r="J35" s="69"/>
      <c r="K35" s="69"/>
      <c r="L35" s="69"/>
      <c r="M35" s="69"/>
      <c r="N35" s="66"/>
      <c r="O35" s="68"/>
      <c r="P35" s="66"/>
      <c r="Q35" s="70"/>
      <c r="R35" s="66"/>
      <c r="S35" s="70"/>
      <c r="T35" s="66"/>
      <c r="U35" s="70"/>
      <c r="V35" s="66"/>
      <c r="W35" s="66"/>
      <c r="X35" s="71"/>
      <c r="Y35" s="66"/>
    </row>
    <row r="36" spans="4:25" ht="12.75">
      <c r="D36" s="66"/>
      <c r="E36" s="66"/>
      <c r="F36" s="66"/>
      <c r="G36" s="66"/>
      <c r="H36" s="66"/>
      <c r="I36" s="66"/>
      <c r="J36" s="72"/>
      <c r="K36" s="72"/>
      <c r="L36" s="72"/>
      <c r="M36" s="72"/>
      <c r="N36" s="66"/>
      <c r="O36" s="66"/>
      <c r="P36" s="66"/>
      <c r="Q36" s="73"/>
      <c r="R36" s="66"/>
      <c r="S36" s="73"/>
      <c r="T36" s="66"/>
      <c r="U36" s="74"/>
      <c r="V36" s="66"/>
      <c r="W36" s="66"/>
      <c r="X36" s="71"/>
      <c r="Y36" s="66"/>
    </row>
    <row r="37" spans="4:25" ht="12.75">
      <c r="D37" s="66"/>
      <c r="E37" s="66"/>
      <c r="F37" s="66"/>
      <c r="G37" s="66"/>
      <c r="H37" s="66"/>
      <c r="I37" s="66"/>
      <c r="J37" s="66"/>
      <c r="K37" s="66"/>
      <c r="L37" s="73"/>
      <c r="M37" s="66"/>
      <c r="N37" s="66"/>
      <c r="O37" s="66"/>
      <c r="P37" s="66"/>
      <c r="Q37" s="70"/>
      <c r="R37" s="66"/>
      <c r="S37" s="70"/>
      <c r="T37" s="70"/>
      <c r="U37" s="70"/>
      <c r="V37" s="66"/>
      <c r="W37" s="66"/>
      <c r="X37" s="71"/>
      <c r="Y37" s="66"/>
    </row>
    <row r="38" spans="4:25" ht="12.75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75"/>
      <c r="R38" s="66"/>
      <c r="S38" s="73"/>
      <c r="T38" s="66"/>
      <c r="U38" s="74"/>
      <c r="V38" s="66"/>
      <c r="W38" s="66"/>
      <c r="X38" s="71"/>
      <c r="Y38" s="66"/>
    </row>
    <row r="39" spans="4:25" ht="12.75"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71"/>
      <c r="Y39" s="66"/>
    </row>
    <row r="40" spans="4:25" ht="12.75">
      <c r="D40" s="76"/>
      <c r="E40" s="7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75"/>
      <c r="R40" s="66"/>
      <c r="S40" s="66"/>
      <c r="T40" s="66"/>
      <c r="U40" s="74"/>
      <c r="V40" s="66"/>
      <c r="W40" s="66"/>
      <c r="X40" s="71"/>
      <c r="Y40" s="66"/>
    </row>
    <row r="41" spans="4:25" ht="12.75">
      <c r="D41" s="76"/>
      <c r="E41" s="76"/>
      <c r="F41" s="66"/>
      <c r="G41" s="66"/>
      <c r="H41" s="66"/>
      <c r="I41" s="66"/>
      <c r="J41" s="66"/>
      <c r="K41" s="66"/>
      <c r="L41" s="22"/>
      <c r="M41" s="66"/>
      <c r="N41" s="66"/>
      <c r="O41" s="66"/>
      <c r="P41" s="66"/>
      <c r="Q41" s="66"/>
      <c r="R41" s="66"/>
      <c r="S41" s="73"/>
      <c r="T41" s="66"/>
      <c r="U41" s="66"/>
      <c r="V41" s="66"/>
      <c r="W41" s="66"/>
      <c r="X41" s="71"/>
      <c r="Y41" s="66"/>
    </row>
    <row r="42" spans="4:25" ht="12.75">
      <c r="D42" s="76"/>
      <c r="E42" s="76"/>
      <c r="F42" s="66"/>
      <c r="G42" s="66"/>
      <c r="H42" s="66"/>
      <c r="I42" s="66"/>
      <c r="J42" s="66"/>
      <c r="K42" s="66"/>
      <c r="L42" s="77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71"/>
      <c r="Y42" s="66"/>
    </row>
    <row r="43" spans="4:25" ht="12.75">
      <c r="D43" s="76"/>
      <c r="E43" s="76"/>
      <c r="F43" s="66"/>
      <c r="G43" s="66"/>
      <c r="H43" s="66"/>
      <c r="I43" s="66"/>
      <c r="J43" s="66"/>
      <c r="K43" s="66"/>
      <c r="L43" s="78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71"/>
      <c r="Y43" s="66"/>
    </row>
    <row r="44" spans="4:25" ht="12.75">
      <c r="D44" s="76"/>
      <c r="E44" s="7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22"/>
      <c r="V44" s="66"/>
      <c r="W44" s="66"/>
      <c r="X44" s="71"/>
      <c r="Y44" s="66"/>
    </row>
    <row r="45" spans="4:25" ht="12.7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22"/>
      <c r="V45" s="66"/>
      <c r="W45" s="66"/>
      <c r="X45" s="71"/>
      <c r="Y45" s="66"/>
    </row>
    <row r="46" spans="4:25" ht="12.75">
      <c r="D46" s="76"/>
      <c r="E46" s="7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22"/>
      <c r="V46" s="66"/>
      <c r="W46" s="66"/>
      <c r="X46" s="71"/>
      <c r="Y46" s="66"/>
    </row>
    <row r="47" spans="4:25" ht="12.75">
      <c r="D47" s="76"/>
      <c r="E47" s="7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71"/>
      <c r="Y47" s="66"/>
    </row>
    <row r="48" spans="4:25" ht="12.75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71"/>
      <c r="Y48" s="66"/>
    </row>
    <row r="49" spans="4:25" ht="12.75"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71"/>
      <c r="Y49" s="66"/>
    </row>
    <row r="50" spans="4:25" ht="12.75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71"/>
      <c r="Y50" s="66"/>
    </row>
    <row r="51" spans="4:25" ht="12.7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71"/>
      <c r="Y51" s="66"/>
    </row>
    <row r="52" spans="4:25" ht="12.75">
      <c r="D52" s="66"/>
      <c r="E52" s="66"/>
      <c r="F52" s="66"/>
      <c r="G52" s="66"/>
      <c r="H52" s="66"/>
      <c r="I52" s="66"/>
      <c r="J52" s="72"/>
      <c r="K52" s="66"/>
      <c r="L52" s="72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71"/>
      <c r="Y52" s="66"/>
    </row>
  </sheetData>
  <hyperlinks>
    <hyperlink ref="A5" location="fiduciary!A1" display="Willis- Fiduciary"/>
    <hyperlink ref="A6" location="fiduciary!A1" display="Willis- Excess Fiduciary"/>
    <hyperlink ref="A7" location="casualty!A1" display="Marsh- Auto Liab"/>
    <hyperlink ref="A8" location="casualty!A1" display="Marsh- General Liab"/>
    <hyperlink ref="A9" location="casualty!A1" display="Marsh- Workers' Comp"/>
    <hyperlink ref="A10" location="casualty!A1" display="Marsh- Consulting fee"/>
    <hyperlink ref="A11" location="property!A1" display="Marsh- Property"/>
    <hyperlink ref="A12" location="surety!A1" display="Marsh- Surety Bond"/>
    <hyperlink ref="A14" location="'excess-NY'!A1" display="Marsh NY- Excess Liab"/>
    <hyperlink ref="A15" location="'excess-NY'!A1" display="Marsh NY- Excess Liab"/>
    <hyperlink ref="A16" location="'excess-UK'!A1" display="Marsh UK- Excess Liab"/>
    <hyperlink ref="A17" location="'excess-Bermuda'!A1" display="Marsh Bermuda- Excess Liab"/>
    <hyperlink ref="A18" location="crime!A1" display="Willis- Crime"/>
    <hyperlink ref="A19" location="kidnap!A1" display="Willis- Kidnap &amp; Ransom"/>
    <hyperlink ref="A20" location="RWE!A1" display="Rhenas- RWE Liab"/>
    <hyperlink ref="A23" location="travel!A1" display="Marsh- Business Travel"/>
    <hyperlink ref="A24" location="'lawyer liab'!A1" display="Willis - Premium for Laywer Liab"/>
    <hyperlink ref="A25" location="'employee practices'!A1" display="Willis of PA - Employment Practices Liab"/>
    <hyperlink ref="A22" r:id="rId1" display="Willis- D&amp;O"/>
  </hyperlinks>
  <printOptions/>
  <pageMargins left="0.5" right="0.5" top="1" bottom="1" header="0.5" footer="0.5"/>
  <pageSetup fitToHeight="1" fitToWidth="1" horizontalDpi="600" verticalDpi="600" orientation="landscape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Miller</dc:creator>
  <cp:keywords/>
  <dc:description/>
  <cp:lastModifiedBy>Sheila Miller</cp:lastModifiedBy>
  <cp:lastPrinted>2010-04-13T16:52:48Z</cp:lastPrinted>
  <dcterms:created xsi:type="dcterms:W3CDTF">2009-09-24T12:32:30Z</dcterms:created>
  <dcterms:modified xsi:type="dcterms:W3CDTF">2010-05-17T19:03:03Z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