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10" windowWidth="19320" windowHeight="6135" activeTab="0"/>
  </bookViews>
  <sheets>
    <sheet name="COS 1" sheetId="1" r:id="rId1"/>
    <sheet name="F 1-2" sheetId="2" r:id="rId2"/>
    <sheet name="F 2 B" sheetId="3" r:id="rId3"/>
    <sheet name="F 3-4" sheetId="4" r:id="rId4"/>
    <sheet name="F 3B 4B" sheetId="5" r:id="rId5"/>
    <sheet name="F 5" sheetId="6" r:id="rId6"/>
    <sheet name="F 5B" sheetId="7" r:id="rId7"/>
    <sheet name="F6-7" sheetId="8" r:id="rId8"/>
    <sheet name="F8-10" sheetId="9" r:id="rId9"/>
    <sheet name="Meters &amp; Services" sheetId="10" r:id="rId10"/>
    <sheet name="F11-12" sheetId="11" r:id="rId11"/>
    <sheet name="F13-14" sheetId="12" r:id="rId12"/>
    <sheet name="F 15-20" sheetId="13" r:id="rId13"/>
    <sheet name="SCH-D" sheetId="14" r:id="rId14"/>
    <sheet name="Fire" sheetId="15" r:id="rId15"/>
    <sheet name="ServiceCharges" sheetId="16" r:id="rId16"/>
    <sheet name="SCH-A" sheetId="17" r:id="rId17"/>
    <sheet name="Rate base" sheetId="18" r:id="rId18"/>
    <sheet name="Pumps" sheetId="19" r:id="rId19"/>
    <sheet name="Sch G" sheetId="20" r:id="rId20"/>
  </sheets>
  <definedNames>
    <definedName name="comp">'COS 1'!$X$378:$AM$378</definedName>
    <definedName name="CUST" localSheetId="9">#REF!</definedName>
    <definedName name="CUST" localSheetId="18">#REF!</definedName>
    <definedName name="CUST" localSheetId="19">#REF!</definedName>
    <definedName name="CUST" localSheetId="15">#REF!</definedName>
    <definedName name="CUST">'F 1-2'!$D$55:$M$72</definedName>
    <definedName name="fact">#REF!</definedName>
    <definedName name="FACT3" localSheetId="3">'F 3-4'!$A$1:$FL$1353</definedName>
    <definedName name="FACT3A" localSheetId="1">'F 1-2'!$X$14:$BC$259</definedName>
    <definedName name="FACT3A" localSheetId="2">'F 2 B'!$W$14:$BB$265</definedName>
    <definedName name="FACT3A" localSheetId="3">'F 3-4'!$W$14:$BB$263</definedName>
    <definedName name="factor">'COS 1'!$Y$378:$AM$383</definedName>
    <definedName name="Factors">'COS 1'!$I$384:$X$419</definedName>
    <definedName name="FIRE" localSheetId="1">'F 1-2'!$AA$72:$ES$906</definedName>
    <definedName name="FIRE" localSheetId="2">'F 2 B'!$Z$78:$ER$912</definedName>
    <definedName name="FIRE" localSheetId="3">'F 3-4'!$Z$78:$ER$910</definedName>
    <definedName name="func">'COS 1'!$AF$388:$AW$408</definedName>
    <definedName name="_xlnm.Print_Area" localSheetId="0">'COS 1'!$D$1:$V$358,'COS 1'!$AA$5:$AW$281</definedName>
    <definedName name="_xlnm.Print_Area" localSheetId="1">'F 1-2'!$B$1:$M$50</definedName>
    <definedName name="_xlnm.Print_Area" localSheetId="2">'F 2 B'!$A$1:$J$41</definedName>
    <definedName name="_xlnm.Print_Area" localSheetId="3">'F 3-4'!$A$1:$P$28,'F 3-4'!$A$31:$R$59</definedName>
    <definedName name="_xlnm.Print_Area" localSheetId="4">'F 3B 4B'!$A$1:$K$72</definedName>
    <definedName name="_xlnm.Print_Area" localSheetId="6">'F 5B'!$A$1:$J$46</definedName>
    <definedName name="_xlnm.Print_Area" localSheetId="10">'F11-12'!$A$1:$G$71</definedName>
    <definedName name="_xlnm.Print_Area" localSheetId="11">'F13-14'!$A$1:$G$44</definedName>
    <definedName name="_xlnm.Print_Area" localSheetId="7">'F6-7'!$A$1:$P$81</definedName>
    <definedName name="_xlnm.Print_Area" localSheetId="8">'F8-10'!$A$1:$G$60</definedName>
    <definedName name="_xlnm.Print_Area" localSheetId="14">'Fire'!$C$1:$O$39</definedName>
    <definedName name="_xlnm.Print_Area" localSheetId="9">'Meters &amp; Services'!$B$1:$AF$62</definedName>
    <definedName name="_xlnm.Print_Area" localSheetId="19">'Sch G'!$C$7:$L$55</definedName>
    <definedName name="_xlnm.Print_Area" localSheetId="16">'SCH-A'!$B$6:$R$38</definedName>
    <definedName name="_xlnm.Print_Area" localSheetId="13">'SCH-D'!$A$1:$L$49</definedName>
    <definedName name="_xlnm.Print_Area" localSheetId="15">'ServiceCharges'!$A$4:$K$47</definedName>
    <definedName name="_xlnm.Print_Titles" localSheetId="0">'COS 1'!$1:$9</definedName>
  </definedNames>
  <calcPr fullCalcOnLoad="1"/>
</workbook>
</file>

<file path=xl/sharedStrings.xml><?xml version="1.0" encoding="utf-8"?>
<sst xmlns="http://schemas.openxmlformats.org/spreadsheetml/2006/main" count="2081" uniqueCount="793">
  <si>
    <t>Consumption w/ Fire</t>
  </si>
  <si>
    <t>The maximum hour extra capacity factors in column 5 are determined on the next page.</t>
  </si>
  <si>
    <t>FACTOR 15A.  ALLOCATION OF CASH WORKING CAPITAL</t>
  </si>
  <si>
    <t>FACTOR 15.  ALLOCATION OF ADMINISTRATIVE AND GENERAL EXPENSES</t>
  </si>
  <si>
    <t>15A</t>
  </si>
  <si>
    <t>CASH WORKING CAPITAL FOR FACTOR 15A</t>
  </si>
  <si>
    <t>FACTOR 15A</t>
  </si>
  <si>
    <t xml:space="preserve"> KENTUCKY AMERICAN WATER COMPANY</t>
  </si>
  <si>
    <t>KENTUCKY AMERICAN WATER COMPANY</t>
  </si>
  <si>
    <t>CCF</t>
  </si>
  <si>
    <t>Annual</t>
  </si>
  <si>
    <t>Sendout</t>
  </si>
  <si>
    <t>Peak Day</t>
  </si>
  <si>
    <t>(MG)</t>
  </si>
  <si>
    <t>Date</t>
  </si>
  <si>
    <t>8/21</t>
  </si>
  <si>
    <t>6/15</t>
  </si>
  <si>
    <t>8/7</t>
  </si>
  <si>
    <t>8/2</t>
  </si>
  <si>
    <t>6/29</t>
  </si>
  <si>
    <t>7/8</t>
  </si>
  <si>
    <t>8/5</t>
  </si>
  <si>
    <t>6/19</t>
  </si>
  <si>
    <t>6/13</t>
  </si>
  <si>
    <t>8/11</t>
  </si>
  <si>
    <t>9/14</t>
  </si>
  <si>
    <t>7/18</t>
  </si>
  <si>
    <t>6/30</t>
  </si>
  <si>
    <t>7/14</t>
  </si>
  <si>
    <t>6/16</t>
  </si>
  <si>
    <t>7/13</t>
  </si>
  <si>
    <t>7/9</t>
  </si>
  <si>
    <t>GPM X 60 Min. X 10 Hrs.</t>
  </si>
  <si>
    <t>DEVELOPMENT OF PUMP STATION EQUIPMENT TOTAL HORSEPOWER BY DESIGNATION</t>
  </si>
  <si>
    <t>Pump Station Name</t>
  </si>
  <si>
    <t>Type of Pump</t>
  </si>
  <si>
    <t>Designation</t>
  </si>
  <si>
    <t>Kentucky River Station</t>
  </si>
  <si>
    <t>Kentucky River Intake</t>
  </si>
  <si>
    <t>Pump No. 1</t>
  </si>
  <si>
    <t>Intake - Low Service</t>
  </si>
  <si>
    <t>Pump No. 2</t>
  </si>
  <si>
    <t>Pump No. 3</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</si>
  <si>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</si>
  <si>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</si>
  <si>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</si>
  <si>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</si>
  <si>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</si>
  <si>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</si>
  <si>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</si>
  <si>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</si>
  <si>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</si>
  <si>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</si>
  <si>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</si>
  <si>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</si>
  <si>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</si>
  <si>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</si>
  <si>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</si>
  <si>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</si>
  <si>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</si>
  <si>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</si>
  <si>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</si>
  <si>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</si>
  <si>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</si>
  <si>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</si>
  <si>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</si>
  <si>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</si>
  <si>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</si>
  <si>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</si>
  <si>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</si>
  <si>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</si>
  <si>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</si>
  <si>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</si>
  <si>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</si>
  <si>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</si>
  <si>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</si>
  <si>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</si>
  <si>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H.S. Pump No. 6,</t>
  </si>
  <si>
    <t>H. S. with Standby Diesel Equipment</t>
  </si>
  <si>
    <t>H.S. Diesel Driven No. 9</t>
  </si>
  <si>
    <t>High Service with Standby</t>
  </si>
  <si>
    <t>H.S. Diesel Driven No. 11</t>
  </si>
  <si>
    <t>H.S. Diesel Driven No. 10</t>
  </si>
  <si>
    <t>Total Maximum Day and Fire</t>
  </si>
  <si>
    <t>Parkers Mill Booster Station Pump No. 1</t>
  </si>
  <si>
    <t>Booster</t>
  </si>
  <si>
    <t>Parkers Mill Booster Station Pump No. 2</t>
  </si>
  <si>
    <t>Cox St. Elevated Booster Station Pump No. 1</t>
  </si>
  <si>
    <t>Cox Street Ground Booster Station Pump No.1</t>
  </si>
  <si>
    <t>Mercer Booster Station Pump No. 1</t>
  </si>
  <si>
    <t>Leestown Booster Station Pump No. 1</t>
  </si>
  <si>
    <t>Leestown Booster Station Pump No. 2</t>
  </si>
  <si>
    <t>York Booster Station Pump No. 1</t>
  </si>
  <si>
    <t>Hume Booster Station Pump No. 1</t>
  </si>
  <si>
    <t>Hume Booster Station Pump No. 2</t>
  </si>
  <si>
    <t>Mount Horeb Booster Station Pump No. 1</t>
  </si>
  <si>
    <t>Mount Horeb Booster Station Pump No. 2</t>
  </si>
  <si>
    <t>Newtown Booster Station Pump No. 1</t>
  </si>
  <si>
    <t>Newtown Booster Station Pump No. 2</t>
  </si>
  <si>
    <t>Newtown Booster Station Pump No. 3</t>
  </si>
  <si>
    <t>Hall Booster Station Pump No. 1</t>
  </si>
  <si>
    <t>Hall Booster Station Pump No. 2</t>
  </si>
  <si>
    <t>Delaplain Booster Station Pump No. 1</t>
  </si>
  <si>
    <t>Clays Mill Booster Station Pump No. 1</t>
  </si>
  <si>
    <t>Clays Mill Booster Station Pump No. 2</t>
  </si>
  <si>
    <t>Russell Cave Booster Station Pump No. 1</t>
  </si>
  <si>
    <t>Russell Cave Booster Station Pump No. 2</t>
  </si>
  <si>
    <t>Russell Cave Booster Station Pump No. 3</t>
  </si>
  <si>
    <t>Briar Hill Booster Station Pump No. 1</t>
  </si>
  <si>
    <t>Briar Hill Booster Station Pump No. 2</t>
  </si>
  <si>
    <t>Mallard Point Booster Station Pump No. 1</t>
  </si>
  <si>
    <t>Mallard Point Booster Station Pump No. 2</t>
  </si>
  <si>
    <t>Total Maximum Hour</t>
  </si>
  <si>
    <t>Total Horsepower</t>
  </si>
  <si>
    <t>*</t>
  </si>
  <si>
    <t>&gt;12</t>
  </si>
  <si>
    <t>Demand*</t>
  </si>
  <si>
    <t>*  Relative Demand for Private Fire lines and hydrants are calculated at 1.5 times the Public Fire Relative</t>
  </si>
  <si>
    <t xml:space="preserve">   Demand.</t>
  </si>
  <si>
    <t>4 -1/4 inch w/ 2-2 1/2, 1-4 1/2</t>
  </si>
  <si>
    <t>5 -1/4 inch w/ 2-2 1/2, 1-4 1/2</t>
  </si>
  <si>
    <t xml:space="preserve">  -OPERATION-                            </t>
  </si>
  <si>
    <t xml:space="preserve">600   Supervision &amp; Engineering          </t>
  </si>
  <si>
    <t xml:space="preserve">601   Operation Expense and Labor        </t>
  </si>
  <si>
    <t xml:space="preserve">         Expenses                        </t>
  </si>
  <si>
    <t xml:space="preserve">         Labor                           </t>
  </si>
  <si>
    <t xml:space="preserve">602   Purchased Water                    </t>
  </si>
  <si>
    <t xml:space="preserve">603   Miscellaneous Expenses             </t>
  </si>
  <si>
    <t xml:space="preserve">604   Rents                              </t>
  </si>
  <si>
    <t xml:space="preserve">          Total Operation                </t>
  </si>
  <si>
    <t xml:space="preserve">  -MAINTENANCE-                          </t>
  </si>
  <si>
    <t xml:space="preserve">610   Supervision &amp; Engineering          </t>
  </si>
  <si>
    <t xml:space="preserve">612   Maint Coll &amp; Impound Res           </t>
  </si>
  <si>
    <t xml:space="preserve">613.1 Maint Lakes, River &amp; Intakes       </t>
  </si>
  <si>
    <t xml:space="preserve">613.2 Amort Lakes, River &amp; Intakes       </t>
  </si>
  <si>
    <t xml:space="preserve">614   Wells and Springs Maint            </t>
  </si>
  <si>
    <t xml:space="preserve">616   Maint Supply Mains Mat             </t>
  </si>
  <si>
    <t xml:space="preserve">617   Maint Misc Water Source      </t>
  </si>
  <si>
    <t xml:space="preserve">          Total Maintenance              </t>
  </si>
  <si>
    <t xml:space="preserve">        Total Source of Supply</t>
  </si>
  <si>
    <t xml:space="preserve">620   Pumping Supervision &amp; Eng Electric </t>
  </si>
  <si>
    <t xml:space="preserve">622   Pump Power Prod Labor &amp; Exp        </t>
  </si>
  <si>
    <t xml:space="preserve">623   Pump Fuel and Power Purchase       </t>
  </si>
  <si>
    <t xml:space="preserve">624   Pump Labor and Expenses            </t>
  </si>
  <si>
    <t xml:space="preserve">626   Misc Pumping Expenses Electic      </t>
  </si>
  <si>
    <t>627   Rents</t>
  </si>
  <si>
    <t xml:space="preserve">630   Supervision &amp; Engineering          </t>
  </si>
  <si>
    <t xml:space="preserve">631   Pump Struc &amp; Imp Maint             </t>
  </si>
  <si>
    <t xml:space="preserve">632   Pump Maint Power Prod Equipment    </t>
  </si>
  <si>
    <t xml:space="preserve">633   Pump Maint Pumping Equipment       </t>
  </si>
  <si>
    <t xml:space="preserve">  Total Power and Pumping                </t>
  </si>
  <si>
    <t xml:space="preserve">640   Supervision and Engineering        </t>
  </si>
  <si>
    <t xml:space="preserve">641   Chemicals                          </t>
  </si>
  <si>
    <t xml:space="preserve">642 Labor and Expenses                 </t>
  </si>
  <si>
    <t xml:space="preserve">643   Misc Water Treatment Exp-Current   </t>
  </si>
  <si>
    <t xml:space="preserve">         Expenses - Other</t>
  </si>
  <si>
    <t xml:space="preserve">         Expenses - Waste Disposal</t>
  </si>
  <si>
    <t xml:space="preserve">644   Rents                              </t>
  </si>
  <si>
    <t xml:space="preserve">650   Supervision and Engineering        </t>
  </si>
  <si>
    <t xml:space="preserve">651   Structures and Improvements        </t>
  </si>
  <si>
    <t xml:space="preserve">652   General Water Equip                </t>
  </si>
  <si>
    <t xml:space="preserve">  Total Water Treatment Expenses</t>
  </si>
  <si>
    <t xml:space="preserve">660   Supervision and Engineering        </t>
  </si>
  <si>
    <t xml:space="preserve">661   Storage Facilities Expense         </t>
  </si>
  <si>
    <t xml:space="preserve">662   Lines Expense                      </t>
  </si>
  <si>
    <t xml:space="preserve">663   Meter Expense                      </t>
  </si>
  <si>
    <t xml:space="preserve">664   Customer Installation Expenses     </t>
  </si>
  <si>
    <t xml:space="preserve">665   Maps and Records                   </t>
  </si>
  <si>
    <t xml:space="preserve">665   Miscellaneous Expenses             </t>
  </si>
  <si>
    <t xml:space="preserve">         Expenses - Other                       </t>
  </si>
  <si>
    <t xml:space="preserve">         Expenses - Distribution Reservoirs                       </t>
  </si>
  <si>
    <t xml:space="preserve">666   Rents                              </t>
  </si>
  <si>
    <t xml:space="preserve">670   Supervision and Engineering        </t>
  </si>
  <si>
    <t xml:space="preserve">671   T &amp; D Structures &amp; Improve Maint   </t>
  </si>
  <si>
    <t xml:space="preserve">672   Reservoirs and Standpipes          </t>
  </si>
  <si>
    <t xml:space="preserve">673   T &amp; D Mains                        </t>
  </si>
  <si>
    <t xml:space="preserve">675   Services                           </t>
  </si>
  <si>
    <t xml:space="preserve">676   Meters                             </t>
  </si>
  <si>
    <t xml:space="preserve">677   Hydrants                           </t>
  </si>
  <si>
    <t xml:space="preserve">678   Miscellaneous Plant                </t>
  </si>
  <si>
    <t xml:space="preserve">  Total Transmission and Distribution    </t>
  </si>
  <si>
    <t xml:space="preserve">901   Supervision                        </t>
  </si>
  <si>
    <t xml:space="preserve">902   Meter Reading Expenses             </t>
  </si>
  <si>
    <t xml:space="preserve">903   Recording and Collecting Expenses  </t>
  </si>
  <si>
    <t xml:space="preserve">904   Uncollectible Accounts             </t>
  </si>
  <si>
    <t xml:space="preserve">905   Misc Customer Accounting Expenses  </t>
  </si>
  <si>
    <t xml:space="preserve">907   Customer Service Expenses          </t>
  </si>
  <si>
    <t xml:space="preserve">  Total Customers' Accounting and        </t>
  </si>
  <si>
    <t xml:space="preserve">   Collecting Expenses                   </t>
  </si>
  <si>
    <t xml:space="preserve">920   Administrative &amp; General Salaries  </t>
  </si>
  <si>
    <t xml:space="preserve">921   Miscellaneous Office Expenses      </t>
  </si>
  <si>
    <t xml:space="preserve">923   Outside Services   </t>
  </si>
  <si>
    <t xml:space="preserve">              Customer Related</t>
  </si>
  <si>
    <t xml:space="preserve">              Water Quality</t>
  </si>
  <si>
    <t xml:space="preserve">              Other</t>
  </si>
  <si>
    <t xml:space="preserve">924   Property Insurance                 </t>
  </si>
  <si>
    <t xml:space="preserve">925   Workers Compensation               </t>
  </si>
  <si>
    <t xml:space="preserve">925.4 General Liability               </t>
  </si>
  <si>
    <t xml:space="preserve">926   Employee Pensions and Benefits     </t>
  </si>
  <si>
    <t xml:space="preserve">928   Regulatory Expenses                </t>
  </si>
  <si>
    <t xml:space="preserve">930   Miscellaneous General Expense      </t>
  </si>
  <si>
    <t xml:space="preserve">931   Administrative and General Rents   </t>
  </si>
  <si>
    <t xml:space="preserve">932   Maintenance of General Plant       </t>
  </si>
  <si>
    <t xml:space="preserve">  Total Administrative and General       </t>
  </si>
  <si>
    <t xml:space="preserve">   Expenses                              </t>
  </si>
  <si>
    <t xml:space="preserve">  Total Operation and Maintenance        </t>
  </si>
  <si>
    <t xml:space="preserve">503  DEPRECIATION EXPENSE                </t>
  </si>
  <si>
    <t xml:space="preserve">301    Organization                      </t>
  </si>
  <si>
    <t xml:space="preserve">302    Franchise and Consents            </t>
  </si>
  <si>
    <t xml:space="preserve">303    Other P/E Intangibles             </t>
  </si>
  <si>
    <t xml:space="preserve">310    Land and Land Rights              </t>
  </si>
  <si>
    <t xml:space="preserve">311    Source of Supply Struct &amp; Improv  </t>
  </si>
  <si>
    <t xml:space="preserve">312    Collecting &amp; Impounding Reservoirs </t>
  </si>
  <si>
    <t xml:space="preserve">313    Lake, River and Other Intakes     </t>
  </si>
  <si>
    <t xml:space="preserve">314    Wells and Springs                 </t>
  </si>
  <si>
    <t xml:space="preserve">316    Supply Mains                      </t>
  </si>
  <si>
    <t xml:space="preserve">321    Pumping Structures &amp; Improvements </t>
  </si>
  <si>
    <t>322    Boiler Plant Equipment</t>
  </si>
  <si>
    <t xml:space="preserve">323    Other Power Production Equipment  </t>
  </si>
  <si>
    <t xml:space="preserve">325    Electric Pumping Equipment        </t>
  </si>
  <si>
    <t xml:space="preserve">326    Diesel Pumping Equipment          </t>
  </si>
  <si>
    <t xml:space="preserve">328    Other Pumping Equipment           </t>
  </si>
  <si>
    <t xml:space="preserve">331    Water Treat Structures &amp; Improv   </t>
  </si>
  <si>
    <t xml:space="preserve">332    Water Treat and Equipment         </t>
  </si>
  <si>
    <t>334    GAC</t>
  </si>
  <si>
    <t xml:space="preserve">341    T &amp; D Structures &amp; Improvements   </t>
  </si>
  <si>
    <t xml:space="preserve">342    Distrib. Reservoirs &amp; Standpipes  </t>
  </si>
  <si>
    <t xml:space="preserve">343    Transmission &amp; Distribution Mains </t>
  </si>
  <si>
    <t xml:space="preserve">                 Distribution</t>
  </si>
  <si>
    <t xml:space="preserve">                 Transmission</t>
  </si>
  <si>
    <t xml:space="preserve">345    Services                          </t>
  </si>
  <si>
    <t xml:space="preserve">346    Meters                            </t>
  </si>
  <si>
    <t xml:space="preserve">347    Meter Installations               </t>
  </si>
  <si>
    <t xml:space="preserve">348    Fire Hydrants                     </t>
  </si>
  <si>
    <t xml:space="preserve">390    General Structures &amp; Improvements </t>
  </si>
  <si>
    <t xml:space="preserve">390.1  Office Structures                 </t>
  </si>
  <si>
    <t>390.2  Stores Shop and Gar. Structures</t>
  </si>
  <si>
    <t xml:space="preserve">390.3  Miscellaneous Structures &amp; Improv </t>
  </si>
  <si>
    <t xml:space="preserve">391    Office Furniture and Equipment    </t>
  </si>
  <si>
    <t xml:space="preserve">391.20 Computers &amp; Peripheral Equipment  </t>
  </si>
  <si>
    <t xml:space="preserve">391.25 Computer Software                 </t>
  </si>
  <si>
    <t xml:space="preserve">391.28 Other software    </t>
  </si>
  <si>
    <t xml:space="preserve">391.30 Other Office Equipment            </t>
  </si>
  <si>
    <t xml:space="preserve">392.11 Transportation Equip-Light Trucks </t>
  </si>
  <si>
    <t xml:space="preserve">392.12 Transportation Equip-Heavy Trucks </t>
  </si>
  <si>
    <t xml:space="preserve">392.2  Transportation Equip-Cars         </t>
  </si>
  <si>
    <t xml:space="preserve">392.3  Transportation Equip-Other        </t>
  </si>
  <si>
    <t xml:space="preserve">393    Stores Equipment                  </t>
  </si>
  <si>
    <t xml:space="preserve">394    Tools, Shop &amp; Garage Equipment    </t>
  </si>
  <si>
    <t xml:space="preserve">395    Laboratory Equipment              </t>
  </si>
  <si>
    <t xml:space="preserve">396    Power Operated Equipment          </t>
  </si>
  <si>
    <t xml:space="preserve">397    Communication Equipment           </t>
  </si>
  <si>
    <t xml:space="preserve">398    Miscellaneous Equipment           </t>
  </si>
  <si>
    <t xml:space="preserve">399    Other Tangible Property           </t>
  </si>
  <si>
    <t xml:space="preserve">           Total Depreciation Expense</t>
  </si>
  <si>
    <t>404    AMORTIZATION EXPENSE</t>
  </si>
  <si>
    <t>Factors are based on the net charge-offs by customer classification.</t>
  </si>
  <si>
    <t>Net</t>
  </si>
  <si>
    <t>Charge-Offs</t>
  </si>
  <si>
    <t>FACTOR 20. ALLOCATION OF UNCOLLECTIBLE ACCOUNTS</t>
  </si>
  <si>
    <t xml:space="preserve">              AFUDC</t>
  </si>
  <si>
    <t xml:space="preserve">              Acquisition Adjustment</t>
  </si>
  <si>
    <t xml:space="preserve">              Property Losses</t>
  </si>
  <si>
    <t xml:space="preserve">         Total Amortizations</t>
  </si>
  <si>
    <t xml:space="preserve">507.1 TAXES, OTHER THAN INCOME           </t>
  </si>
  <si>
    <t xml:space="preserve">       Federal and State Payroll Taxes   </t>
  </si>
  <si>
    <t xml:space="preserve">       Property Taxes                    </t>
  </si>
  <si>
    <t xml:space="preserve">       Gross Receipts and surtax         </t>
  </si>
  <si>
    <t xml:space="preserve">       Other General Taxes               </t>
  </si>
  <si>
    <t xml:space="preserve">507.2 INCOME TAXES                       </t>
  </si>
  <si>
    <t xml:space="preserve">Utility Operating Income Available       </t>
  </si>
  <si>
    <t xml:space="preserve"> for Return                              </t>
  </si>
  <si>
    <t xml:space="preserve">            AFUDC</t>
  </si>
  <si>
    <t xml:space="preserve">            Billing and Collecting Services</t>
  </si>
  <si>
    <t xml:space="preserve">     Total Other Water Revenues</t>
  </si>
  <si>
    <t>303.6 Other P/E Comprehensive Studies</t>
  </si>
  <si>
    <t xml:space="preserve">312    Collecting &amp;Impounding Reservoirs </t>
  </si>
  <si>
    <t>320   Pumping Land &amp; Land Rights</t>
  </si>
  <si>
    <t>328    Other Pumping Equipment</t>
  </si>
  <si>
    <t>330    Land and Land Rights</t>
  </si>
  <si>
    <t>340    Land and Land Rights</t>
  </si>
  <si>
    <t>392 Transportation Equip</t>
  </si>
  <si>
    <t xml:space="preserve">     Total Depreciable Plant Net of Accumulated Depreciation,</t>
  </si>
  <si>
    <t xml:space="preserve">          Contributions and Advances</t>
  </si>
  <si>
    <t>OTHER RATE BASE ELEMENTS</t>
  </si>
  <si>
    <t>Utility Plant Acquisition Adjustments</t>
  </si>
  <si>
    <t>Accumulated Amortization</t>
  </si>
  <si>
    <t>CWIP - Water Treatment Plant and Supply Mains</t>
  </si>
  <si>
    <t>CWIP - Transmission Mains</t>
  </si>
  <si>
    <t>CWIP - Reservoirs and Standpipes</t>
  </si>
  <si>
    <t>CWIP - Distribution Mains</t>
  </si>
  <si>
    <t>CWIP - Meters and Meter Installations</t>
  </si>
  <si>
    <t>CWIP - Services</t>
  </si>
  <si>
    <t>CWIP - Hydrants</t>
  </si>
  <si>
    <t>CWIP - Other</t>
  </si>
  <si>
    <t>Working Capital Allowance</t>
  </si>
  <si>
    <t>Other  Working Capital Allowance</t>
  </si>
  <si>
    <t>Deferred Income Taxes</t>
  </si>
  <si>
    <t xml:space="preserve">Deferred Investment Tax Credits </t>
  </si>
  <si>
    <t>Deferred Maintenance</t>
  </si>
  <si>
    <t xml:space="preserve">     Treatment Plant</t>
  </si>
  <si>
    <t xml:space="preserve">     Distribution Reservoir</t>
  </si>
  <si>
    <t>Deferred Debits</t>
  </si>
  <si>
    <t xml:space="preserve">     Source of Supply</t>
  </si>
  <si>
    <t xml:space="preserve">     General</t>
  </si>
  <si>
    <t>Other Rate Base Elements</t>
  </si>
  <si>
    <t xml:space="preserve">TRANSMISSION AND DISTRIBUTION EXPENSES   </t>
  </si>
  <si>
    <t xml:space="preserve">WATER TREATMENT                          </t>
  </si>
  <si>
    <t xml:space="preserve">POWER AND PUMPING EXPENSES               </t>
  </si>
  <si>
    <t xml:space="preserve">SOURCE OF SUPPLY EXPENSES                </t>
  </si>
  <si>
    <t xml:space="preserve">OPERATION AND MAINTENANCE EXPENSES       </t>
  </si>
  <si>
    <t>Ref.</t>
  </si>
  <si>
    <t>Cost of</t>
  </si>
  <si>
    <t>Account</t>
  </si>
  <si>
    <t>Private</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</si>
  <si>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</si>
  <si>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</si>
  <si>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</si>
  <si>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</si>
  <si>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</si>
  <si>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</si>
  <si>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FACTOR 6. ALLOCATION OF COSTS ASSOCIATED WITH POWER AND PUMPING FACILITIES.</t>
  </si>
  <si>
    <t>FACTOR 7. ALLOCATION OF COSTS ASSOCIATED WITH TRANSMISSION AND DISTRIBUTION MAINS.</t>
  </si>
  <si>
    <t>FACTOR 8. ALLOCATION OF COSTS ASSOCIATED WITH FIRE HYDRANTS.</t>
  </si>
  <si>
    <t>FACTOR 11.  ALLOCATION OF TRANSMISSION AND DISTRIBUTION OPERATION SUPERVISION</t>
  </si>
  <si>
    <t>FACTOR 12.  ALLOCATION OF TRANSMISSION AND DISTRIBUTION MAINTENANCE SUPERVISION</t>
  </si>
  <si>
    <t>FACTOR 13.  ALLOCATION OF BILLING AND COLLECTING COSTS.</t>
  </si>
  <si>
    <t>FACTOR 14.  ALLOCATION OF METER READING COSTS.</t>
  </si>
  <si>
    <t xml:space="preserve">FACTOR 17.  ALLOCATION OF ORGANIZATION, FRANCHISES AND CONSENTS, </t>
  </si>
  <si>
    <t>FACTOR 18.  ALLOCATION OF INCOME TAXES AND INCOME AVAILABLE FOR RETURN.</t>
  </si>
  <si>
    <t>FACTOR 19.  ALLOCATION OF REGULATORY COMMISSION EXPENSES, ASSESSMENTS AND</t>
  </si>
  <si>
    <t>FACTOR 11</t>
  </si>
  <si>
    <t>FACTOR 12</t>
  </si>
  <si>
    <t>FACTOR 15</t>
  </si>
  <si>
    <t>T&amp;D OP BASIS FOR FACTOR 11</t>
  </si>
  <si>
    <t>T&amp;D Mnt BASIS FOR FACTOR 12</t>
  </si>
  <si>
    <t>A&amp;G BASIS FOR FACTOR 15</t>
  </si>
  <si>
    <t>LABOR BASIS FOR FACTOR 16</t>
  </si>
  <si>
    <t>FACTOR 16</t>
  </si>
  <si>
    <t>*Adjusted to reflect that approximately 32,264 residential customers are served by 1-inch service lines each serving two residences.</t>
  </si>
  <si>
    <t>UPIS BASIS FOR FACTOR 17</t>
  </si>
  <si>
    <t>FACTOR 17</t>
  </si>
  <si>
    <t>FACTOR 18</t>
  </si>
  <si>
    <t>RATE BASE BASIS FOR FACTOR 18</t>
  </si>
  <si>
    <t>TOTAL COS BASIS FOR FACTOR 19</t>
  </si>
  <si>
    <t>FACTOR 19</t>
  </si>
  <si>
    <t>Factors are based on the weighting of the maximum daily consumption with fire, Factor 3, and the maximum hour consumption, Factor 5, for each customer classification, as follows:</t>
  </si>
  <si>
    <t>Costs are assigned directly to Public Fire Protection.</t>
  </si>
  <si>
    <t xml:space="preserve">   Extra Capacity</t>
  </si>
  <si>
    <t>Factors are based on the allocation of direct labor expense.</t>
  </si>
  <si>
    <t>AND FIRE PROTECTION FUNCTIONS.</t>
  </si>
  <si>
    <t xml:space="preserve">FACTOR 3.  ALLOCATION OF COSTS ASSOCIATED WITH FACILITIES SERVING BASE, MAXIMUM DAY EXTRA CAPACITY </t>
  </si>
  <si>
    <t>The public and private fire protection allocation factors in column 7 on the previous page are based on the relative potential demands (see Schedule E).</t>
  </si>
  <si>
    <t>The public and private fire protection allocation factors in column 6 on the previous page are based on the relative potential demands (see Schedule E).</t>
  </si>
  <si>
    <t>AND ENGINEERING AND MISCELLANEOUS EXPENSES.</t>
  </si>
  <si>
    <t>AND ENGINEERING, STRUCTURES AND IMPROVEMENTS, AND OTHER EXPENSES.</t>
  </si>
  <si>
    <t xml:space="preserve"> MISCELLANEOUS INTANGIBLE PLANT AND OTHER RATE BASE ELEMENTS.</t>
  </si>
  <si>
    <t xml:space="preserve">             Total Public Fire Prorection</t>
  </si>
  <si>
    <t>Private Hydrants</t>
  </si>
  <si>
    <t xml:space="preserve">The weighting of the factors is based on the potential demand of general and fire protection service.  The bases for the potential demand of general service are the maximum day ratio of 1.65 and the average daily system sendout for 2009 of 38.094 MGD.  The system demand for fire protection is 10,000 Gallons per minute for 10 hours.    </t>
  </si>
  <si>
    <t>The weighting of the factors is based on the potential demand of general and fire protection service.  The bases for the potential demand of general service are the maximum hour ratio of 2.5 and the average daily system sendout for 2009 of 38.094 MGD.  The system demand for fire protection is 10,000 gallons per minute.</t>
  </si>
  <si>
    <t>The weighting of the factors is based on the maximum day ratio of 1.65, based on a review of maximum day ratios experienced during the period 1990 through 2009 (see Schedule D).</t>
  </si>
  <si>
    <t>SUMMARY OF AVERAGE DAY AND PEAK DAY DELIVERY FOR THE YEARS 1990-2009</t>
  </si>
  <si>
    <t>TO PRIVATE AND PUBLIC FIRE PROTECTION CUSTOMER CLASSIFICATIONS</t>
  </si>
  <si>
    <t>Table of Factors - Table Name "FACTORS"</t>
  </si>
  <si>
    <t>factor 3</t>
  </si>
  <si>
    <t>factor 4</t>
  </si>
  <si>
    <t>factor 2</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</si>
  <si>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</si>
  <si>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</si>
  <si>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</si>
  <si>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</si>
  <si>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</si>
  <si>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</si>
  <si>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</si>
  <si>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</si>
  <si>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</si>
  <si>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</si>
  <si>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</si>
  <si>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</si>
  <si>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</si>
  <si>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</si>
  <si>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</si>
  <si>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</si>
  <si>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</si>
  <si>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</si>
  <si>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7/17</t>
  </si>
  <si>
    <t>Other Public Authority</t>
  </si>
  <si>
    <t>Other Water Utilities</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</si>
  <si>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</si>
  <si>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</si>
  <si>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</si>
  <si>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</si>
  <si>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</si>
  <si>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</si>
  <si>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</si>
  <si>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</si>
  <si>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</si>
  <si>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</si>
  <si>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</si>
  <si>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</si>
  <si>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</si>
  <si>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</si>
  <si>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</si>
  <si>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</si>
  <si>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</si>
  <si>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</si>
  <si>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</si>
  <si>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</si>
  <si>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</si>
  <si>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</si>
  <si>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</si>
  <si>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</si>
  <si>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</si>
  <si>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</si>
  <si>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</si>
  <si>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</si>
  <si>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</si>
  <si>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</si>
  <si>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</si>
  <si>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</si>
  <si>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</si>
  <si>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</si>
  <si>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</si>
  <si>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</si>
  <si>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</si>
  <si>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</si>
  <si>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</si>
  <si>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</si>
  <si>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</si>
  <si>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</si>
  <si>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</si>
  <si>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</si>
  <si>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</si>
  <si>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</si>
  <si>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</si>
  <si>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</si>
  <si>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</si>
  <si>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</si>
  <si>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</si>
  <si>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</si>
  <si>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</si>
  <si>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</si>
  <si>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</si>
  <si>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</si>
  <si>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</si>
  <si>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</si>
  <si>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</si>
  <si>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</si>
  <si>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</si>
  <si>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</si>
  <si>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</si>
  <si>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</si>
  <si>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</si>
  <si>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</si>
  <si>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</si>
  <si>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</si>
  <si>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</si>
  <si>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</si>
  <si>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</si>
  <si>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</si>
  <si>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</si>
  <si>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</si>
  <si>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</si>
  <si>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</si>
  <si>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Factors are based on the weighting of the maximum daily consumption, Factor 2, the maximum daily consumption with fire, Factor 3, and the maximum hour consumption, Factor 4, for each customer classification, as follows:</t>
  </si>
  <si>
    <t>Maximum Daily</t>
  </si>
  <si>
    <t>Maximum Hourly</t>
  </si>
  <si>
    <t>Factor 2</t>
  </si>
  <si>
    <t>Factor 3</t>
  </si>
  <si>
    <t>Factor 4</t>
  </si>
  <si>
    <t>(3)=(2)X</t>
  </si>
  <si>
    <t>(5)=(4)X</t>
  </si>
  <si>
    <t>(7)=(6)X</t>
  </si>
  <si>
    <t>(8)=(3)+</t>
  </si>
  <si>
    <t>(5)+(7)</t>
  </si>
  <si>
    <t>Func.</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</si>
  <si>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</si>
  <si>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</si>
  <si>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</si>
  <si>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</si>
  <si>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</si>
  <si>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</si>
  <si>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</si>
  <si>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</si>
  <si>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</si>
  <si>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</si>
  <si>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</si>
  <si>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</si>
  <si>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</si>
  <si>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</si>
  <si>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</si>
  <si>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</si>
  <si>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</si>
  <si>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</si>
  <si>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</si>
  <si>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</si>
  <si>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</si>
  <si>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</si>
  <si>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</si>
  <si>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</si>
  <si>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</si>
  <si>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</si>
  <si>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</si>
  <si>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</si>
  <si>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</si>
  <si>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</si>
  <si>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</si>
  <si>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</si>
  <si>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Sales for</t>
  </si>
  <si>
    <t>Resale</t>
  </si>
  <si>
    <t xml:space="preserve">Other Water Utilities      </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</si>
  <si>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</si>
  <si>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</si>
  <si>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</si>
  <si>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</si>
  <si>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</si>
  <si>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</si>
  <si>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</si>
  <si>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</si>
  <si>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</si>
  <si>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</si>
  <si>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</si>
  <si>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</si>
  <si>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</si>
  <si>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</si>
  <si>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</si>
  <si>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</si>
  <si>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</si>
  <si>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</si>
  <si>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</si>
  <si>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</si>
  <si>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</si>
  <si>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</si>
  <si>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</si>
  <si>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</si>
  <si>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</si>
  <si>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</si>
  <si>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</si>
  <si>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</si>
  <si>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</si>
  <si>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</si>
  <si>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</si>
  <si>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</si>
  <si>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</si>
  <si>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</si>
  <si>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</si>
  <si>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</si>
  <si>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</si>
  <si>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</si>
  <si>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</si>
  <si>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</si>
  <si>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</si>
  <si>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</si>
  <si>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</si>
  <si>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</si>
  <si>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</si>
  <si>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</si>
  <si>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</si>
  <si>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</si>
  <si>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</si>
  <si>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</si>
  <si>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</si>
  <si>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</si>
  <si>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</si>
  <si>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</si>
  <si>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</si>
  <si>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</si>
  <si>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</si>
  <si>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</si>
  <si>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</si>
  <si>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</si>
  <si>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</si>
  <si>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</si>
  <si>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</si>
  <si>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</si>
  <si>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</si>
  <si>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</si>
  <si>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</si>
  <si>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</si>
  <si>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</si>
  <si>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</si>
  <si>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</si>
  <si>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</si>
  <si>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</si>
  <si>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</si>
  <si>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</si>
  <si>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</si>
  <si>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</si>
  <si>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-inch</t>
  </si>
  <si>
    <t>Total Private Fire Protection</t>
  </si>
  <si>
    <t>PUBLIC FIRE PROTECTION</t>
  </si>
  <si>
    <t xml:space="preserve"> Total Fire Protection</t>
  </si>
  <si>
    <t xml:space="preserve"> Sales of Water                          </t>
  </si>
  <si>
    <t xml:space="preserve">Total Cost of Service Related to         </t>
  </si>
  <si>
    <t xml:space="preserve">Less: Other Water Revenues               </t>
  </si>
  <si>
    <t xml:space="preserve">    Total Cost of Service                </t>
  </si>
  <si>
    <t xml:space="preserve">         Total Taxes, Other Than Income  </t>
  </si>
  <si>
    <t xml:space="preserve">                                         </t>
  </si>
  <si>
    <t xml:space="preserve">ADMINISTRATIVE AND GENERAL EXPENSES      </t>
  </si>
  <si>
    <t xml:space="preserve">CUSTOMER ACCOUNTS                        </t>
  </si>
  <si>
    <t>COMPARISON OF COST OF SERVICE WITH REVENUES UNDER PRESENT AND PROPOSED RATES</t>
  </si>
  <si>
    <t>Cost of Service</t>
  </si>
  <si>
    <t>Proposed Increase</t>
  </si>
  <si>
    <t>Amount</t>
  </si>
  <si>
    <t>Revenues, Present Rates</t>
  </si>
  <si>
    <t>Revenues, Proposed Rates</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</si>
  <si>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</si>
  <si>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</si>
  <si>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</si>
  <si>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</si>
  <si>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</si>
  <si>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</si>
  <si>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</si>
  <si>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</si>
  <si>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</si>
  <si>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</si>
  <si>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</si>
  <si>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</si>
  <si>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</si>
  <si>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</si>
  <si>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Factor 6</t>
  </si>
  <si>
    <t>1,000 Gallons</t>
  </si>
  <si>
    <t>The weighting of the factors is based on the ratio of the capacity required for a 3 hour demand of fire flow, as related to total storage capacity.</t>
  </si>
  <si>
    <t>The weighting of the factors is based on the ratio of the capacity required for a 3 hour demand of fire flow, as related to total storage capacity.  The calculation is shown on the following page.</t>
  </si>
  <si>
    <t>&amp; Distribution</t>
  </si>
  <si>
    <t>Factors are based on the allocation of all other operation and maintenance expenses excluding purchased water, power, chemicals and waste disposal.</t>
  </si>
  <si>
    <t>(Schedule B)</t>
  </si>
  <si>
    <t>Year</t>
  </si>
  <si>
    <t>(MGD)</t>
  </si>
  <si>
    <t>391.22  Computers and Periph Other</t>
  </si>
  <si>
    <t>391.21  Personal Comp and Periph</t>
  </si>
  <si>
    <t xml:space="preserve">391.25 Computer Mainframe Software                 </t>
  </si>
  <si>
    <t xml:space="preserve">391.26 Personal software    </t>
  </si>
  <si>
    <t>391.28 Other Software</t>
  </si>
  <si>
    <t>Kentucky-American Water Company</t>
  </si>
  <si>
    <t>Cost of Service Study Data - UPIS</t>
  </si>
  <si>
    <t>Forecasted TY Ended 9/2011</t>
  </si>
  <si>
    <t>KAWC</t>
  </si>
  <si>
    <t>UPIS</t>
  </si>
  <si>
    <t>ACCUM DEPREC</t>
  </si>
  <si>
    <t>CIAC AND ADV</t>
  </si>
  <si>
    <t>CIAC ACCUM DEPR</t>
  </si>
  <si>
    <t>TOTAL</t>
  </si>
  <si>
    <t xml:space="preserve">390  Office Structures                 </t>
  </si>
  <si>
    <t>348    Hydrants</t>
  </si>
  <si>
    <t>Woodlake Booster Station Pump #1</t>
  </si>
  <si>
    <t>Woodlake Booster Station Pump #2</t>
  </si>
  <si>
    <t>Woodlake Booster Station Pump #3</t>
  </si>
  <si>
    <t>New Columbus Booster Station Pump #1</t>
  </si>
  <si>
    <t>PS #1 Pump #1</t>
  </si>
  <si>
    <t>PS #1 Pump #2</t>
  </si>
  <si>
    <t>PS #2 Pump #1</t>
  </si>
  <si>
    <t>PS #2 Pump #2</t>
  </si>
  <si>
    <t xml:space="preserve">              Employee Related</t>
  </si>
  <si>
    <t>CWIP - Customer Billing Software</t>
  </si>
  <si>
    <t>CWIP - Financial Software</t>
  </si>
  <si>
    <t>ORGANIZATION</t>
  </si>
  <si>
    <t>FRANCHISE/CONSENTS</t>
  </si>
  <si>
    <t>OTHE P/E INTANGIBLES</t>
  </si>
  <si>
    <t>OTHER P/E COMPREHENSIVE STUDIES</t>
  </si>
  <si>
    <t>LAND AND LAND RIGHTS SS</t>
  </si>
  <si>
    <t>SS STRUCTURES &amp; IMPROVEMENTS</t>
  </si>
  <si>
    <t>COLL &amp; IMPOUNDING RESERV</t>
  </si>
  <si>
    <t>LAKE, RIVER, &amp; OTHER INTAKES</t>
  </si>
  <si>
    <t>WELLS &amp; SPRINGS</t>
  </si>
  <si>
    <t>SUPPLY MAINS</t>
  </si>
  <si>
    <t>PUMPING LAND &amp; LAND RIGHTS</t>
  </si>
  <si>
    <t>PUMPING STRUCTURES &amp; IMPROVEMENTS</t>
  </si>
  <si>
    <t>OTHER POWER PROD EQPT</t>
  </si>
  <si>
    <t>ELECTRIC PUMPING EQUIPMENT</t>
  </si>
  <si>
    <t>DIESEL PUMPING EQUIPMENT</t>
  </si>
  <si>
    <t>Pump Equip Hydraulic</t>
  </si>
  <si>
    <t>OTHER PUMPING EQUIPMENT</t>
  </si>
  <si>
    <t>PUMPING EQUIPMENT SS</t>
  </si>
  <si>
    <t>PUMPING EQUIPMENT TD</t>
  </si>
  <si>
    <t>LAND AND LAND RIGHTS</t>
  </si>
  <si>
    <t>WT STRUCTURES &amp; IMPROVMNT</t>
  </si>
  <si>
    <t>WATER TREATMENT EQUIPMENT</t>
  </si>
  <si>
    <t>WATER TREATMENT EQUIPMENT-STR</t>
  </si>
  <si>
    <t>WATER TREATMENT EQUIPMENT-FILTER MEDIA</t>
  </si>
  <si>
    <t>T &amp; D LAND &amp; RIGHTS OF WAY</t>
  </si>
  <si>
    <t>T &amp; D STRUCTURES &amp; IMP</t>
  </si>
  <si>
    <t>DIST RES &amp; STANDPIPES</t>
  </si>
  <si>
    <t>Elevated Tanks &amp; Standpipes</t>
  </si>
  <si>
    <t>GROUND LEVEL FACILITIES</t>
  </si>
  <si>
    <t>Clearwell</t>
  </si>
  <si>
    <t>SERVICES</t>
  </si>
  <si>
    <t>METERS</t>
  </si>
  <si>
    <t>METERS - BRONZE CASE</t>
  </si>
  <si>
    <t>METERS - PLASTIC CASE</t>
  </si>
  <si>
    <t>METERS - OTHER</t>
  </si>
  <si>
    <t>METER INSTALLATIONS</t>
  </si>
  <si>
    <t>METER VAULTS</t>
  </si>
  <si>
    <t>HYDRANTS</t>
  </si>
  <si>
    <t>OFFICE STRUCTURES AG</t>
  </si>
  <si>
    <t>OFFICE STRUCTURES</t>
  </si>
  <si>
    <t>STORES, SHOP &amp; GAR STRUCT</t>
  </si>
  <si>
    <t>MISC STRUCTURES</t>
  </si>
  <si>
    <t>OFFICE FURNITURE &amp; EQUIP</t>
  </si>
  <si>
    <t>OFFICE FURNITURE &amp; EQUIP-AMORTIZED</t>
  </si>
  <si>
    <t>MAINFRAME COMP &amp; PERIPH EQPT</t>
  </si>
  <si>
    <t>MAINFRAME COMP &amp; PERIPH EQUIP-AMORTIZED</t>
  </si>
  <si>
    <t>PERSONAL COMP &amp; PERIPH EQPT</t>
  </si>
  <si>
    <t>PERSONAL COMP &amp; PERIPH EQPT-AMORTIZED</t>
  </si>
  <si>
    <t>COMP &amp; PERIPH OTHER</t>
  </si>
  <si>
    <t>COMP &amp; PERIPH OTHER-AMORTIZED</t>
  </si>
  <si>
    <t>MAINFRAME SOFTWARE</t>
  </si>
  <si>
    <t>MAINFRAME SOFTWARE-AMORTIZED</t>
  </si>
  <si>
    <t>PERSONAL COMP SOFTWARE</t>
  </si>
  <si>
    <t>PERSONAL COMP SOFTWARE-AMORTIZED</t>
  </si>
  <si>
    <t>OTHER SOFTWARE</t>
  </si>
  <si>
    <t>OTHER SOFTWARE-AMORTIZED</t>
  </si>
  <si>
    <t>OTHER OFFICE EQUIPMENT</t>
  </si>
  <si>
    <t>OTHER OFFICE EQUIPMENT-AMORTIZED</t>
  </si>
  <si>
    <t>TRANS EQUIP - LIGHT TRUCKS</t>
  </si>
  <si>
    <t>TRANS EQUIP - LIGHT TRUCKS-new additions</t>
  </si>
  <si>
    <t>TRANS EQUIP - HEAVY TRUCKS</t>
  </si>
  <si>
    <t>TRANS EQUIP - CARS</t>
  </si>
  <si>
    <t>TRANS EQUIP - CARS-new additions</t>
  </si>
  <si>
    <t>OTHER TRANS EQUIP</t>
  </si>
  <si>
    <t>STORES EQUIPMENT</t>
  </si>
  <si>
    <t>STORES EQUIPMENT-AMORTIZED</t>
  </si>
  <si>
    <t>TOOLS, SHOP, &amp; GARAGE EQUIP</t>
  </si>
  <si>
    <t>TOOLS, SHOP, &amp; GARAGE EQUIP-AMORTIZED</t>
  </si>
  <si>
    <t>LABORATORY EQUIPMENT</t>
  </si>
  <si>
    <t>LABORATORY EQUIPMENT-AMORTIZED</t>
  </si>
  <si>
    <t>POWER OPERATED EQUIPMENT</t>
  </si>
  <si>
    <t>COMMUNICATION EQUIPMENT-non telephone</t>
  </si>
  <si>
    <t>COMMUNICATION EQUIPMENT-AMORTIZED</t>
  </si>
  <si>
    <t>COMMUNICATION EQUIPMENT-instrumentation</t>
  </si>
  <si>
    <t>COMMUNICATION EQUIPMENT</t>
  </si>
  <si>
    <t>MISC EQUIPMENT</t>
  </si>
  <si>
    <t>MISC EQUIPMENT-AMORTIZED</t>
  </si>
  <si>
    <t>OTHER TANGIBLE PROPERTY</t>
  </si>
  <si>
    <t>Factors are based on the allocation of operation and maintenance expenses including purchased water, power, chemicals, waste disposal, and administrative and general expenses.</t>
  </si>
  <si>
    <t>T &amp; D MAINS - DISTRIBUTION</t>
  </si>
  <si>
    <t>T &amp; D MAINS - TRANSMISSION</t>
  </si>
  <si>
    <t xml:space="preserve">     Total Plant in Service, Net of Accumulated</t>
  </si>
  <si>
    <t xml:space="preserve">        Depreciation, Contributions and Advances</t>
  </si>
  <si>
    <t>COST OF SERVICE FOR THE TWELVE MONTHS ENDED SEPTEMBER 30, 2011, ALLOCATED TO CUSTOMER CLASSIFICATIONS</t>
  </si>
  <si>
    <t>FOR THE TEST YEAR ENDED SEPTEMBER 30, 2011</t>
  </si>
  <si>
    <t xml:space="preserve">Less:  Other Water Revenues               </t>
  </si>
  <si>
    <t xml:space="preserve">           AFUDC</t>
  </si>
  <si>
    <t xml:space="preserve">           Billing and Collecting Services</t>
  </si>
  <si>
    <t xml:space="preserve">           Reconnection/Activation - T&amp;D Related</t>
  </si>
  <si>
    <t xml:space="preserve">           Reconnection/Activation - Customer Service Related</t>
  </si>
  <si>
    <t>(a) Includes Miscellaneous sales.</t>
  </si>
  <si>
    <t>(a)</t>
  </si>
  <si>
    <t>COMPARISON OF PRESENT AND PROPOSED RATES</t>
  </si>
  <si>
    <t>Meter Charges, Per Month:</t>
  </si>
  <si>
    <t>Present</t>
  </si>
  <si>
    <t>Proposed</t>
  </si>
  <si>
    <t>Rate</t>
  </si>
  <si>
    <t>3/4</t>
  </si>
  <si>
    <t>Per Thousand Gallons</t>
  </si>
  <si>
    <t>Per CCF</t>
  </si>
  <si>
    <t>Consumption Charges:</t>
  </si>
  <si>
    <t>Hidden Leak</t>
  </si>
  <si>
    <t>Fire Protection:</t>
  </si>
  <si>
    <t>Line Size</t>
  </si>
  <si>
    <t>Per Annum</t>
  </si>
  <si>
    <t>PrivateFire Hydrant</t>
  </si>
  <si>
    <t>Public Fire Hydrant</t>
  </si>
  <si>
    <t>CALCULATION OF MONTHLY SERVICE CHARGES</t>
  </si>
  <si>
    <t>Number</t>
  </si>
  <si>
    <t>Cost Per Unit</t>
  </si>
  <si>
    <t>Cost Function</t>
  </si>
  <si>
    <t>(Schedule D)</t>
  </si>
  <si>
    <t>of Units</t>
  </si>
  <si>
    <t>Per Month</t>
  </si>
  <si>
    <t>5/8-inch meter equivalents</t>
  </si>
  <si>
    <t>3/4-inch service equivalents</t>
  </si>
  <si>
    <t>Billing &amp; Collecting</t>
  </si>
  <si>
    <t>Number of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</si>
  <si>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</si>
  <si>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</si>
  <si>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</si>
  <si>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</si>
  <si>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</si>
  <si>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</si>
  <si>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</si>
  <si>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</si>
  <si>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</si>
  <si>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</si>
  <si>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</si>
  <si>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</si>
  <si>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 Includes Public Fire Deficiency in addition to meter costs.</t>
  </si>
  <si>
    <t>** Meter reading unit costs were modified to recognize differences in cost by size.</t>
  </si>
  <si>
    <t>Public fire</t>
  </si>
  <si>
    <t>private Fire</t>
  </si>
  <si>
    <t>Uncollectible</t>
  </si>
  <si>
    <t>Accounts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</si>
</sst>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0.0%"/>
    <numFmt numFmtId="180" formatCode="0.000"/>
    <numFmt numFmtId="181" formatCode="_(* #,##0_);_(* \(#,##0\);_(* &quot;-&quot;??_);_(@_)"/>
    <numFmt numFmtId="182" formatCode="_(* #,##0.0_);_(* \(#,##0.0\);_(* &quot;-&quot;??_);_(@_)"/>
    <numFmt numFmtId="183" formatCode="#,##0;[Red]\-#,##0"/>
    <numFmt numFmtId="184" formatCode="_(&quot;$&quot;* #,##0_);_(&quot;$&quot;* \(#,##0\);_(&quot;$&quot;* &quot;-&quot;??_);_(@_)"/>
    <numFmt numFmtId="185" formatCode="_(&quot;$&quot;* #,##0.0_);_(&quot;$&quot;* \(#,##0.0\);_(&quot;$&quot;* &quot;-&quot;??_);_(@_)"/>
    <numFmt numFmtId="186" formatCode="0.0000000"/>
    <numFmt numFmtId="187" formatCode="_(* #,##0.000_);_(* \(#,##0.000\);_(* &quot;-&quot;??_);_(@_)"/>
    <numFmt numFmtId="188" formatCode="_(&quot;$&quot;* #,##0.0_);_(&quot;$&quot;* \(#,##0.0\);_(&quot;$&quot;* &quot;-&quot;_);_(@_)"/>
    <numFmt numFmtId="189" formatCode="_(&quot;$&quot;* #,##0.00_);_(&quot;$&quot;* \(#,##0.00\);_(&quot;$&quot;* &quot;-&quot;_);_(@_)"/>
    <numFmt numFmtId="190" formatCode="_(* #,##0.0000_);_(* \(#,##0.0000\);_(* &quot;-&quot;??_);_(@_)"/>
    <numFmt numFmtId="191" formatCode="_(* #,##0.000000_);_(* \(#,##0.000000\);_(* &quot;-&quot;??????_);_(@_)"/>
    <numFmt numFmtId="192" formatCode="00000"/>
    <numFmt numFmtId="193" formatCode="_(* #,##0.00_);_(* \(#,##0.00\);_(* &quot;-&quot;_);_(@_)"/>
    <numFmt numFmtId="194" formatCode="_(* #,##0.0_);_(* \(#,##0.0\);_(* &quot;-&quot;?_);_(@_)"/>
    <numFmt numFmtId="195" formatCode="#,##0.0;[Red]\-#,##0.0"/>
    <numFmt numFmtId="196" formatCode="#,##0.00;[Red]\-#,##0.00"/>
    <numFmt numFmtId="197" formatCode="_(&quot;$&quot;* #,##0.000_);_(&quot;$&quot;* \(#,##0.000\);_(&quot;$&quot;* &quot;-&quot;??_);_(@_)"/>
    <numFmt numFmtId="198" formatCode="_(* #,##0.00000_);_(* \(#,##0.00000\);_(* &quot;-&quot;??_);_(@_)"/>
    <numFmt numFmtId="199" formatCode="_(&quot;$&quot;* #,##0.0000_);_(&quot;$&quot;* \(#,##0.0000\);_(&quot;$&quot;* &quot;-&quot;??_);_(@_)"/>
    <numFmt numFmtId="200" formatCode="_(&quot;$&quot;* #,##0.00000_);_(&quot;$&quot;* \(#,##0.00000\);_(&quot;$&quot;* &quot;-&quot;??_);_(@_)"/>
    <numFmt numFmtId="201" formatCode="#,##0.000000"/>
    <numFmt numFmtId="202" formatCode="_(* #,##0.00000_);_(* \(#,##0.00000\);_(* &quot;-&quot;?????_);_(@_)"/>
    <numFmt numFmtId="203" formatCode="_(&quot;$&quot;* #,##0.000000_);_(&quot;$&quot;* \(#,##0.000000\);_(&quot;$&quot;* &quot;-&quot;??_);_(@_)"/>
    <numFmt numFmtId="204" formatCode="_(* #,##0.000_);_(* \(#,##0.000\);_(* &quot;-&quot;???_);_(@_)"/>
    <numFmt numFmtId="205" formatCode="#,##0.0000000_);\(#,##0.0000000\)"/>
    <numFmt numFmtId="206" formatCode="#,##0.000000_);\(#,##0.000000\)"/>
    <numFmt numFmtId="207" formatCode="#,##0.00000_);\(#,##0.00000\)"/>
  </numFmts>
  <fonts count="23">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2"/>
      <name val="Arial"/>
      <family val="0"/>
    </font>
    <font>
      <sz val="12"/>
      <color indexed="8"/>
      <name val="Arial"/>
      <family val="0"/>
    </font>
    <font>
      <sz val="10"/>
      <color indexed="10"/>
      <name val="Arial"/>
      <family val="0"/>
    </font>
    <font>
      <u val="single"/>
      <sz val="10"/>
      <name val="Arial"/>
      <family val="2"/>
    </font>
    <font>
      <sz val="9"/>
      <name val="Arial"/>
      <family val="2"/>
    </font>
    <font>
      <sz val="8"/>
      <name val="Arial"/>
      <family val="0"/>
    </font>
    <font>
      <sz val="11"/>
      <name val="Arial"/>
      <family val="0"/>
    </font>
    <font>
      <u val="single"/>
      <sz val="10.2"/>
      <color indexed="12"/>
      <name val="Arial"/>
      <family val="0"/>
    </font>
    <font>
      <u val="single"/>
      <sz val="10.2"/>
      <color indexed="36"/>
      <name val="Arial"/>
      <family val="0"/>
    </font>
    <font>
      <b/>
      <sz val="10"/>
      <color indexed="10"/>
      <name val="Arial"/>
      <family val="0"/>
    </font>
    <font>
      <u val="single"/>
      <sz val="12"/>
      <name val="Arial"/>
      <family val="2"/>
    </font>
    <font>
      <sz val="10"/>
      <color indexed="17"/>
      <name val="Arial"/>
      <family val="0"/>
    </font>
    <font>
      <sz val="12"/>
      <color indexed="10"/>
      <name val="Arial"/>
      <family val="0"/>
    </font>
    <font>
      <b/>
      <sz val="12"/>
      <color indexed="10"/>
      <name val="Arial"/>
      <family val="0"/>
    </font>
    <font>
      <sz val="10"/>
      <color indexed="20"/>
      <name val="Arial"/>
      <family val="2"/>
    </font>
    <font>
      <b/>
      <u val="single"/>
      <sz val="10"/>
      <name val="Arial"/>
      <family val="0"/>
    </font>
    <font>
      <u val="singleAccounting"/>
      <sz val="10"/>
      <name val="Arial"/>
      <family val="0"/>
    </font>
  </fonts>
  <fills count="2">
    <fill>
      <patternFill/>
    </fill>
    <fill>
      <patternFill patternType="gray125"/>
    </fill>
  </fills>
  <borders count="7">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thin"/>
      <bottom>
        <color indexed="63"/>
      </bottom>
    </border>
  </borders>
  <cellStyleXfs count="30">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12"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lignment/>
      <protection/>
    </xf>
    <xf numFmtId="0" fontId="0" fillId="0" borderId="0">
      <alignment/>
      <protection/>
    </xf>
    <xf numFmtId="9" fontId="4" fillId="0" borderId="0" applyFont="0" applyFill="0" applyBorder="0" applyAlignment="0" applyProtection="0"/>
  </cellStyleXfs>
  <cellXfs count="610">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5" fillId="0" borderId="0" xfId="0" applyFont="1" applyAlignment="1">
      <alignment/>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2" xfId="0" applyNumberFormat="1" applyFont="1" applyAlignment="1">
      <alignment/>
    </xf>
    <xf numFmtId="165" fontId="4" fillId="0" borderId="2" xfId="0" applyNumberFormat="1" applyFont="1" applyAlignment="1">
      <alignment/>
    </xf>
    <xf numFmtId="3" fontId="4" fillId="0" borderId="0" xfId="0" applyNumberFormat="1" applyFont="1" applyAlignment="1">
      <alignment/>
    </xf>
    <xf numFmtId="0" fontId="4" fillId="0" borderId="1" xfId="0" applyNumberFormat="1" applyFont="1" applyAlignment="1">
      <alignment horizontal="center"/>
    </xf>
    <xf numFmtId="0" fontId="4" fillId="0" borderId="0" xfId="0" applyNumberFormat="1" applyFont="1" applyAlignment="1">
      <alignment horizontal="center"/>
    </xf>
    <xf numFmtId="0" fontId="4" fillId="0" borderId="1" xfId="0" applyNumberFormat="1" applyFont="1" applyAlignment="1">
      <alignment/>
    </xf>
    <xf numFmtId="165" fontId="4" fillId="0" borderId="0" xfId="0" applyNumberFormat="1" applyFont="1" applyAlignment="1">
      <alignment/>
    </xf>
    <xf numFmtId="0" fontId="0" fillId="0" borderId="2" xfId="0" applyNumberFormat="1" applyAlignment="1">
      <alignment/>
    </xf>
    <xf numFmtId="0" fontId="0" fillId="0" borderId="0" xfId="0" applyNumberFormat="1" applyAlignment="1">
      <alignment/>
    </xf>
    <xf numFmtId="0" fontId="0" fillId="0" borderId="0" xfId="22" applyNumberFormat="1" applyFont="1" applyAlignment="1">
      <alignment horizontal="centerContinuous"/>
      <protection/>
    </xf>
    <xf numFmtId="0" fontId="4" fillId="0" borderId="0" xfId="22" applyNumberFormat="1" applyFont="1" applyAlignment="1">
      <alignment horizontal="centerContinuous"/>
      <protection/>
    </xf>
    <xf numFmtId="0" fontId="0" fillId="0" borderId="0" xfId="22" applyAlignment="1">
      <alignment/>
      <protection/>
    </xf>
    <xf numFmtId="0" fontId="4" fillId="0" borderId="0" xfId="22" applyNumberFormat="1" applyFont="1" applyAlignment="1">
      <alignment/>
      <protection/>
    </xf>
    <xf numFmtId="0" fontId="4" fillId="0" borderId="0" xfId="22" applyNumberFormat="1" applyFont="1" applyAlignment="1">
      <alignment horizontal="center"/>
      <protection/>
    </xf>
    <xf numFmtId="0" fontId="4" fillId="0" borderId="1" xfId="22" applyNumberFormat="1" applyFont="1" applyAlignment="1">
      <alignment horizontal="center"/>
      <protection/>
    </xf>
    <xf numFmtId="0" fontId="0" fillId="0" borderId="1" xfId="22" applyNumberFormat="1" applyFont="1" applyAlignment="1">
      <alignment horizontal="center"/>
      <protection/>
    </xf>
    <xf numFmtId="0" fontId="0" fillId="0" borderId="0" xfId="22" applyNumberFormat="1" applyFont="1" applyAlignment="1">
      <alignment horizontal="center"/>
      <protection/>
    </xf>
    <xf numFmtId="0" fontId="4" fillId="0" borderId="1" xfId="22" applyNumberFormat="1" applyFont="1" applyAlignment="1">
      <alignment horizontal="centerContinuous"/>
      <protection/>
    </xf>
    <xf numFmtId="2" fontId="4" fillId="0" borderId="0" xfId="22" applyNumberFormat="1" applyFont="1" applyAlignment="1">
      <alignment/>
      <protection/>
    </xf>
    <xf numFmtId="164" fontId="5" fillId="0" borderId="0" xfId="22" applyNumberFormat="1" applyFont="1" applyAlignment="1">
      <alignment/>
      <protection/>
    </xf>
    <xf numFmtId="164" fontId="4" fillId="0" borderId="0" xfId="22" applyNumberFormat="1" applyFont="1" applyAlignment="1">
      <alignment/>
      <protection/>
    </xf>
    <xf numFmtId="167" fontId="4" fillId="0" borderId="0" xfId="22" applyNumberFormat="1" applyFont="1" applyAlignment="1">
      <alignment/>
      <protection/>
    </xf>
    <xf numFmtId="164" fontId="4" fillId="0" borderId="1" xfId="22" applyNumberFormat="1" applyFont="1" applyAlignment="1">
      <alignment/>
      <protection/>
    </xf>
    <xf numFmtId="3" fontId="4" fillId="0" borderId="2" xfId="22" applyNumberFormat="1" applyFont="1" applyAlignment="1">
      <alignment/>
      <protection/>
    </xf>
    <xf numFmtId="164" fontId="4" fillId="0" borderId="2" xfId="22" applyNumberFormat="1" applyFont="1" applyAlignment="1">
      <alignment/>
      <protection/>
    </xf>
    <xf numFmtId="3" fontId="4" fillId="0" borderId="0" xfId="22" applyNumberFormat="1" applyFont="1" applyAlignment="1">
      <alignment/>
      <protection/>
    </xf>
    <xf numFmtId="0" fontId="4" fillId="0" borderId="1" xfId="22" applyNumberFormat="1" applyFont="1" applyAlignment="1">
      <alignment/>
      <protection/>
    </xf>
    <xf numFmtId="2" fontId="4" fillId="0" borderId="1" xfId="22" applyNumberFormat="1" applyFont="1" applyAlignment="1">
      <alignment/>
      <protection/>
    </xf>
    <xf numFmtId="0" fontId="4" fillId="0" borderId="2" xfId="22" applyNumberFormat="1" applyFont="1" applyAlignment="1">
      <alignment/>
      <protection/>
    </xf>
    <xf numFmtId="0" fontId="0" fillId="0" borderId="0" xfId="0" applyNumberFormat="1" applyFont="1" applyAlignment="1">
      <alignment horizontal="centerContinuous"/>
    </xf>
    <xf numFmtId="0" fontId="0" fillId="0" borderId="0" xfId="0" applyNumberFormat="1" applyFont="1" applyAlignment="1">
      <alignment/>
    </xf>
    <xf numFmtId="168" fontId="4" fillId="0" borderId="0" xfId="0" applyNumberFormat="1" applyFont="1" applyAlignment="1">
      <alignment/>
    </xf>
    <xf numFmtId="168" fontId="4" fillId="0" borderId="1" xfId="0" applyNumberFormat="1" applyFont="1" applyAlignment="1">
      <alignment/>
    </xf>
    <xf numFmtId="168" fontId="4" fillId="0" borderId="2" xfId="0" applyNumberFormat="1" applyFont="1" applyAlignment="1">
      <alignment/>
    </xf>
    <xf numFmtId="0" fontId="4" fillId="0" borderId="0" xfId="0" applyNumberFormat="1" applyFont="1" applyAlignment="1">
      <alignment horizontal="right"/>
    </xf>
    <xf numFmtId="164" fontId="4" fillId="0" borderId="1" xfId="0" applyFont="1" applyAlignment="1">
      <alignment/>
    </xf>
    <xf numFmtId="164" fontId="4" fillId="0" borderId="2" xfId="0" applyFont="1" applyAlignment="1">
      <alignment/>
    </xf>
    <xf numFmtId="0" fontId="0" fillId="0" borderId="0" xfId="23" applyNumberFormat="1" applyFont="1" applyAlignment="1">
      <alignment horizontal="centerContinuous"/>
      <protection/>
    </xf>
    <xf numFmtId="0" fontId="4" fillId="0" borderId="0" xfId="23" applyNumberFormat="1" applyFont="1" applyAlignment="1">
      <alignment horizontal="centerContinuous"/>
      <protection/>
    </xf>
    <xf numFmtId="0" fontId="4" fillId="0" borderId="0" xfId="23" applyFont="1" applyAlignment="1">
      <alignment/>
      <protection/>
    </xf>
    <xf numFmtId="0" fontId="4" fillId="0" borderId="0" xfId="23" applyNumberFormat="1" applyFont="1" applyAlignment="1">
      <alignment/>
      <protection/>
    </xf>
    <xf numFmtId="0" fontId="4" fillId="0" borderId="0" xfId="23" applyNumberFormat="1" applyFont="1" applyAlignment="1">
      <alignment horizontal="center"/>
      <protection/>
    </xf>
    <xf numFmtId="0" fontId="4" fillId="0" borderId="1" xfId="23" applyNumberFormat="1" applyFont="1" applyAlignment="1">
      <alignment/>
      <protection/>
    </xf>
    <xf numFmtId="2" fontId="4" fillId="0" borderId="0" xfId="23" applyNumberFormat="1" applyFont="1" applyAlignment="1">
      <alignment/>
      <protection/>
    </xf>
    <xf numFmtId="3" fontId="4" fillId="0" borderId="0" xfId="23" applyNumberFormat="1" applyFont="1" applyAlignment="1">
      <alignment/>
      <protection/>
    </xf>
    <xf numFmtId="164" fontId="4" fillId="0" borderId="0" xfId="23" applyNumberFormat="1" applyFont="1" applyAlignment="1">
      <alignment/>
      <protection/>
    </xf>
    <xf numFmtId="2" fontId="4" fillId="0" borderId="1" xfId="23" applyNumberFormat="1" applyFont="1" applyAlignment="1">
      <alignment/>
      <protection/>
    </xf>
    <xf numFmtId="3" fontId="4" fillId="0" borderId="1" xfId="23" applyNumberFormat="1" applyFont="1" applyAlignment="1">
      <alignment/>
      <protection/>
    </xf>
    <xf numFmtId="164" fontId="4" fillId="0" borderId="1" xfId="23" applyNumberFormat="1" applyFont="1" applyAlignment="1">
      <alignment/>
      <protection/>
    </xf>
    <xf numFmtId="0" fontId="4" fillId="0" borderId="2" xfId="23" applyNumberFormat="1" applyFont="1" applyAlignment="1">
      <alignment/>
      <protection/>
    </xf>
    <xf numFmtId="165" fontId="4" fillId="0" borderId="0" xfId="23" applyNumberFormat="1" applyFont="1" applyAlignment="1">
      <alignment/>
      <protection/>
    </xf>
    <xf numFmtId="164" fontId="4" fillId="0" borderId="2" xfId="23" applyNumberFormat="1" applyFont="1" applyAlignment="1">
      <alignment/>
      <protection/>
    </xf>
    <xf numFmtId="0" fontId="4" fillId="0" borderId="1" xfId="23" applyNumberFormat="1" applyFont="1" applyAlignment="1">
      <alignment horizontal="center"/>
      <protection/>
    </xf>
    <xf numFmtId="0" fontId="4" fillId="0" borderId="1" xfId="23" applyNumberFormat="1" applyFont="1" applyAlignment="1">
      <alignment horizontal="centerContinuous"/>
      <protection/>
    </xf>
    <xf numFmtId="165" fontId="4" fillId="0" borderId="1" xfId="23" applyNumberFormat="1" applyFont="1" applyAlignment="1">
      <alignment/>
      <protection/>
    </xf>
    <xf numFmtId="165" fontId="4" fillId="0" borderId="2" xfId="23" applyNumberFormat="1" applyFont="1" applyAlignment="1">
      <alignment/>
      <protection/>
    </xf>
    <xf numFmtId="0" fontId="0" fillId="0" borderId="0" xfId="19" applyNumberFormat="1" applyFont="1" applyAlignment="1">
      <alignment horizontal="centerContinuous"/>
      <protection/>
    </xf>
    <xf numFmtId="0" fontId="4" fillId="0" borderId="0" xfId="19" applyNumberFormat="1" applyFont="1" applyAlignment="1">
      <alignment horizontal="centerContinuous"/>
      <protection/>
    </xf>
    <xf numFmtId="0" fontId="4" fillId="0" borderId="0" xfId="19" applyNumberFormat="1" applyFont="1" applyAlignment="1">
      <alignment/>
      <protection/>
    </xf>
    <xf numFmtId="0" fontId="0" fillId="0" borderId="0" xfId="19" applyAlignment="1">
      <alignment/>
      <protection/>
    </xf>
    <xf numFmtId="0" fontId="4" fillId="0" borderId="1" xfId="19" applyNumberFormat="1" applyFont="1" applyAlignment="1">
      <alignment horizontal="center"/>
      <protection/>
    </xf>
    <xf numFmtId="0" fontId="4" fillId="0" borderId="0" xfId="19" applyNumberFormat="1" applyFont="1" applyAlignment="1">
      <alignment horizontal="center"/>
      <protection/>
    </xf>
    <xf numFmtId="0" fontId="4" fillId="0" borderId="1" xfId="19" applyNumberFormat="1" applyFont="1" applyAlignment="1">
      <alignment horizontal="centerContinuous"/>
      <protection/>
    </xf>
    <xf numFmtId="0" fontId="4" fillId="0" borderId="1" xfId="19" applyNumberFormat="1" applyFont="1" applyAlignment="1">
      <alignment/>
      <protection/>
    </xf>
    <xf numFmtId="164" fontId="4" fillId="0" borderId="0" xfId="19" applyNumberFormat="1" applyFont="1" applyAlignment="1">
      <alignment/>
      <protection/>
    </xf>
    <xf numFmtId="164" fontId="5" fillId="0" borderId="0" xfId="19" applyNumberFormat="1" applyFont="1" applyAlignment="1">
      <alignment/>
      <protection/>
    </xf>
    <xf numFmtId="164" fontId="5" fillId="0" borderId="0" xfId="19" applyNumberFormat="1" applyFont="1" applyAlignment="1">
      <alignment/>
      <protection locked="0"/>
    </xf>
    <xf numFmtId="164" fontId="4" fillId="0" borderId="1" xfId="19" applyNumberFormat="1" applyFont="1" applyAlignment="1">
      <alignment/>
      <protection/>
    </xf>
    <xf numFmtId="164" fontId="4" fillId="0" borderId="2" xfId="19" applyNumberFormat="1" applyFont="1" applyAlignment="1">
      <alignment/>
      <protection/>
    </xf>
    <xf numFmtId="0" fontId="0" fillId="0" borderId="0" xfId="19" applyNumberFormat="1" applyFont="1" applyAlignment="1">
      <alignment/>
      <protection/>
    </xf>
    <xf numFmtId="0" fontId="4" fillId="0" borderId="0" xfId="24" applyNumberFormat="1" applyFont="1" applyAlignment="1">
      <alignment horizontal="centerContinuous"/>
      <protection/>
    </xf>
    <xf numFmtId="0" fontId="4" fillId="0" borderId="0" xfId="24" applyNumberFormat="1" applyFont="1" applyAlignment="1">
      <alignment/>
      <protection/>
    </xf>
    <xf numFmtId="0" fontId="4" fillId="0" borderId="0" xfId="24" applyNumberFormat="1" applyFont="1" applyAlignment="1">
      <alignment horizontal="center"/>
      <protection/>
    </xf>
    <xf numFmtId="164" fontId="4" fillId="0" borderId="0" xfId="24" applyNumberFormat="1" applyFont="1" applyAlignment="1">
      <alignment/>
      <protection/>
    </xf>
    <xf numFmtId="164" fontId="4" fillId="0" borderId="0" xfId="24" applyNumberFormat="1" applyFont="1" applyAlignment="1">
      <alignment horizontal="center"/>
      <protection/>
    </xf>
    <xf numFmtId="0" fontId="4" fillId="0" borderId="1" xfId="24" applyNumberFormat="1" applyFont="1" applyAlignment="1">
      <alignment/>
      <protection/>
    </xf>
    <xf numFmtId="2" fontId="4" fillId="0" borderId="0" xfId="24" applyNumberFormat="1" applyFont="1" applyAlignment="1">
      <alignment/>
      <protection/>
    </xf>
    <xf numFmtId="2" fontId="4" fillId="0" borderId="1" xfId="24" applyNumberFormat="1" applyFont="1" applyAlignment="1">
      <alignment/>
      <protection/>
    </xf>
    <xf numFmtId="0" fontId="4" fillId="0" borderId="2" xfId="24" applyNumberFormat="1" applyFont="1" applyAlignment="1">
      <alignment/>
      <protection/>
    </xf>
    <xf numFmtId="0" fontId="0" fillId="0" borderId="0" xfId="20" applyNumberFormat="1" applyFont="1" applyAlignment="1">
      <alignment horizontal="centerContinuous"/>
      <protection/>
    </xf>
    <xf numFmtId="0" fontId="4" fillId="0" borderId="0" xfId="20" applyNumberFormat="1" applyFont="1" applyAlignment="1">
      <alignment horizontal="centerContinuous"/>
      <protection/>
    </xf>
    <xf numFmtId="0" fontId="4" fillId="0" borderId="0" xfId="20" applyNumberFormat="1" applyFont="1" applyAlignment="1">
      <alignment/>
      <protection/>
    </xf>
    <xf numFmtId="0" fontId="4" fillId="0" borderId="1" xfId="20" applyNumberFormat="1" applyFont="1" applyAlignment="1">
      <alignment horizontal="center"/>
      <protection/>
    </xf>
    <xf numFmtId="0" fontId="4" fillId="0" borderId="0" xfId="20" applyNumberFormat="1" applyFont="1" applyAlignment="1">
      <alignment horizontal="center"/>
      <protection/>
    </xf>
    <xf numFmtId="0" fontId="4" fillId="0" borderId="1" xfId="20" applyNumberFormat="1" applyFont="1" applyAlignment="1">
      <alignment horizontal="centerContinuous"/>
      <protection/>
    </xf>
    <xf numFmtId="0" fontId="4" fillId="0" borderId="1" xfId="20" applyNumberFormat="1" applyFont="1" applyAlignment="1">
      <alignment horizontal="left"/>
      <protection/>
    </xf>
    <xf numFmtId="168" fontId="4" fillId="0" borderId="0" xfId="20" applyNumberFormat="1" applyFont="1" applyAlignment="1">
      <alignment/>
      <protection/>
    </xf>
    <xf numFmtId="0" fontId="4" fillId="0" borderId="0" xfId="20" applyNumberFormat="1" applyFont="1" applyAlignment="1">
      <alignment horizontal="right"/>
      <protection/>
    </xf>
    <xf numFmtId="168" fontId="4" fillId="0" borderId="1" xfId="20" applyNumberFormat="1" applyFont="1" applyAlignment="1">
      <alignment/>
      <protection/>
    </xf>
    <xf numFmtId="0" fontId="4" fillId="0" borderId="2" xfId="20" applyNumberFormat="1" applyFont="1" applyAlignment="1">
      <alignment/>
      <protection/>
    </xf>
    <xf numFmtId="0" fontId="4" fillId="0" borderId="1" xfId="20" applyNumberFormat="1" applyFont="1" applyAlignment="1">
      <alignment/>
      <protection/>
    </xf>
    <xf numFmtId="0" fontId="0" fillId="0" borderId="1" xfId="20" applyNumberFormat="1" applyFont="1" applyAlignment="1">
      <alignment horizontal="centerContinuous"/>
      <protection/>
    </xf>
    <xf numFmtId="0" fontId="0" fillId="0" borderId="0" xfId="21" applyNumberFormat="1" applyFont="1" applyAlignment="1">
      <alignment horizontal="centerContinuous"/>
      <protection/>
    </xf>
    <xf numFmtId="0" fontId="4" fillId="0" borderId="0" xfId="21" applyNumberFormat="1" applyFont="1" applyAlignment="1">
      <alignment horizontal="centerContinuous"/>
      <protection/>
    </xf>
    <xf numFmtId="0" fontId="0" fillId="0" borderId="0" xfId="21" applyAlignment="1">
      <alignment/>
      <protection/>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Continuous"/>
      <protection/>
    </xf>
    <xf numFmtId="0" fontId="0" fillId="0" borderId="1" xfId="21" applyNumberFormat="1" applyFont="1" applyAlignment="1">
      <alignment horizontal="centerContinuous"/>
      <protection/>
    </xf>
    <xf numFmtId="0" fontId="4" fillId="0" borderId="1" xfId="21" applyNumberFormat="1" applyFont="1" applyAlignment="1">
      <alignment horizontal="center"/>
      <protection/>
    </xf>
    <xf numFmtId="0" fontId="5" fillId="0" borderId="0" xfId="21" applyNumberFormat="1" applyFont="1" applyAlignment="1">
      <alignment/>
      <protection/>
    </xf>
    <xf numFmtId="3" fontId="4" fillId="0" borderId="0" xfId="21" applyNumberFormat="1" applyFont="1" applyAlignment="1">
      <alignment/>
      <protection/>
    </xf>
    <xf numFmtId="164" fontId="4" fillId="0" borderId="0" xfId="21" applyNumberFormat="1" applyFont="1" applyAlignment="1">
      <alignment/>
      <protection/>
    </xf>
    <xf numFmtId="3" fontId="4" fillId="0" borderId="1" xfId="21" applyNumberFormat="1" applyFont="1" applyAlignment="1">
      <alignment/>
      <protection/>
    </xf>
    <xf numFmtId="164" fontId="4" fillId="0" borderId="1" xfId="21" applyNumberFormat="1" applyFont="1" applyAlignment="1">
      <alignment/>
      <protection/>
    </xf>
    <xf numFmtId="0" fontId="4" fillId="0" borderId="2" xfId="21" applyNumberFormat="1" applyFont="1" applyAlignment="1">
      <alignment/>
      <protection/>
    </xf>
    <xf numFmtId="164" fontId="5" fillId="0" borderId="0" xfId="21" applyNumberFormat="1" applyFont="1" applyAlignment="1">
      <alignment/>
      <protection/>
    </xf>
    <xf numFmtId="165" fontId="4" fillId="0" borderId="1" xfId="21" applyNumberFormat="1" applyFont="1" applyAlignment="1">
      <alignment/>
      <protection/>
    </xf>
    <xf numFmtId="3" fontId="4" fillId="0" borderId="2" xfId="21" applyNumberFormat="1" applyFont="1" applyAlignment="1">
      <alignment/>
      <protection/>
    </xf>
    <xf numFmtId="165" fontId="4" fillId="0" borderId="0" xfId="21" applyNumberFormat="1" applyFont="1" applyAlignment="1">
      <alignment/>
      <protection/>
    </xf>
    <xf numFmtId="165" fontId="4" fillId="0" borderId="2" xfId="21" applyNumberFormat="1" applyFont="1" applyAlignment="1">
      <alignment/>
      <protection/>
    </xf>
    <xf numFmtId="0" fontId="0" fillId="0" borderId="0" xfId="21">
      <alignment/>
      <protection/>
    </xf>
    <xf numFmtId="3" fontId="4" fillId="0" borderId="0" xfId="21" applyNumberFormat="1" applyFont="1" applyAlignment="1">
      <alignment horizontal="center"/>
      <protection/>
    </xf>
    <xf numFmtId="4" fontId="4" fillId="0" borderId="0" xfId="21" applyNumberFormat="1" applyFont="1" applyAlignment="1">
      <alignment/>
      <protection/>
    </xf>
    <xf numFmtId="10" fontId="4" fillId="0" borderId="0" xfId="21" applyNumberFormat="1" applyFont="1" applyAlignment="1">
      <alignment/>
      <protection/>
    </xf>
    <xf numFmtId="10" fontId="4" fillId="0" borderId="0" xfId="21" applyNumberFormat="1" applyFont="1" applyAlignment="1">
      <alignment/>
      <protection locked="0"/>
    </xf>
    <xf numFmtId="0" fontId="0" fillId="0" borderId="0" xfId="21" applyNumberFormat="1" applyFont="1" applyAlignment="1">
      <alignment/>
      <protection/>
    </xf>
    <xf numFmtId="3" fontId="4" fillId="0" borderId="1" xfId="21" applyNumberFormat="1" applyFont="1" applyAlignment="1">
      <alignment horizontal="center"/>
      <protection/>
    </xf>
    <xf numFmtId="0" fontId="0" fillId="0" borderId="0" xfId="21" applyNumberFormat="1">
      <alignment/>
      <protection locked="0"/>
    </xf>
    <xf numFmtId="0" fontId="4" fillId="0" borderId="1" xfId="21" applyNumberFormat="1" applyFont="1" applyAlignment="1">
      <alignment/>
      <protection/>
    </xf>
    <xf numFmtId="0" fontId="0" fillId="0" borderId="0" xfId="0" applyNumberFormat="1" applyFont="1" applyAlignment="1">
      <alignment horizontal="centerContinuous" vertical="top" wrapText="1"/>
    </xf>
    <xf numFmtId="3" fontId="4" fillId="0" borderId="0" xfId="0" applyNumberFormat="1" applyFont="1" applyAlignment="1">
      <alignment horizontal="center"/>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Alignment="1">
      <alignment/>
    </xf>
    <xf numFmtId="0" fontId="4" fillId="0" borderId="0" xfId="0" applyNumberFormat="1" applyFont="1" applyAlignment="1">
      <alignment horizontal="left"/>
    </xf>
    <xf numFmtId="0" fontId="0" fillId="0" borderId="1" xfId="0" applyNumberFormat="1" applyFont="1" applyAlignment="1">
      <alignment horizontal="centerContinuous"/>
    </xf>
    <xf numFmtId="164" fontId="4" fillId="0" borderId="0" xfId="0" applyNumberFormat="1" applyFont="1" applyAlignment="1">
      <alignment/>
    </xf>
    <xf numFmtId="0" fontId="8" fillId="0" borderId="0" xfId="0" applyNumberFormat="1" applyFont="1" applyAlignment="1">
      <alignment/>
    </xf>
    <xf numFmtId="0" fontId="4" fillId="0" borderId="0" xfId="0" applyNumberFormat="1" applyFont="1" applyAlignment="1">
      <alignment/>
    </xf>
    <xf numFmtId="3" fontId="4" fillId="0" borderId="1" xfId="0" applyNumberFormat="1" applyFont="1" applyAlignment="1" quotePrefix="1">
      <alignment horizontal="center"/>
    </xf>
    <xf numFmtId="0" fontId="4" fillId="0" borderId="0" xfId="0" applyNumberFormat="1" applyFont="1" applyAlignment="1">
      <alignment horizontal="center"/>
    </xf>
    <xf numFmtId="164" fontId="10" fillId="0" borderId="0" xfId="0" applyFont="1" applyAlignment="1">
      <alignment/>
    </xf>
    <xf numFmtId="164" fontId="4" fillId="0" borderId="0" xfId="0" applyFont="1" applyAlignment="1">
      <alignment/>
    </xf>
    <xf numFmtId="0" fontId="10"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10"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10"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Border="1" applyAlignment="1">
      <alignment/>
    </xf>
    <xf numFmtId="0" fontId="4" fillId="0" borderId="0" xfId="0" applyNumberFormat="1" applyFont="1" applyBorder="1" applyAlignment="1">
      <alignment/>
    </xf>
    <xf numFmtId="37" fontId="4" fillId="0" borderId="0" xfId="0" applyNumberFormat="1" applyFont="1" applyAlignment="1">
      <alignment horizontal="center"/>
    </xf>
    <xf numFmtId="165" fontId="4" fillId="0" borderId="0" xfId="0" applyNumberFormat="1" applyFont="1" applyBorder="1" applyAlignment="1">
      <alignment/>
    </xf>
    <xf numFmtId="164" fontId="4" fillId="0" borderId="4" xfId="0" applyFont="1" applyBorder="1" applyAlignment="1">
      <alignment/>
    </xf>
    <xf numFmtId="3" fontId="4" fillId="0" borderId="4" xfId="0" applyNumberFormat="1" applyFont="1" applyBorder="1" applyAlignment="1">
      <alignment/>
    </xf>
    <xf numFmtId="164" fontId="4" fillId="0" borderId="4" xfId="0" applyNumberFormat="1" applyFont="1" applyBorder="1" applyAlignment="1">
      <alignment/>
    </xf>
    <xf numFmtId="0" fontId="4" fillId="0" borderId="0" xfId="0" applyNumberFormat="1" applyFont="1" applyAlignment="1">
      <alignment horizontal="right"/>
    </xf>
    <xf numFmtId="3" fontId="4" fillId="0" borderId="0" xfId="0" applyNumberFormat="1" applyFont="1" applyBorder="1" applyAlignment="1">
      <alignment/>
    </xf>
    <xf numFmtId="164" fontId="4" fillId="0" borderId="0" xfId="0" applyNumberFormat="1" applyFont="1" applyAlignment="1">
      <alignment horizontal="right"/>
    </xf>
    <xf numFmtId="37" fontId="4" fillId="0" borderId="0" xfId="0" applyNumberFormat="1" applyFont="1" applyAlignment="1">
      <alignment horizontal="right"/>
    </xf>
    <xf numFmtId="37" fontId="4" fillId="0" borderId="1" xfId="0" applyNumberFormat="1" applyFont="1" applyAlignment="1">
      <alignment/>
    </xf>
    <xf numFmtId="37" fontId="4" fillId="0" borderId="0" xfId="22" applyNumberFormat="1" applyFont="1" applyAlignment="1">
      <alignment/>
      <protection/>
    </xf>
    <xf numFmtId="37" fontId="4" fillId="0" borderId="1" xfId="22" applyNumberFormat="1" applyFont="1" applyAlignment="1">
      <alignment/>
      <protection/>
    </xf>
    <xf numFmtId="164" fontId="4" fillId="0" borderId="0" xfId="0" applyFont="1" applyBorder="1" applyAlignment="1">
      <alignment/>
    </xf>
    <xf numFmtId="164" fontId="4" fillId="0" borderId="0" xfId="0" applyFont="1" applyAlignment="1">
      <alignment/>
    </xf>
    <xf numFmtId="37" fontId="4" fillId="0" borderId="1" xfId="23" applyNumberFormat="1" applyFont="1" applyAlignment="1">
      <alignment/>
      <protection/>
    </xf>
    <xf numFmtId="0" fontId="4" fillId="0" borderId="0" xfId="23" applyNumberFormat="1" applyFont="1" applyBorder="1" applyAlignment="1">
      <alignment/>
      <protection/>
    </xf>
    <xf numFmtId="164" fontId="4" fillId="0" borderId="4" xfId="23" applyNumberFormat="1" applyFont="1" applyBorder="1" applyAlignment="1">
      <alignment/>
      <protection/>
    </xf>
    <xf numFmtId="167" fontId="4" fillId="0" borderId="0" xfId="23" applyNumberFormat="1" applyFont="1" applyAlignment="1">
      <alignment/>
      <protection/>
    </xf>
    <xf numFmtId="165" fontId="4" fillId="0" borderId="0" xfId="28" applyNumberFormat="1" applyFont="1" applyAlignment="1">
      <alignment/>
      <protection/>
    </xf>
    <xf numFmtId="37" fontId="4" fillId="0" borderId="4" xfId="0" applyNumberFormat="1" applyFont="1" applyBorder="1" applyAlignment="1">
      <alignment/>
    </xf>
    <xf numFmtId="0" fontId="0" fillId="0" borderId="0" xfId="20" applyFont="1" applyAlignment="1">
      <alignment/>
      <protection/>
    </xf>
    <xf numFmtId="0" fontId="4" fillId="0" borderId="0" xfId="20" applyNumberFormat="1" applyFont="1" applyBorder="1" applyAlignment="1">
      <alignment/>
      <protection/>
    </xf>
    <xf numFmtId="168" fontId="4" fillId="0" borderId="4" xfId="20" applyNumberFormat="1" applyFont="1" applyBorder="1" applyAlignment="1">
      <alignment/>
      <protection/>
    </xf>
    <xf numFmtId="165" fontId="4" fillId="0" borderId="0" xfId="21" applyNumberFormat="1" applyFont="1" applyBorder="1" applyAlignment="1">
      <alignment/>
      <protection/>
    </xf>
    <xf numFmtId="164" fontId="4" fillId="0" borderId="4" xfId="21" applyNumberFormat="1" applyFont="1" applyBorder="1" applyAlignment="1">
      <alignment/>
      <protection/>
    </xf>
    <xf numFmtId="0" fontId="0" fillId="0" borderId="0" xfId="0" applyNumberFormat="1" applyBorder="1" applyAlignment="1">
      <alignment/>
    </xf>
    <xf numFmtId="164" fontId="0" fillId="0" borderId="0" xfId="0" applyFont="1" applyAlignment="1">
      <alignment horizontal="center"/>
    </xf>
    <xf numFmtId="172" fontId="4" fillId="0" borderId="0" xfId="0" applyNumberFormat="1" applyFont="1" applyAlignment="1">
      <alignment/>
    </xf>
    <xf numFmtId="172" fontId="4" fillId="0" borderId="0" xfId="23" applyNumberFormat="1" applyFont="1" applyAlignment="1">
      <alignment/>
      <protection/>
    </xf>
    <xf numFmtId="172" fontId="4" fillId="0" borderId="0" xfId="0" applyNumberFormat="1" applyFont="1" applyAlignment="1">
      <alignment/>
    </xf>
    <xf numFmtId="0" fontId="4" fillId="0" borderId="3" xfId="23" applyNumberFormat="1" applyFont="1" applyBorder="1" applyAlignment="1">
      <alignment/>
      <protection/>
    </xf>
    <xf numFmtId="3" fontId="4" fillId="0" borderId="4" xfId="23" applyNumberFormat="1" applyFont="1" applyBorder="1" applyAlignment="1">
      <alignment/>
      <protection/>
    </xf>
    <xf numFmtId="0" fontId="0" fillId="0" borderId="0" xfId="0" applyNumberFormat="1" applyAlignment="1">
      <alignment horizontal="centerContinuous"/>
    </xf>
    <xf numFmtId="0" fontId="4" fillId="0" borderId="0" xfId="28" applyNumberFormat="1" applyFont="1" applyAlignment="1">
      <alignment horizontal="centerContinuous"/>
      <protection/>
    </xf>
    <xf numFmtId="0" fontId="4" fillId="0" borderId="0" xfId="28" applyFont="1" applyAlignment="1">
      <alignment/>
      <protection/>
    </xf>
    <xf numFmtId="0" fontId="4" fillId="0" borderId="0" xfId="28" applyNumberFormat="1" applyFont="1" applyAlignment="1">
      <alignment/>
      <protection/>
    </xf>
    <xf numFmtId="0" fontId="4" fillId="0" borderId="0" xfId="28" applyNumberFormat="1" applyFont="1" applyAlignment="1">
      <alignment horizontal="center"/>
      <protection/>
    </xf>
    <xf numFmtId="0" fontId="4" fillId="0" borderId="1" xfId="28" applyNumberFormat="1" applyFont="1" applyAlignment="1">
      <alignment horizontal="centerContinuous"/>
      <protection/>
    </xf>
    <xf numFmtId="0" fontId="4" fillId="0" borderId="1" xfId="28" applyNumberFormat="1" applyFont="1" applyAlignment="1">
      <alignment horizontal="center"/>
      <protection/>
    </xf>
    <xf numFmtId="0" fontId="9" fillId="0" borderId="0" xfId="28" applyNumberFormat="1" applyFont="1" applyAlignment="1">
      <alignment/>
      <protection/>
    </xf>
    <xf numFmtId="0" fontId="4" fillId="0" borderId="1" xfId="28" applyNumberFormat="1" applyFont="1" applyAlignment="1">
      <alignment/>
      <protection/>
    </xf>
    <xf numFmtId="3" fontId="4" fillId="0" borderId="0" xfId="28" applyNumberFormat="1" applyFont="1" applyAlignment="1">
      <alignment/>
      <protection/>
    </xf>
    <xf numFmtId="0" fontId="4" fillId="0" borderId="1" xfId="28" applyNumberFormat="1" applyFont="1" applyAlignment="1">
      <alignment horizontal="right"/>
      <protection/>
    </xf>
    <xf numFmtId="0" fontId="4" fillId="0" borderId="0" xfId="28" applyNumberFormat="1" applyFont="1" applyAlignment="1">
      <alignment horizontal="right"/>
      <protection/>
    </xf>
    <xf numFmtId="3" fontId="4" fillId="0" borderId="1" xfId="28" applyNumberFormat="1" applyFont="1" applyAlignment="1">
      <alignment/>
      <protection/>
    </xf>
    <xf numFmtId="164" fontId="4" fillId="0" borderId="0" xfId="28" applyNumberFormat="1" applyFont="1" applyAlignment="1">
      <alignment/>
      <protection/>
    </xf>
    <xf numFmtId="0" fontId="4" fillId="0" borderId="3" xfId="28" applyNumberFormat="1" applyFont="1" applyBorder="1" applyAlignment="1">
      <alignment horizontal="center"/>
      <protection/>
    </xf>
    <xf numFmtId="37" fontId="4" fillId="0" borderId="0" xfId="22" applyNumberFormat="1" applyFont="1" applyBorder="1" applyAlignment="1">
      <alignment/>
      <protection/>
    </xf>
    <xf numFmtId="37" fontId="4" fillId="0" borderId="4" xfId="22" applyNumberFormat="1" applyFont="1" applyBorder="1" applyAlignment="1">
      <alignment/>
      <protection/>
    </xf>
    <xf numFmtId="0" fontId="4" fillId="0" borderId="0" xfId="24" applyNumberFormat="1" applyFont="1" applyBorder="1" applyAlignment="1">
      <alignment/>
      <protection/>
    </xf>
    <xf numFmtId="164" fontId="4" fillId="0" borderId="4" xfId="24" applyNumberFormat="1" applyFont="1" applyBorder="1" applyAlignment="1">
      <alignment/>
      <protection/>
    </xf>
    <xf numFmtId="2" fontId="4" fillId="0" borderId="4" xfId="23" applyNumberFormat="1" applyFont="1" applyBorder="1" applyAlignment="1">
      <alignment/>
      <protection/>
    </xf>
    <xf numFmtId="2" fontId="4" fillId="0" borderId="0" xfId="22" applyNumberFormat="1" applyFont="1" applyBorder="1" applyAlignment="1">
      <alignment/>
      <protection/>
    </xf>
    <xf numFmtId="2" fontId="4" fillId="0" borderId="4" xfId="22" applyNumberFormat="1" applyFont="1" applyBorder="1" applyAlignment="1">
      <alignment/>
      <protection/>
    </xf>
    <xf numFmtId="164" fontId="10" fillId="0" borderId="0" xfId="0" applyFont="1" applyBorder="1" applyAlignment="1">
      <alignment/>
    </xf>
    <xf numFmtId="164" fontId="4" fillId="0" borderId="0" xfId="0" applyFont="1" applyBorder="1" applyAlignment="1">
      <alignment/>
    </xf>
    <xf numFmtId="37" fontId="4" fillId="0" borderId="0" xfId="0" applyNumberFormat="1" applyFont="1" applyBorder="1" applyAlignment="1">
      <alignment/>
    </xf>
    <xf numFmtId="42" fontId="4" fillId="0" borderId="0" xfId="0" applyNumberFormat="1" applyFont="1" applyBorder="1" applyAlignment="1">
      <alignment/>
    </xf>
    <xf numFmtId="42" fontId="4" fillId="0" borderId="0" xfId="0" applyNumberFormat="1" applyFont="1" applyAlignment="1">
      <alignment/>
    </xf>
    <xf numFmtId="42" fontId="4" fillId="0" borderId="0" xfId="0" applyNumberFormat="1" applyFont="1" applyAlignment="1">
      <alignment/>
    </xf>
    <xf numFmtId="172" fontId="4" fillId="0" borderId="0" xfId="19" applyNumberFormat="1" applyFont="1" applyAlignment="1">
      <alignment/>
      <protection/>
    </xf>
    <xf numFmtId="172" fontId="4" fillId="0" borderId="1" xfId="19" applyNumberFormat="1" applyFont="1" applyAlignment="1">
      <alignment/>
      <protection/>
    </xf>
    <xf numFmtId="37" fontId="4" fillId="0" borderId="0" xfId="19" applyNumberFormat="1" applyFont="1" applyBorder="1" applyAlignment="1">
      <alignment/>
      <protection/>
    </xf>
    <xf numFmtId="172" fontId="4" fillId="0" borderId="4" xfId="19" applyNumberFormat="1" applyFont="1" applyBorder="1" applyAlignment="1">
      <alignment/>
      <protection/>
    </xf>
    <xf numFmtId="42" fontId="4" fillId="0" borderId="0" xfId="0" applyNumberFormat="1" applyFont="1" applyAlignment="1">
      <alignment/>
    </xf>
    <xf numFmtId="177" fontId="4" fillId="0" borderId="0" xfId="0" applyNumberFormat="1" applyFont="1" applyAlignment="1">
      <alignment/>
    </xf>
    <xf numFmtId="177" fontId="4" fillId="0" borderId="4" xfId="0" applyNumberFormat="1" applyFont="1" applyBorder="1" applyAlignment="1">
      <alignment/>
    </xf>
    <xf numFmtId="3" fontId="4" fillId="0" borderId="4" xfId="28" applyNumberFormat="1" applyFont="1" applyBorder="1" applyAlignment="1">
      <alignment/>
      <protection/>
    </xf>
    <xf numFmtId="168" fontId="4" fillId="0" borderId="4" xfId="28" applyNumberFormat="1" applyFont="1" applyBorder="1" applyAlignment="1">
      <alignment/>
      <protection/>
    </xf>
    <xf numFmtId="0" fontId="0" fillId="0" borderId="0" xfId="28" applyNumberFormat="1" applyFont="1" applyAlignment="1">
      <alignment horizontal="centerContinuous"/>
      <protection/>
    </xf>
    <xf numFmtId="3" fontId="4" fillId="0" borderId="3" xfId="28" applyNumberFormat="1" applyFont="1" applyBorder="1" applyAlignment="1">
      <alignment/>
      <protection/>
    </xf>
    <xf numFmtId="181" fontId="4" fillId="0" borderId="0" xfId="15" applyNumberFormat="1" applyFont="1" applyAlignment="1">
      <alignment/>
    </xf>
    <xf numFmtId="181" fontId="4" fillId="0" borderId="0" xfId="15" applyNumberFormat="1" applyFont="1" applyAlignment="1">
      <alignment/>
    </xf>
    <xf numFmtId="164" fontId="1" fillId="0" borderId="0" xfId="0" applyFont="1" applyAlignment="1">
      <alignment/>
    </xf>
    <xf numFmtId="1" fontId="4" fillId="0" borderId="0" xfId="23" applyNumberFormat="1" applyFont="1" applyAlignment="1">
      <alignment/>
      <protection/>
    </xf>
    <xf numFmtId="0" fontId="0" fillId="0" borderId="0" xfId="23" applyFont="1" applyAlignment="1">
      <alignment/>
      <protection/>
    </xf>
    <xf numFmtId="3" fontId="4" fillId="0" borderId="0" xfId="24" applyNumberFormat="1" applyFont="1" applyAlignment="1">
      <alignment horizontal="left"/>
      <protection/>
    </xf>
    <xf numFmtId="164" fontId="4" fillId="0" borderId="0" xfId="0" applyFont="1" applyAlignment="1">
      <alignment/>
    </xf>
    <xf numFmtId="49" fontId="4" fillId="0" borderId="0" xfId="0" applyNumberFormat="1" applyFont="1" applyBorder="1" applyAlignment="1">
      <alignment horizontal="center"/>
    </xf>
    <xf numFmtId="1" fontId="4" fillId="0" borderId="0" xfId="0" applyNumberFormat="1" applyFont="1" applyBorder="1" applyAlignment="1">
      <alignment horizontal="center"/>
    </xf>
    <xf numFmtId="3" fontId="4" fillId="0" borderId="3" xfId="24" applyNumberFormat="1" applyFont="1" applyBorder="1" applyAlignment="1">
      <alignment/>
      <protection/>
    </xf>
    <xf numFmtId="0" fontId="10" fillId="0" borderId="0" xfId="0" applyNumberFormat="1" applyFont="1" applyAlignment="1">
      <alignment horizontal="right"/>
    </xf>
    <xf numFmtId="170" fontId="4" fillId="0" borderId="0" xfId="0" applyNumberFormat="1" applyFont="1" applyAlignment="1">
      <alignment/>
    </xf>
    <xf numFmtId="0" fontId="8" fillId="0" borderId="0" xfId="0" applyNumberFormat="1" applyFont="1" applyAlignment="1">
      <alignment/>
    </xf>
    <xf numFmtId="172" fontId="15" fillId="0" borderId="0" xfId="0" applyNumberFormat="1" applyFont="1" applyAlignment="1">
      <alignment horizontal="left"/>
    </xf>
    <xf numFmtId="0" fontId="8" fillId="0" borderId="0" xfId="0" applyNumberFormat="1" applyFont="1" applyAlignment="1">
      <alignment horizontal="center"/>
    </xf>
    <xf numFmtId="37" fontId="8" fillId="0" borderId="0" xfId="0" applyNumberFormat="1" applyFont="1" applyAlignment="1">
      <alignment horizontal="center"/>
    </xf>
    <xf numFmtId="37" fontId="8" fillId="0" borderId="3" xfId="0" applyNumberFormat="1" applyFont="1" applyBorder="1" applyAlignment="1">
      <alignment horizontal="center"/>
    </xf>
    <xf numFmtId="0" fontId="8" fillId="0" borderId="3" xfId="0" applyNumberFormat="1" applyFont="1" applyBorder="1" applyAlignment="1">
      <alignment horizontal="center"/>
    </xf>
    <xf numFmtId="0" fontId="8" fillId="0" borderId="0" xfId="0" applyNumberFormat="1" applyFont="1" applyBorder="1" applyAlignment="1">
      <alignment horizontal="center"/>
    </xf>
    <xf numFmtId="37" fontId="8" fillId="0" borderId="0" xfId="0" applyNumberFormat="1" applyFont="1" applyAlignment="1">
      <alignment/>
    </xf>
    <xf numFmtId="164" fontId="8" fillId="0" borderId="0" xfId="0" applyNumberFormat="1" applyFont="1" applyAlignment="1">
      <alignment horizontal="right"/>
    </xf>
    <xf numFmtId="164" fontId="8" fillId="0" borderId="0" xfId="0" applyNumberFormat="1" applyFont="1" applyAlignment="1">
      <alignment/>
    </xf>
    <xf numFmtId="178" fontId="8" fillId="0" borderId="0" xfId="0" applyNumberFormat="1" applyFont="1" applyAlignment="1">
      <alignment horizontal="right"/>
    </xf>
    <xf numFmtId="178" fontId="8" fillId="0" borderId="0" xfId="0" applyNumberFormat="1" applyFont="1" applyAlignment="1">
      <alignment/>
    </xf>
    <xf numFmtId="41" fontId="4" fillId="0" borderId="0" xfId="0" applyNumberFormat="1" applyFont="1" applyAlignment="1">
      <alignment/>
    </xf>
    <xf numFmtId="41" fontId="4" fillId="0" borderId="1" xfId="0" applyNumberFormat="1" applyFont="1" applyAlignment="1">
      <alignment/>
    </xf>
    <xf numFmtId="41" fontId="4" fillId="0" borderId="4" xfId="0" applyNumberFormat="1" applyFont="1" applyBorder="1" applyAlignment="1">
      <alignment/>
    </xf>
    <xf numFmtId="42" fontId="4" fillId="0" borderId="0" xfId="0" applyNumberFormat="1" applyFont="1" applyAlignment="1">
      <alignment/>
    </xf>
    <xf numFmtId="170" fontId="6" fillId="0" borderId="0" xfId="0" applyNumberFormat="1" applyFont="1" applyAlignment="1">
      <alignment/>
    </xf>
    <xf numFmtId="0" fontId="6" fillId="0" borderId="0" xfId="0" applyNumberFormat="1" applyFont="1" applyAlignment="1">
      <alignment/>
    </xf>
    <xf numFmtId="179" fontId="0" fillId="0" borderId="0" xfId="29" applyNumberFormat="1" applyFont="1" applyAlignment="1">
      <alignment/>
    </xf>
    <xf numFmtId="183" fontId="0" fillId="0" borderId="0" xfId="27" applyFont="1" applyAlignment="1">
      <alignment horizontal="center"/>
      <protection/>
    </xf>
    <xf numFmtId="183" fontId="0" fillId="0" borderId="0" xfId="27" applyFont="1" applyAlignment="1">
      <alignment/>
      <protection/>
    </xf>
    <xf numFmtId="183" fontId="4" fillId="0" borderId="0" xfId="27" applyFont="1" applyAlignment="1">
      <alignment/>
      <protection/>
    </xf>
    <xf numFmtId="183" fontId="16" fillId="0" borderId="0" xfId="27" applyNumberFormat="1" applyFont="1" applyAlignment="1">
      <alignment/>
      <protection/>
    </xf>
    <xf numFmtId="183" fontId="0" fillId="0" borderId="3" xfId="27" applyFont="1" applyBorder="1" applyAlignment="1">
      <alignment horizontal="center"/>
      <protection/>
    </xf>
    <xf numFmtId="41" fontId="0" fillId="0" borderId="0" xfId="27" applyNumberFormat="1" applyFont="1" applyAlignment="1" quotePrefix="1">
      <alignment horizontal="center"/>
      <protection/>
    </xf>
    <xf numFmtId="41" fontId="0" fillId="0" borderId="0" xfId="27" applyNumberFormat="1" applyFont="1" applyAlignment="1">
      <alignment/>
      <protection/>
    </xf>
    <xf numFmtId="184" fontId="0" fillId="0" borderId="0" xfId="16" applyNumberFormat="1" applyFont="1" applyAlignment="1">
      <alignment/>
    </xf>
    <xf numFmtId="179" fontId="0" fillId="0" borderId="3" xfId="29" applyNumberFormat="1" applyFont="1" applyBorder="1" applyAlignment="1">
      <alignment/>
    </xf>
    <xf numFmtId="41" fontId="0" fillId="0" borderId="3" xfId="27" applyNumberFormat="1" applyFont="1" applyBorder="1" applyAlignment="1">
      <alignment/>
      <protection/>
    </xf>
    <xf numFmtId="179" fontId="0" fillId="0" borderId="4" xfId="29" applyNumberFormat="1" applyFont="1" applyBorder="1" applyAlignment="1">
      <alignment/>
    </xf>
    <xf numFmtId="183" fontId="0" fillId="0" borderId="0" xfId="27" applyFont="1">
      <alignment/>
      <protection/>
    </xf>
    <xf numFmtId="183" fontId="4" fillId="0" borderId="0" xfId="27" applyFont="1">
      <alignment/>
      <protection/>
    </xf>
    <xf numFmtId="42" fontId="0" fillId="0" borderId="4" xfId="27" applyNumberFormat="1" applyFont="1" applyBorder="1" applyAlignment="1">
      <alignment/>
      <protection/>
    </xf>
    <xf numFmtId="169" fontId="4" fillId="0" borderId="0" xfId="0" applyNumberFormat="1" applyFont="1" applyAlignment="1">
      <alignment/>
    </xf>
    <xf numFmtId="168" fontId="0" fillId="0" borderId="0" xfId="20" applyNumberFormat="1" applyFont="1" applyAlignment="1">
      <alignment/>
      <protection/>
    </xf>
    <xf numFmtId="178" fontId="17" fillId="0" borderId="0" xfId="0" applyNumberFormat="1" applyFont="1" applyAlignment="1">
      <alignment/>
    </xf>
    <xf numFmtId="0" fontId="17" fillId="0" borderId="0" xfId="0" applyNumberFormat="1" applyFont="1" applyAlignment="1">
      <alignment/>
    </xf>
    <xf numFmtId="0" fontId="17" fillId="0" borderId="0" xfId="0" applyNumberFormat="1" applyFont="1" applyAlignment="1">
      <alignment horizontal="center"/>
    </xf>
    <xf numFmtId="2" fontId="4" fillId="0" borderId="0" xfId="0" applyNumberFormat="1" applyFont="1" applyAlignment="1">
      <alignment/>
    </xf>
    <xf numFmtId="0" fontId="8" fillId="0" borderId="0" xfId="0" applyNumberFormat="1" applyFont="1" applyAlignment="1">
      <alignment horizontal="center"/>
    </xf>
    <xf numFmtId="181" fontId="0" fillId="0" borderId="0" xfId="15" applyNumberFormat="1" applyFont="1" applyAlignment="1">
      <alignment/>
    </xf>
    <xf numFmtId="42" fontId="0" fillId="0" borderId="0" xfId="0" applyNumberFormat="1" applyFont="1" applyAlignment="1">
      <alignment/>
    </xf>
    <xf numFmtId="181" fontId="4" fillId="0" borderId="0" xfId="15" applyNumberFormat="1" applyFont="1" applyAlignment="1">
      <alignment/>
    </xf>
    <xf numFmtId="37" fontId="0" fillId="0" borderId="0" xfId="22" applyNumberFormat="1" applyAlignment="1">
      <alignment/>
      <protection/>
    </xf>
    <xf numFmtId="3" fontId="0" fillId="0" borderId="0" xfId="22" applyNumberFormat="1" applyAlignment="1">
      <alignment/>
      <protection/>
    </xf>
    <xf numFmtId="164" fontId="0" fillId="0" borderId="0" xfId="22" applyNumberFormat="1" applyAlignment="1">
      <alignment/>
      <protection/>
    </xf>
    <xf numFmtId="181" fontId="0" fillId="0" borderId="0" xfId="15" applyNumberFormat="1" applyFont="1" applyAlignment="1">
      <alignment/>
    </xf>
    <xf numFmtId="179" fontId="0" fillId="0" borderId="0" xfId="29" applyNumberFormat="1" applyFont="1" applyAlignment="1">
      <alignment/>
    </xf>
    <xf numFmtId="181" fontId="4" fillId="0" borderId="0" xfId="15" applyNumberFormat="1" applyFont="1" applyBorder="1" applyAlignment="1">
      <alignment/>
    </xf>
    <xf numFmtId="0" fontId="0" fillId="0" borderId="0" xfId="0" applyNumberFormat="1" applyFont="1" applyAlignment="1">
      <alignment horizontal="center"/>
    </xf>
    <xf numFmtId="172" fontId="4" fillId="0" borderId="4" xfId="23" applyNumberFormat="1" applyFont="1" applyBorder="1" applyAlignment="1">
      <alignment/>
      <protection/>
    </xf>
    <xf numFmtId="183" fontId="0" fillId="0" borderId="0" xfId="27" applyFont="1" applyAlignment="1">
      <alignment horizontal="center"/>
      <protection/>
    </xf>
    <xf numFmtId="0" fontId="0" fillId="0" borderId="3" xfId="0" applyNumberFormat="1" applyFont="1" applyBorder="1" applyAlignment="1">
      <alignment horizontal="center"/>
    </xf>
    <xf numFmtId="0" fontId="0" fillId="0" borderId="0" xfId="0" applyNumberFormat="1" applyFont="1" applyAlignment="1" quotePrefix="1">
      <alignment horizontal="center"/>
    </xf>
    <xf numFmtId="183" fontId="0" fillId="0" borderId="0" xfId="27" applyFont="1" applyAlignment="1">
      <alignment/>
      <protection/>
    </xf>
    <xf numFmtId="2" fontId="0" fillId="0" borderId="0" xfId="0" applyNumberFormat="1" applyFont="1" applyAlignment="1">
      <alignment/>
    </xf>
    <xf numFmtId="37" fontId="4" fillId="0" borderId="0" xfId="0" applyNumberFormat="1" applyFont="1" applyFill="1" applyAlignment="1">
      <alignment/>
    </xf>
    <xf numFmtId="0" fontId="10" fillId="0" borderId="0" xfId="0" applyNumberFormat="1" applyFont="1" applyBorder="1" applyAlignment="1">
      <alignment/>
    </xf>
    <xf numFmtId="169" fontId="4" fillId="0" borderId="0" xfId="0" applyNumberFormat="1" applyFont="1" applyBorder="1" applyAlignment="1">
      <alignment horizontal="center"/>
    </xf>
    <xf numFmtId="0" fontId="4" fillId="0" borderId="0" xfId="0" applyNumberFormat="1" applyFont="1" applyBorder="1" applyAlignment="1">
      <alignment/>
    </xf>
    <xf numFmtId="5" fontId="0" fillId="0" borderId="3" xfId="27" applyNumberFormat="1" applyFont="1" applyBorder="1" applyAlignment="1">
      <alignment/>
      <protection/>
    </xf>
    <xf numFmtId="37" fontId="8" fillId="0" borderId="0" xfId="0" applyNumberFormat="1" applyFont="1" applyAlignment="1">
      <alignment horizontal="right"/>
    </xf>
    <xf numFmtId="181" fontId="4" fillId="0" borderId="0" xfId="15" applyNumberFormat="1" applyFont="1" applyAlignment="1">
      <alignment/>
    </xf>
    <xf numFmtId="164" fontId="10" fillId="0" borderId="0" xfId="0" applyFont="1" applyAlignment="1">
      <alignment/>
    </xf>
    <xf numFmtId="169" fontId="4" fillId="0" borderId="0" xfId="0" applyNumberFormat="1" applyFont="1" applyAlignment="1">
      <alignment horizontal="center"/>
    </xf>
    <xf numFmtId="37" fontId="4" fillId="0" borderId="0" xfId="0" applyNumberFormat="1" applyFont="1" applyAlignment="1">
      <alignment/>
    </xf>
    <xf numFmtId="172" fontId="4" fillId="0" borderId="0" xfId="0" applyNumberFormat="1" applyFont="1" applyAlignment="1">
      <alignment/>
    </xf>
    <xf numFmtId="169" fontId="4" fillId="0" borderId="0" xfId="0" applyNumberFormat="1" applyFont="1" applyAlignment="1">
      <alignment/>
    </xf>
    <xf numFmtId="0" fontId="10" fillId="0" borderId="0" xfId="0" applyNumberFormat="1" applyFont="1" applyAlignment="1">
      <alignment/>
    </xf>
    <xf numFmtId="0" fontId="4" fillId="0" borderId="0" xfId="15" applyNumberFormat="1" applyFont="1" applyBorder="1" applyAlignment="1">
      <alignment/>
    </xf>
    <xf numFmtId="37" fontId="4" fillId="0" borderId="3" xfId="0" applyNumberFormat="1" applyFont="1" applyBorder="1" applyAlignment="1">
      <alignment/>
    </xf>
    <xf numFmtId="37" fontId="8" fillId="0" borderId="0" xfId="0" applyNumberFormat="1" applyFont="1" applyAlignment="1">
      <alignment horizontal="right"/>
    </xf>
    <xf numFmtId="0" fontId="8" fillId="0" borderId="0" xfId="0" applyNumberFormat="1" applyFont="1" applyAlignment="1">
      <alignment horizontal="right"/>
    </xf>
    <xf numFmtId="168" fontId="0" fillId="0" borderId="0" xfId="20" applyNumberFormat="1" applyFont="1">
      <alignment/>
      <protection/>
    </xf>
    <xf numFmtId="168" fontId="4" fillId="0" borderId="0" xfId="20" applyNumberFormat="1" applyFont="1" applyAlignment="1">
      <alignment/>
      <protection locked="0"/>
    </xf>
    <xf numFmtId="164" fontId="0" fillId="0" borderId="0" xfId="20" applyNumberFormat="1" applyFont="1" applyAlignment="1">
      <alignment/>
      <protection/>
    </xf>
    <xf numFmtId="3" fontId="4" fillId="0" borderId="0" xfId="20" applyNumberFormat="1" applyFont="1" applyAlignment="1">
      <alignment/>
      <protection/>
    </xf>
    <xf numFmtId="164" fontId="0" fillId="0" borderId="0" xfId="20" applyNumberFormat="1" applyFont="1">
      <alignment/>
      <protection/>
    </xf>
    <xf numFmtId="37" fontId="4" fillId="0" borderId="0" xfId="0" applyNumberFormat="1" applyFont="1" applyBorder="1" applyAlignment="1">
      <alignment horizontal="right" vertical="top"/>
    </xf>
    <xf numFmtId="164" fontId="4" fillId="0" borderId="0" xfId="0" applyNumberFormat="1" applyFont="1" applyAlignment="1">
      <alignment/>
    </xf>
    <xf numFmtId="0" fontId="0" fillId="0" borderId="2" xfId="0" applyNumberFormat="1" applyFont="1" applyAlignment="1">
      <alignment/>
    </xf>
    <xf numFmtId="0" fontId="0" fillId="0" borderId="0" xfId="0" applyNumberFormat="1" applyFont="1" applyBorder="1" applyAlignment="1">
      <alignment/>
    </xf>
    <xf numFmtId="0" fontId="0" fillId="0" borderId="0" xfId="0" applyNumberFormat="1" applyFont="1" applyAlignment="1">
      <alignment/>
    </xf>
    <xf numFmtId="164" fontId="4" fillId="0" borderId="0" xfId="23" applyNumberFormat="1" applyFont="1" applyAlignment="1">
      <alignment/>
      <protection locked="0"/>
    </xf>
    <xf numFmtId="0" fontId="4" fillId="0" borderId="0" xfId="26" applyNumberFormat="1" applyFont="1" applyAlignment="1">
      <alignment horizontal="centerContinuous"/>
      <protection/>
    </xf>
    <xf numFmtId="0" fontId="0" fillId="0" borderId="0" xfId="26" applyFont="1" applyAlignment="1">
      <alignment/>
      <protection/>
    </xf>
    <xf numFmtId="0" fontId="4" fillId="0" borderId="0" xfId="26" applyNumberFormat="1" applyFont="1" applyAlignment="1">
      <alignment/>
      <protection/>
    </xf>
    <xf numFmtId="0" fontId="4" fillId="0" borderId="0" xfId="26" applyNumberFormat="1" applyFont="1" applyAlignment="1">
      <alignment horizontal="center"/>
      <protection/>
    </xf>
    <xf numFmtId="0" fontId="4" fillId="0" borderId="1" xfId="26" applyNumberFormat="1" applyFont="1" applyAlignment="1">
      <alignment horizontal="center"/>
      <protection/>
    </xf>
    <xf numFmtId="37" fontId="4" fillId="0" borderId="1" xfId="26" applyNumberFormat="1" applyFont="1" applyAlignment="1">
      <alignment horizontal="center"/>
      <protection/>
    </xf>
    <xf numFmtId="37" fontId="4" fillId="0" borderId="0" xfId="26" applyNumberFormat="1" applyFont="1" applyAlignment="1">
      <alignment horizontal="center"/>
      <protection/>
    </xf>
    <xf numFmtId="3" fontId="4" fillId="0" borderId="0" xfId="26" applyNumberFormat="1" applyFont="1" applyAlignment="1">
      <alignment horizontal="center"/>
      <protection/>
    </xf>
    <xf numFmtId="3" fontId="4" fillId="0" borderId="1" xfId="26" applyNumberFormat="1" applyFont="1" applyAlignment="1">
      <alignment horizontal="center"/>
      <protection/>
    </xf>
    <xf numFmtId="165" fontId="4" fillId="0" borderId="0" xfId="26" applyNumberFormat="1" applyFont="1" applyAlignment="1">
      <alignment/>
      <protection/>
    </xf>
    <xf numFmtId="3" fontId="4" fillId="0" borderId="0" xfId="26" applyNumberFormat="1" applyFont="1" applyAlignment="1">
      <alignment/>
      <protection/>
    </xf>
    <xf numFmtId="0" fontId="4" fillId="0" borderId="1" xfId="26" applyNumberFormat="1" applyFont="1" applyAlignment="1">
      <alignment/>
      <protection/>
    </xf>
    <xf numFmtId="3" fontId="4" fillId="0" borderId="4" xfId="26" applyNumberFormat="1" applyFont="1" applyBorder="1" applyAlignment="1">
      <alignment/>
      <protection/>
    </xf>
    <xf numFmtId="3" fontId="4" fillId="0" borderId="2" xfId="26" applyNumberFormat="1" applyFont="1" applyAlignment="1">
      <alignment/>
      <protection/>
    </xf>
    <xf numFmtId="3" fontId="4" fillId="0" borderId="0" xfId="26" applyNumberFormat="1" applyFont="1" applyBorder="1" applyAlignment="1">
      <alignment/>
      <protection/>
    </xf>
    <xf numFmtId="0" fontId="0" fillId="0" borderId="0" xfId="26" applyNumberFormat="1" applyFont="1" applyAlignment="1">
      <alignment horizontal="centerContinuous"/>
      <protection/>
    </xf>
    <xf numFmtId="4" fontId="4" fillId="0" borderId="0" xfId="26" applyNumberFormat="1" applyFont="1" applyAlignment="1">
      <alignment/>
      <protection/>
    </xf>
    <xf numFmtId="0" fontId="4" fillId="0" borderId="0" xfId="26" applyFont="1" applyAlignment="1">
      <alignment/>
      <protection/>
    </xf>
    <xf numFmtId="0" fontId="0" fillId="0" borderId="0" xfId="26" applyFont="1">
      <alignment/>
      <protection/>
    </xf>
    <xf numFmtId="0" fontId="0" fillId="0" borderId="0" xfId="0" applyNumberFormat="1" applyFont="1" applyAlignment="1">
      <alignment horizontal="centerContinuous"/>
    </xf>
    <xf numFmtId="168" fontId="4"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24" applyFont="1" applyAlignment="1">
      <alignment/>
      <protection/>
    </xf>
    <xf numFmtId="0" fontId="18" fillId="0" borderId="0" xfId="0" applyNumberFormat="1" applyFont="1" applyAlignment="1">
      <alignment/>
    </xf>
    <xf numFmtId="4" fontId="18" fillId="0" borderId="0" xfId="0" applyNumberFormat="1" applyFont="1" applyAlignment="1">
      <alignment/>
    </xf>
    <xf numFmtId="49"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8" fillId="0" borderId="1" xfId="20" applyNumberFormat="1" applyFont="1" applyAlignment="1">
      <alignment/>
      <protection/>
    </xf>
    <xf numFmtId="181" fontId="18" fillId="0" borderId="0" xfId="15" applyNumberFormat="1" applyFont="1" applyAlignment="1">
      <alignment/>
    </xf>
    <xf numFmtId="37" fontId="0" fillId="0" borderId="0" xfId="0" applyNumberFormat="1" applyFont="1" applyAlignment="1">
      <alignment/>
    </xf>
    <xf numFmtId="0" fontId="19" fillId="0" borderId="0" xfId="0" applyNumberFormat="1" applyFont="1" applyAlignment="1">
      <alignment/>
    </xf>
    <xf numFmtId="3" fontId="4" fillId="0" borderId="1" xfId="24" applyNumberFormat="1" applyFont="1" applyAlignment="1">
      <alignment/>
      <protection/>
    </xf>
    <xf numFmtId="3" fontId="4" fillId="0" borderId="1" xfId="20" applyNumberFormat="1" applyFont="1" applyAlignment="1">
      <alignment/>
      <protection/>
    </xf>
    <xf numFmtId="3" fontId="4" fillId="0" borderId="4" xfId="20" applyNumberFormat="1" applyFont="1" applyBorder="1" applyAlignment="1">
      <alignment/>
      <protection/>
    </xf>
    <xf numFmtId="0" fontId="8" fillId="0" borderId="0" xfId="20" applyNumberFormat="1" applyFont="1" applyAlignment="1">
      <alignment/>
      <protection/>
    </xf>
    <xf numFmtId="0" fontId="18" fillId="0" borderId="0" xfId="20" applyFont="1" applyAlignment="1">
      <alignment/>
      <protection/>
    </xf>
    <xf numFmtId="0" fontId="8" fillId="0" borderId="0" xfId="0" applyNumberFormat="1" applyFont="1" applyAlignment="1">
      <alignment/>
    </xf>
    <xf numFmtId="0" fontId="18" fillId="0" borderId="0" xfId="24" applyFont="1" applyAlignment="1">
      <alignment/>
      <protection/>
    </xf>
    <xf numFmtId="181" fontId="0" fillId="0" borderId="0" xfId="15" applyNumberFormat="1" applyFont="1" applyAlignment="1">
      <alignment/>
    </xf>
    <xf numFmtId="181" fontId="4" fillId="0" borderId="0" xfId="15" applyNumberFormat="1" applyFont="1" applyAlignment="1">
      <alignment horizontal="center"/>
    </xf>
    <xf numFmtId="181" fontId="4" fillId="0" borderId="0" xfId="15" applyNumberFormat="1" applyFont="1" applyAlignment="1">
      <alignment/>
    </xf>
    <xf numFmtId="181" fontId="4" fillId="0" borderId="0" xfId="15" applyNumberFormat="1" applyFont="1" applyBorder="1" applyAlignment="1">
      <alignment/>
    </xf>
    <xf numFmtId="181" fontId="4" fillId="0" borderId="0" xfId="15" applyNumberFormat="1" applyFont="1" applyFill="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172" fontId="4" fillId="0" borderId="0" xfId="0" applyNumberFormat="1" applyFont="1" applyBorder="1" applyAlignment="1">
      <alignment/>
    </xf>
    <xf numFmtId="169" fontId="4" fillId="0" borderId="0" xfId="0" applyNumberFormat="1" applyFont="1" applyBorder="1" applyAlignment="1">
      <alignment/>
    </xf>
    <xf numFmtId="0" fontId="4" fillId="0" borderId="0" xfId="0" applyNumberFormat="1" applyFont="1" applyAlignment="1">
      <alignment horizontal="right"/>
    </xf>
    <xf numFmtId="181" fontId="0" fillId="0" borderId="0" xfId="15" applyNumberFormat="1" applyFont="1" applyAlignment="1">
      <alignment/>
    </xf>
    <xf numFmtId="1" fontId="4" fillId="0" borderId="0" xfId="15" applyNumberFormat="1" applyFont="1" applyAlignment="1">
      <alignment/>
    </xf>
    <xf numFmtId="0" fontId="4" fillId="0" borderId="0" xfId="21" applyNumberFormat="1" applyFont="1" applyAlignment="1">
      <alignment horizontal="justify" vertical="top" wrapText="1"/>
      <protection/>
    </xf>
    <xf numFmtId="0" fontId="0" fillId="0" borderId="0" xfId="0" applyNumberFormat="1" applyFont="1" applyBorder="1" applyAlignment="1">
      <alignment horizontal="center"/>
    </xf>
    <xf numFmtId="164" fontId="5" fillId="0" borderId="0" xfId="21" applyNumberFormat="1" applyFont="1" applyBorder="1" applyAlignment="1">
      <alignment/>
      <protection/>
    </xf>
    <xf numFmtId="164" fontId="5" fillId="0" borderId="3" xfId="21" applyNumberFormat="1" applyFont="1" applyBorder="1" applyAlignment="1">
      <alignment/>
      <protection/>
    </xf>
    <xf numFmtId="0" fontId="0" fillId="0" borderId="0" xfId="21" applyBorder="1" applyAlignment="1">
      <alignment/>
      <protection/>
    </xf>
    <xf numFmtId="3" fontId="0" fillId="0" borderId="0" xfId="21" applyNumberFormat="1" applyBorder="1" applyAlignment="1">
      <alignment/>
      <protection/>
    </xf>
    <xf numFmtId="164" fontId="4" fillId="0" borderId="0" xfId="21" applyNumberFormat="1" applyFont="1" applyBorder="1" applyAlignment="1">
      <alignment/>
      <protection/>
    </xf>
    <xf numFmtId="3" fontId="4" fillId="0" borderId="0" xfId="21" applyNumberFormat="1" applyFont="1" applyBorder="1" applyAlignment="1">
      <alignment/>
      <protection/>
    </xf>
    <xf numFmtId="0" fontId="0" fillId="0" borderId="0" xfId="21" applyBorder="1">
      <alignment/>
      <protection/>
    </xf>
    <xf numFmtId="37" fontId="4" fillId="0" borderId="0" xfId="0" applyNumberFormat="1" applyFont="1" applyAlignment="1">
      <alignment horizontal="left"/>
    </xf>
    <xf numFmtId="184" fontId="0" fillId="0" borderId="0" xfId="16" applyNumberFormat="1" applyFont="1" applyBorder="1" applyAlignment="1">
      <alignment/>
    </xf>
    <xf numFmtId="181" fontId="0" fillId="0" borderId="0" xfId="15" applyNumberFormat="1" applyFont="1" applyBorder="1" applyAlignment="1">
      <alignment/>
    </xf>
    <xf numFmtId="181" fontId="0" fillId="0" borderId="3" xfId="15" applyNumberFormat="1" applyFont="1" applyBorder="1" applyAlignment="1">
      <alignment/>
    </xf>
    <xf numFmtId="179" fontId="4" fillId="0" borderId="0" xfId="29" applyNumberFormat="1" applyFont="1" applyAlignment="1">
      <alignment/>
    </xf>
    <xf numFmtId="41" fontId="4" fillId="0" borderId="0" xfId="0" applyNumberFormat="1" applyFont="1" applyAlignment="1">
      <alignment/>
    </xf>
    <xf numFmtId="181" fontId="4" fillId="0" borderId="0" xfId="0" applyNumberFormat="1" applyFont="1" applyAlignment="1">
      <alignment/>
    </xf>
    <xf numFmtId="37" fontId="4" fillId="0" borderId="0" xfId="0" applyNumberFormat="1" applyFont="1" applyBorder="1" applyAlignment="1">
      <alignment/>
    </xf>
    <xf numFmtId="37" fontId="4" fillId="0" borderId="3" xfId="0" applyNumberFormat="1" applyFont="1" applyBorder="1" applyAlignment="1">
      <alignment/>
    </xf>
    <xf numFmtId="190" fontId="4" fillId="0" borderId="0" xfId="15" applyNumberFormat="1" applyFont="1" applyAlignment="1">
      <alignment/>
    </xf>
    <xf numFmtId="190" fontId="4" fillId="0" borderId="0" xfId="15" applyNumberFormat="1" applyFont="1" applyBorder="1" applyAlignment="1">
      <alignment horizontal="right" vertical="top"/>
    </xf>
    <xf numFmtId="190" fontId="4" fillId="0" borderId="0" xfId="15" applyNumberFormat="1" applyFont="1" applyAlignment="1">
      <alignment/>
    </xf>
    <xf numFmtId="37" fontId="0" fillId="0" borderId="0" xfId="0" applyNumberFormat="1" applyFont="1" applyAlignment="1">
      <alignment horizontal="center"/>
    </xf>
    <xf numFmtId="37" fontId="0" fillId="0" borderId="0" xfId="0" applyNumberFormat="1" applyFont="1" applyAlignment="1">
      <alignment horizontal="right"/>
    </xf>
    <xf numFmtId="16" fontId="0" fillId="0" borderId="0" xfId="0" applyNumberFormat="1" applyFont="1" applyAlignment="1" quotePrefix="1">
      <alignment horizontal="center"/>
    </xf>
    <xf numFmtId="2" fontId="0" fillId="0" borderId="0" xfId="0" applyNumberFormat="1" applyFont="1" applyAlignment="1" quotePrefix="1">
      <alignment horizontal="center"/>
    </xf>
    <xf numFmtId="3" fontId="4" fillId="0" borderId="0" xfId="25" applyNumberFormat="1" applyFont="1" applyAlignment="1">
      <alignment/>
      <protection/>
    </xf>
    <xf numFmtId="0" fontId="0" fillId="0" borderId="0" xfId="0" applyNumberFormat="1" applyFont="1" applyBorder="1" applyAlignment="1">
      <alignment/>
    </xf>
    <xf numFmtId="0" fontId="18" fillId="0" borderId="0" xfId="0" applyNumberFormat="1" applyFont="1" applyBorder="1" applyAlignment="1">
      <alignment/>
    </xf>
    <xf numFmtId="0" fontId="18" fillId="0" borderId="0" xfId="0" applyNumberFormat="1" applyFont="1" applyBorder="1" applyAlignment="1">
      <alignment horizontal="centerContinuous"/>
    </xf>
    <xf numFmtId="0" fontId="18" fillId="0" borderId="0" xfId="0" applyNumberFormat="1" applyFont="1" applyBorder="1" applyAlignment="1">
      <alignment horizontal="center"/>
    </xf>
    <xf numFmtId="43" fontId="0" fillId="0" borderId="0" xfId="15" applyFont="1" applyBorder="1" applyAlignment="1">
      <alignment/>
    </xf>
    <xf numFmtId="181" fontId="0" fillId="0" borderId="0" xfId="15" applyNumberFormat="1" applyFont="1" applyBorder="1" applyAlignment="1">
      <alignment/>
    </xf>
    <xf numFmtId="0" fontId="0" fillId="0" borderId="0" xfId="0" applyNumberFormat="1" applyFont="1" applyBorder="1" applyAlignment="1">
      <alignment/>
    </xf>
    <xf numFmtId="43" fontId="0" fillId="0" borderId="0" xfId="15" applyFont="1" applyBorder="1" applyAlignment="1">
      <alignment/>
    </xf>
    <xf numFmtId="4" fontId="18" fillId="0" borderId="0" xfId="0" applyNumberFormat="1" applyFont="1" applyBorder="1" applyAlignment="1">
      <alignment/>
    </xf>
    <xf numFmtId="181" fontId="18" fillId="0" borderId="0" xfId="15" applyNumberFormat="1" applyFont="1" applyBorder="1" applyAlignment="1">
      <alignment/>
    </xf>
    <xf numFmtId="0" fontId="0" fillId="0" borderId="0" xfId="23" applyFont="1" applyBorder="1" applyAlignment="1">
      <alignment/>
      <protection/>
    </xf>
    <xf numFmtId="3" fontId="0" fillId="0" borderId="0" xfId="23" applyNumberFormat="1" applyFont="1" applyBorder="1" applyAlignment="1">
      <alignment/>
      <protection/>
    </xf>
    <xf numFmtId="164" fontId="4" fillId="0" borderId="0" xfId="23" applyNumberFormat="1" applyFont="1" applyBorder="1" applyAlignment="1">
      <alignment/>
      <protection/>
    </xf>
    <xf numFmtId="37" fontId="4" fillId="0" borderId="0" xfId="23" applyNumberFormat="1" applyFont="1" applyBorder="1" applyAlignment="1">
      <alignment/>
      <protection/>
    </xf>
    <xf numFmtId="164" fontId="0" fillId="0" borderId="0" xfId="0" applyAlignment="1">
      <alignment horizontal="center"/>
    </xf>
    <xf numFmtId="164" fontId="0" fillId="0" borderId="0" xfId="0" applyAlignment="1">
      <alignment/>
    </xf>
    <xf numFmtId="164" fontId="0" fillId="0" borderId="3" xfId="0" applyBorder="1" applyAlignment="1">
      <alignment horizontal="center"/>
    </xf>
    <xf numFmtId="3" fontId="0" fillId="0" borderId="3" xfId="0" applyNumberFormat="1" applyFont="1" applyBorder="1" applyAlignment="1">
      <alignment horizontal="center"/>
    </xf>
    <xf numFmtId="164" fontId="0" fillId="0" borderId="0" xfId="0" applyBorder="1" applyAlignment="1">
      <alignment horizontal="center"/>
    </xf>
    <xf numFmtId="3" fontId="0" fillId="0" borderId="0" xfId="0" applyNumberFormat="1" applyFont="1" applyBorder="1" applyAlignment="1">
      <alignment horizontal="center"/>
    </xf>
    <xf numFmtId="164" fontId="16" fillId="0" borderId="0" xfId="0" applyFont="1" applyAlignment="1">
      <alignment/>
    </xf>
    <xf numFmtId="3" fontId="0" fillId="0" borderId="0" xfId="0" applyNumberFormat="1" applyFont="1" applyBorder="1" applyAlignment="1">
      <alignment/>
    </xf>
    <xf numFmtId="164" fontId="0" fillId="0" borderId="0" xfId="0" applyAlignment="1">
      <alignment horizontal="right"/>
    </xf>
    <xf numFmtId="164" fontId="18" fillId="0" borderId="0" xfId="0" applyFont="1" applyAlignment="1">
      <alignment/>
    </xf>
    <xf numFmtId="164" fontId="0" fillId="0" borderId="0" xfId="0" applyAlignment="1">
      <alignment horizontal="left"/>
    </xf>
    <xf numFmtId="165" fontId="0" fillId="0" borderId="0" xfId="0" applyNumberFormat="1" applyFont="1" applyAlignment="1">
      <alignment/>
    </xf>
    <xf numFmtId="0" fontId="4" fillId="0" borderId="0" xfId="20" applyNumberFormat="1" applyFont="1" applyAlignment="1">
      <alignment/>
      <protection/>
    </xf>
    <xf numFmtId="37" fontId="8" fillId="0" borderId="0" xfId="0" applyNumberFormat="1" applyFont="1" applyAlignment="1">
      <alignment/>
    </xf>
    <xf numFmtId="0" fontId="0" fillId="0" borderId="0" xfId="26" applyAlignment="1">
      <alignment/>
      <protection/>
    </xf>
    <xf numFmtId="165" fontId="20" fillId="0" borderId="0" xfId="26" applyNumberFormat="1" applyFont="1" applyAlignment="1">
      <alignment/>
      <protection/>
    </xf>
    <xf numFmtId="0" fontId="5" fillId="0" borderId="0" xfId="26" applyNumberFormat="1" applyFont="1" applyAlignment="1">
      <alignment/>
      <protection/>
    </xf>
    <xf numFmtId="4" fontId="17" fillId="0" borderId="0" xfId="26" applyNumberFormat="1" applyFont="1" applyAlignment="1">
      <alignment/>
      <protection/>
    </xf>
    <xf numFmtId="4" fontId="5" fillId="0" borderId="0" xfId="26" applyNumberFormat="1" applyFont="1" applyAlignment="1">
      <alignment/>
      <protection/>
    </xf>
    <xf numFmtId="0" fontId="4" fillId="0" borderId="0" xfId="26" applyNumberFormat="1" applyFont="1" applyAlignment="1">
      <alignment horizontal="left"/>
      <protection/>
    </xf>
    <xf numFmtId="0" fontId="4" fillId="0" borderId="0" xfId="26" applyFont="1" applyBorder="1" applyAlignment="1">
      <alignment/>
      <protection/>
    </xf>
    <xf numFmtId="0" fontId="4" fillId="0" borderId="0" xfId="26" applyFont="1" applyBorder="1" applyAlignment="1">
      <alignment horizontal="center"/>
      <protection/>
    </xf>
    <xf numFmtId="0" fontId="4" fillId="0" borderId="0" xfId="26" applyNumberFormat="1" applyFont="1" applyBorder="1" applyAlignment="1">
      <alignment horizontal="centerContinuous"/>
      <protection/>
    </xf>
    <xf numFmtId="0" fontId="4" fillId="0" borderId="0" xfId="26" applyNumberFormat="1" applyFont="1" applyBorder="1" applyAlignment="1">
      <alignment horizontal="center"/>
      <protection/>
    </xf>
    <xf numFmtId="0" fontId="4" fillId="0" borderId="0" xfId="0" applyNumberFormat="1" applyFont="1" applyAlignment="1">
      <alignment horizontal="center"/>
    </xf>
    <xf numFmtId="0" fontId="4" fillId="0" borderId="0" xfId="0" applyNumberFormat="1" applyFont="1" applyAlignment="1">
      <alignment/>
    </xf>
    <xf numFmtId="2" fontId="4" fillId="0" borderId="0" xfId="0" applyNumberFormat="1" applyFont="1" applyAlignment="1">
      <alignment/>
    </xf>
    <xf numFmtId="165" fontId="4" fillId="0" borderId="0" xfId="26" applyNumberFormat="1" applyFont="1" applyAlignment="1">
      <alignment horizontal="right"/>
      <protection/>
    </xf>
    <xf numFmtId="0" fontId="4" fillId="0" borderId="3" xfId="0" applyNumberFormat="1" applyFont="1" applyBorder="1" applyAlignment="1">
      <alignment/>
    </xf>
    <xf numFmtId="167" fontId="4" fillId="0" borderId="0" xfId="25" applyNumberFormat="1" applyFont="1">
      <alignment/>
      <protection/>
    </xf>
    <xf numFmtId="3" fontId="4" fillId="0" borderId="0" xfId="0" applyNumberFormat="1" applyFont="1" applyAlignment="1">
      <alignment/>
    </xf>
    <xf numFmtId="3" fontId="4" fillId="0" borderId="0" xfId="28" applyNumberFormat="1" applyFont="1" applyBorder="1" applyAlignment="1">
      <alignment/>
      <protection/>
    </xf>
    <xf numFmtId="37" fontId="4" fillId="0" borderId="0" xfId="28" applyNumberFormat="1" applyFont="1" applyBorder="1" applyAlignment="1">
      <alignment/>
      <protection/>
    </xf>
    <xf numFmtId="37" fontId="4" fillId="0" borderId="3" xfId="28" applyNumberFormat="1" applyFont="1" applyBorder="1" applyAlignment="1">
      <alignment/>
      <protection/>
    </xf>
    <xf numFmtId="164" fontId="4" fillId="0" borderId="4" xfId="28" applyNumberFormat="1" applyFont="1" applyBorder="1" applyAlignment="1">
      <alignment/>
      <protection/>
    </xf>
    <xf numFmtId="0" fontId="4" fillId="0" borderId="0" xfId="25" applyNumberFormat="1" applyFont="1" applyAlignment="1">
      <alignment/>
      <protection/>
    </xf>
    <xf numFmtId="164" fontId="4" fillId="0" borderId="0" xfId="0" applyFont="1" applyBorder="1" applyAlignment="1">
      <alignment/>
    </xf>
    <xf numFmtId="37" fontId="4" fillId="0" borderId="0" xfId="0" applyNumberFormat="1" applyFont="1" applyBorder="1" applyAlignment="1">
      <alignment/>
    </xf>
    <xf numFmtId="37" fontId="4" fillId="0" borderId="0" xfId="0" applyNumberFormat="1" applyFont="1" applyBorder="1" applyAlignment="1">
      <alignment/>
    </xf>
    <xf numFmtId="42" fontId="4" fillId="0" borderId="0" xfId="0" applyNumberFormat="1" applyFont="1" applyBorder="1" applyAlignment="1">
      <alignment/>
    </xf>
    <xf numFmtId="1" fontId="4" fillId="0" borderId="0" xfId="0" applyNumberFormat="1" applyFont="1" applyBorder="1" applyAlignment="1">
      <alignment/>
    </xf>
    <xf numFmtId="49" fontId="4" fillId="0" borderId="0" xfId="0" applyNumberFormat="1" applyFont="1" applyBorder="1" applyAlignment="1">
      <alignment/>
    </xf>
    <xf numFmtId="0" fontId="4" fillId="0" borderId="0" xfId="15" applyNumberFormat="1" applyFont="1" applyFill="1" applyBorder="1" applyAlignment="1">
      <alignment/>
    </xf>
    <xf numFmtId="181" fontId="4" fillId="0" borderId="0" xfId="15" applyNumberFormat="1" applyFont="1" applyFill="1" applyBorder="1" applyAlignment="1">
      <alignment/>
    </xf>
    <xf numFmtId="181" fontId="4" fillId="0" borderId="3" xfId="15" applyNumberFormat="1" applyFont="1" applyFill="1" applyBorder="1" applyAlignment="1">
      <alignment/>
    </xf>
    <xf numFmtId="181" fontId="4" fillId="0" borderId="3" xfId="15" applyNumberFormat="1" applyFont="1" applyBorder="1" applyAlignment="1">
      <alignment/>
    </xf>
    <xf numFmtId="37" fontId="4" fillId="0" borderId="3" xfId="0" applyNumberFormat="1" applyFont="1" applyFill="1" applyBorder="1" applyAlignment="1">
      <alignment/>
    </xf>
    <xf numFmtId="164" fontId="21" fillId="0" borderId="0" xfId="0" applyFont="1" applyAlignment="1">
      <alignment/>
    </xf>
    <xf numFmtId="164" fontId="1" fillId="0" borderId="0" xfId="0" applyFont="1" applyAlignment="1">
      <alignment/>
    </xf>
    <xf numFmtId="181" fontId="4" fillId="0" borderId="3" xfId="15" applyNumberFormat="1" applyFont="1" applyBorder="1" applyAlignment="1">
      <alignment/>
    </xf>
    <xf numFmtId="37" fontId="4" fillId="0" borderId="4" xfId="0" applyNumberFormat="1" applyFont="1" applyFill="1" applyBorder="1" applyAlignment="1">
      <alignment/>
    </xf>
    <xf numFmtId="0" fontId="21" fillId="0" borderId="0" xfId="0" applyNumberFormat="1" applyFont="1" applyAlignment="1">
      <alignment/>
    </xf>
    <xf numFmtId="39" fontId="4" fillId="0" borderId="0" xfId="0" applyNumberFormat="1" applyFont="1" applyAlignment="1">
      <alignment/>
    </xf>
    <xf numFmtId="37" fontId="4" fillId="0" borderId="4" xfId="0" applyNumberFormat="1" applyFont="1" applyFill="1" applyBorder="1" applyAlignment="1">
      <alignment/>
    </xf>
    <xf numFmtId="2" fontId="6" fillId="0" borderId="0" xfId="0" applyNumberFormat="1" applyFont="1" applyBorder="1" applyAlignment="1">
      <alignment/>
    </xf>
    <xf numFmtId="181" fontId="0" fillId="0" borderId="0" xfId="15" applyNumberFormat="1" applyFont="1" applyAlignment="1">
      <alignment horizontal="center"/>
    </xf>
    <xf numFmtId="0" fontId="0" fillId="0" borderId="0" xfId="24" applyFont="1" applyAlignment="1">
      <alignment horizontal="center"/>
      <protection/>
    </xf>
    <xf numFmtId="0" fontId="8" fillId="0" borderId="0" xfId="26" applyFont="1" applyAlignment="1">
      <alignment/>
      <protection/>
    </xf>
    <xf numFmtId="0" fontId="8" fillId="0" borderId="0" xfId="21" applyNumberFormat="1" applyFont="1" applyAlignment="1">
      <alignment/>
      <protection/>
    </xf>
    <xf numFmtId="181" fontId="4" fillId="0" borderId="4" xfId="15" applyNumberFormat="1" applyFont="1" applyBorder="1" applyAlignment="1">
      <alignment/>
    </xf>
    <xf numFmtId="49" fontId="4" fillId="0" borderId="0" xfId="0" applyNumberFormat="1" applyFont="1" applyFill="1" applyBorder="1" applyAlignment="1">
      <alignment/>
    </xf>
    <xf numFmtId="181" fontId="4" fillId="0" borderId="0" xfId="15" applyNumberFormat="1" applyFont="1" applyFill="1" applyAlignment="1">
      <alignment/>
    </xf>
    <xf numFmtId="164" fontId="4" fillId="0" borderId="0" xfId="0" applyFont="1" applyFill="1" applyAlignment="1">
      <alignment/>
    </xf>
    <xf numFmtId="164" fontId="10" fillId="0" borderId="0" xfId="0" applyFont="1" applyFill="1" applyAlignment="1">
      <alignment/>
    </xf>
    <xf numFmtId="169" fontId="4" fillId="0" borderId="0" xfId="0" applyNumberFormat="1" applyFont="1" applyFill="1" applyAlignment="1">
      <alignment horizontal="center"/>
    </xf>
    <xf numFmtId="164" fontId="4" fillId="0" borderId="0" xfId="0" applyFont="1" applyFill="1" applyAlignment="1">
      <alignment/>
    </xf>
    <xf numFmtId="0" fontId="4" fillId="0" borderId="0" xfId="0" applyNumberFormat="1" applyFont="1" applyFill="1" applyAlignment="1">
      <alignment/>
    </xf>
    <xf numFmtId="169" fontId="4" fillId="0" borderId="0" xfId="0" applyNumberFormat="1" applyFont="1" applyFill="1" applyAlignment="1">
      <alignment/>
    </xf>
    <xf numFmtId="37" fontId="4" fillId="0" borderId="0" xfId="0" applyNumberFormat="1" applyFont="1" applyFill="1" applyAlignment="1">
      <alignment/>
    </xf>
    <xf numFmtId="187" fontId="4" fillId="0" borderId="0" xfId="15" applyNumberFormat="1" applyFont="1" applyAlignment="1">
      <alignment/>
    </xf>
    <xf numFmtId="181" fontId="4" fillId="0" borderId="3" xfId="15" applyNumberFormat="1" applyFont="1" applyBorder="1" applyAlignment="1">
      <alignment/>
    </xf>
    <xf numFmtId="165" fontId="0" fillId="0" borderId="0" xfId="0" applyNumberFormat="1" applyFont="1" applyBorder="1" applyAlignment="1">
      <alignment/>
    </xf>
    <xf numFmtId="2" fontId="4" fillId="0" borderId="0" xfId="0" applyNumberFormat="1" applyFont="1" applyBorder="1" applyAlignment="1">
      <alignment/>
    </xf>
    <xf numFmtId="41" fontId="4" fillId="0" borderId="0" xfId="0" applyNumberFormat="1" applyFont="1" applyBorder="1" applyAlignment="1">
      <alignment horizontal="center"/>
    </xf>
    <xf numFmtId="16" fontId="4" fillId="0" borderId="0" xfId="0" applyNumberFormat="1" applyFont="1" applyAlignment="1">
      <alignment/>
    </xf>
    <xf numFmtId="177" fontId="4" fillId="0" borderId="0" xfId="21" applyNumberFormat="1" applyFont="1" applyAlignment="1">
      <alignment/>
      <protection/>
    </xf>
    <xf numFmtId="177" fontId="4" fillId="0" borderId="1" xfId="21" applyNumberFormat="1" applyFont="1" applyAlignment="1">
      <alignment/>
      <protection/>
    </xf>
    <xf numFmtId="177" fontId="4" fillId="0" borderId="4" xfId="21" applyNumberFormat="1" applyFont="1" applyBorder="1" applyAlignment="1">
      <alignment/>
      <protection/>
    </xf>
    <xf numFmtId="0" fontId="4" fillId="0" borderId="0" xfId="0" applyNumberFormat="1" applyFont="1" applyAlignment="1" quotePrefix="1">
      <alignment/>
    </xf>
    <xf numFmtId="183" fontId="0" fillId="0" borderId="0" xfId="27" applyFont="1" applyAlignment="1" quotePrefix="1">
      <alignment/>
      <protection/>
    </xf>
    <xf numFmtId="200" fontId="0" fillId="0" borderId="0" xfId="16" applyNumberFormat="1" applyFont="1" applyAlignment="1">
      <alignment/>
    </xf>
    <xf numFmtId="43" fontId="4" fillId="0" borderId="0" xfId="0" applyNumberFormat="1" applyFont="1" applyAlignment="1">
      <alignment/>
    </xf>
    <xf numFmtId="201" fontId="0" fillId="0" borderId="0" xfId="16" applyNumberFormat="1" applyFont="1" applyAlignment="1">
      <alignment/>
    </xf>
    <xf numFmtId="198" fontId="0" fillId="0" borderId="0" xfId="15" applyNumberFormat="1" applyFont="1" applyAlignment="1">
      <alignment/>
    </xf>
    <xf numFmtId="0" fontId="0" fillId="0" borderId="0" xfId="0" applyNumberFormat="1" applyFont="1" applyAlignment="1">
      <alignment horizontal="left"/>
    </xf>
    <xf numFmtId="43" fontId="0" fillId="0" borderId="0" xfId="15" applyFont="1" applyAlignment="1" applyProtection="1">
      <alignment/>
      <protection locked="0"/>
    </xf>
    <xf numFmtId="43" fontId="0" fillId="0" borderId="0" xfId="15" applyFont="1" applyBorder="1" applyAlignment="1">
      <alignment horizontal="center"/>
    </xf>
    <xf numFmtId="0" fontId="16" fillId="0" borderId="0" xfId="0" applyNumberFormat="1" applyFont="1" applyAlignment="1">
      <alignment/>
    </xf>
    <xf numFmtId="0" fontId="16" fillId="0" borderId="0" xfId="0" applyNumberFormat="1" applyFont="1" applyAlignment="1">
      <alignment horizontal="center"/>
    </xf>
    <xf numFmtId="44" fontId="0" fillId="0" borderId="0" xfId="16" applyFont="1" applyAlignment="1">
      <alignment/>
    </xf>
    <xf numFmtId="43" fontId="0" fillId="0" borderId="0" xfId="15" applyFont="1" applyAlignment="1">
      <alignment/>
    </xf>
    <xf numFmtId="200" fontId="12" fillId="0" borderId="0" xfId="16" applyNumberFormat="1" applyFont="1" applyAlignment="1">
      <alignment horizontal="left"/>
    </xf>
    <xf numFmtId="44" fontId="0" fillId="0" borderId="0" xfId="16" applyNumberFormat="1" applyFont="1" applyAlignment="1">
      <alignment/>
    </xf>
    <xf numFmtId="197" fontId="0" fillId="0" borderId="0" xfId="16" applyNumberFormat="1" applyFont="1" applyAlignment="1">
      <alignment/>
    </xf>
    <xf numFmtId="200" fontId="12" fillId="0" borderId="0" xfId="16" applyNumberFormat="1" applyFont="1" applyAlignment="1">
      <alignment/>
    </xf>
    <xf numFmtId="187" fontId="0" fillId="0" borderId="0" xfId="15" applyNumberFormat="1" applyFont="1" applyAlignment="1">
      <alignment/>
    </xf>
    <xf numFmtId="199" fontId="0" fillId="0" borderId="0" xfId="16" applyNumberFormat="1" applyFont="1" applyAlignment="1">
      <alignment/>
    </xf>
    <xf numFmtId="190" fontId="0" fillId="0" borderId="0" xfId="15" applyNumberFormat="1" applyFont="1" applyAlignment="1">
      <alignment/>
    </xf>
    <xf numFmtId="0" fontId="0" fillId="0" borderId="0" xfId="0" applyNumberFormat="1" applyFont="1" applyAlignment="1">
      <alignment horizontal="left"/>
    </xf>
    <xf numFmtId="43" fontId="0" fillId="0" borderId="0" xfId="15" applyFont="1" applyAlignment="1">
      <alignment/>
    </xf>
    <xf numFmtId="44" fontId="0" fillId="0" borderId="0" xfId="16" applyFont="1" applyAlignment="1">
      <alignment/>
    </xf>
    <xf numFmtId="43" fontId="0" fillId="0" borderId="0" xfId="15" applyNumberFormat="1" applyFont="1" applyAlignment="1">
      <alignment/>
    </xf>
    <xf numFmtId="41" fontId="0" fillId="0" borderId="0" xfId="27" applyNumberFormat="1" applyFont="1">
      <alignment/>
      <protection/>
    </xf>
    <xf numFmtId="43" fontId="0" fillId="0" borderId="3" xfId="15" applyNumberFormat="1" applyFont="1" applyBorder="1" applyAlignment="1">
      <alignment/>
    </xf>
    <xf numFmtId="189" fontId="0" fillId="0" borderId="4" xfId="27" applyNumberFormat="1" applyFont="1" applyBorder="1" applyAlignment="1">
      <alignment/>
      <protection/>
    </xf>
    <xf numFmtId="183" fontId="8" fillId="0" borderId="0" xfId="27" applyFont="1" applyAlignment="1">
      <alignment/>
      <protection/>
    </xf>
    <xf numFmtId="169" fontId="0" fillId="0" borderId="0" xfId="0" applyNumberFormat="1" applyFont="1" applyBorder="1" applyAlignment="1">
      <alignment horizontal="center"/>
    </xf>
    <xf numFmtId="169" fontId="0" fillId="0" borderId="0" xfId="0" applyNumberFormat="1" applyFont="1" applyAlignment="1">
      <alignment horizontal="center"/>
    </xf>
    <xf numFmtId="183" fontId="0" fillId="0" borderId="0" xfId="27" applyNumberFormat="1" applyFont="1" applyAlignment="1">
      <alignment/>
      <protection/>
    </xf>
    <xf numFmtId="182" fontId="0" fillId="0" borderId="0" xfId="15" applyNumberFormat="1" applyFont="1" applyAlignment="1">
      <alignment/>
    </xf>
    <xf numFmtId="3" fontId="0" fillId="0" borderId="0" xfId="26" applyNumberFormat="1" applyFont="1" applyAlignment="1">
      <alignment/>
      <protection/>
    </xf>
    <xf numFmtId="3" fontId="0" fillId="0" borderId="0" xfId="0" applyNumberFormat="1" applyFont="1" applyAlignment="1">
      <alignment/>
    </xf>
    <xf numFmtId="194" fontId="0" fillId="0" borderId="0" xfId="27" applyNumberFormat="1" applyFont="1">
      <alignment/>
      <protection/>
    </xf>
    <xf numFmtId="0" fontId="0" fillId="0" borderId="0" xfId="26" applyNumberFormat="1" applyFont="1" applyAlignment="1">
      <alignment/>
      <protection/>
    </xf>
    <xf numFmtId="0" fontId="0" fillId="0" borderId="0" xfId="0" applyNumberFormat="1" applyFont="1" applyAlignment="1" quotePrefix="1">
      <alignment horizontal="left"/>
    </xf>
    <xf numFmtId="7" fontId="0" fillId="0" borderId="0" xfId="16" applyNumberFormat="1" applyFont="1" applyAlignment="1">
      <alignment/>
    </xf>
    <xf numFmtId="0" fontId="4" fillId="0" borderId="0" xfId="0" applyNumberFormat="1" applyFont="1" applyBorder="1" applyAlignment="1">
      <alignment horizontal="center"/>
    </xf>
    <xf numFmtId="3" fontId="4" fillId="0" borderId="0" xfId="26" applyNumberFormat="1" applyFont="1" applyBorder="1" applyAlignment="1">
      <alignment/>
      <protection/>
    </xf>
    <xf numFmtId="183" fontId="0" fillId="0" borderId="0" xfId="27" applyFont="1" applyBorder="1" applyAlignment="1">
      <alignment horizontal="center"/>
      <protection/>
    </xf>
    <xf numFmtId="0" fontId="0" fillId="0" borderId="0" xfId="0" applyNumberFormat="1" applyFont="1" applyBorder="1" applyAlignment="1">
      <alignment/>
    </xf>
    <xf numFmtId="0" fontId="0" fillId="0" borderId="0" xfId="0" applyNumberFormat="1" applyFont="1" applyBorder="1" applyAlignment="1">
      <alignment horizontal="center"/>
    </xf>
    <xf numFmtId="37" fontId="0" fillId="0" borderId="0" xfId="0" applyNumberFormat="1" applyFont="1" applyBorder="1" applyAlignment="1">
      <alignment horizontal="center"/>
    </xf>
    <xf numFmtId="37" fontId="0" fillId="0" borderId="0" xfId="0" applyNumberFormat="1" applyFont="1" applyBorder="1" applyAlignment="1">
      <alignment horizontal="center"/>
    </xf>
    <xf numFmtId="183" fontId="4" fillId="0" borderId="0" xfId="27" applyFont="1" applyBorder="1" applyAlignment="1">
      <alignment/>
      <protection/>
    </xf>
    <xf numFmtId="183" fontId="0" fillId="0" borderId="0" xfId="27" applyFont="1" applyBorder="1" applyAlignment="1">
      <alignment/>
      <protection/>
    </xf>
    <xf numFmtId="10" fontId="0" fillId="0" borderId="0" xfId="29" applyNumberFormat="1" applyFont="1" applyBorder="1" applyAlignment="1">
      <alignment/>
    </xf>
    <xf numFmtId="43" fontId="0" fillId="0" borderId="0" xfId="15" applyFont="1" applyBorder="1" applyAlignment="1">
      <alignment horizontal="right"/>
    </xf>
    <xf numFmtId="44" fontId="0" fillId="0" borderId="0" xfId="16" applyFont="1" applyBorder="1" applyAlignment="1">
      <alignment/>
    </xf>
    <xf numFmtId="44" fontId="0" fillId="0" borderId="0" xfId="16" applyFont="1" applyBorder="1" applyAlignment="1">
      <alignment/>
    </xf>
    <xf numFmtId="43" fontId="0" fillId="0" borderId="0" xfId="15" applyFont="1" applyBorder="1" applyAlignment="1">
      <alignment/>
    </xf>
    <xf numFmtId="43" fontId="0" fillId="0" borderId="0" xfId="26" applyNumberFormat="1" applyFont="1" applyBorder="1" applyAlignment="1">
      <alignment/>
      <protection/>
    </xf>
    <xf numFmtId="43" fontId="0" fillId="0" borderId="0" xfId="27" applyNumberFormat="1" applyFont="1" applyBorder="1" applyAlignment="1">
      <alignment/>
      <protection/>
    </xf>
    <xf numFmtId="43" fontId="0" fillId="0" borderId="0" xfId="0" applyNumberFormat="1" applyFont="1" applyBorder="1" applyAlignment="1">
      <alignment/>
    </xf>
    <xf numFmtId="43" fontId="4" fillId="0" borderId="0" xfId="0" applyNumberFormat="1" applyFont="1" applyBorder="1" applyAlignment="1">
      <alignment/>
    </xf>
    <xf numFmtId="4" fontId="17" fillId="0" borderId="0" xfId="26" applyNumberFormat="1" applyFont="1" applyBorder="1" applyAlignment="1">
      <alignment/>
      <protection/>
    </xf>
    <xf numFmtId="3" fontId="0" fillId="0" borderId="3" xfId="0" applyNumberFormat="1" applyFont="1" applyBorder="1" applyAlignment="1">
      <alignment/>
    </xf>
    <xf numFmtId="164" fontId="0" fillId="0" borderId="0" xfId="0" applyFont="1" applyAlignment="1">
      <alignment/>
    </xf>
    <xf numFmtId="0" fontId="4" fillId="0" borderId="0" xfId="0" applyNumberFormat="1" applyFont="1" applyFill="1" applyAlignment="1">
      <alignment horizontal="center"/>
    </xf>
    <xf numFmtId="0" fontId="9" fillId="0" borderId="0" xfId="0" applyNumberFormat="1" applyFont="1" applyFill="1" applyAlignment="1">
      <alignment/>
    </xf>
    <xf numFmtId="0" fontId="9" fillId="0" borderId="0" xfId="0" applyNumberFormat="1" applyFont="1" applyFill="1" applyAlignment="1">
      <alignment horizontal="center"/>
    </xf>
    <xf numFmtId="10" fontId="4" fillId="0" borderId="0" xfId="0" applyNumberFormat="1" applyFont="1" applyFill="1" applyAlignment="1">
      <alignment/>
    </xf>
    <xf numFmtId="0" fontId="21" fillId="0" borderId="0" xfId="0" applyNumberFormat="1" applyFont="1" applyFill="1" applyAlignment="1">
      <alignment/>
    </xf>
    <xf numFmtId="43" fontId="4" fillId="0" borderId="0" xfId="15" applyFont="1" applyFill="1" applyAlignment="1">
      <alignment/>
    </xf>
    <xf numFmtId="10" fontId="4" fillId="0" borderId="0" xfId="29" applyNumberFormat="1" applyFont="1" applyFill="1" applyAlignment="1">
      <alignment/>
    </xf>
    <xf numFmtId="43" fontId="22" fillId="0" borderId="0" xfId="15" applyFont="1" applyFill="1" applyAlignment="1">
      <alignment/>
    </xf>
    <xf numFmtId="37" fontId="0" fillId="0" borderId="0" xfId="0" applyNumberFormat="1" applyFont="1" applyBorder="1" applyAlignment="1" quotePrefix="1">
      <alignment horizontal="center"/>
    </xf>
    <xf numFmtId="0" fontId="8" fillId="0" borderId="0" xfId="0" applyNumberFormat="1" applyFont="1" applyBorder="1" applyAlignment="1">
      <alignment/>
    </xf>
    <xf numFmtId="181" fontId="18" fillId="0" borderId="0" xfId="0" applyNumberFormat="1" applyFont="1" applyBorder="1" applyAlignment="1">
      <alignment/>
    </xf>
    <xf numFmtId="184" fontId="0" fillId="0" borderId="0" xfId="16" applyNumberFormat="1" applyFont="1" applyBorder="1" applyAlignment="1">
      <alignment/>
    </xf>
    <xf numFmtId="182" fontId="0" fillId="0" borderId="0" xfId="15" applyNumberFormat="1" applyFont="1" applyBorder="1" applyAlignment="1">
      <alignment/>
    </xf>
    <xf numFmtId="181" fontId="0" fillId="0" borderId="0" xfId="0" applyNumberFormat="1" applyFont="1" applyBorder="1" applyAlignment="1">
      <alignment/>
    </xf>
    <xf numFmtId="181" fontId="0" fillId="0" borderId="0" xfId="0" applyNumberFormat="1" applyFont="1" applyBorder="1" applyAlignment="1">
      <alignment horizontal="center"/>
    </xf>
    <xf numFmtId="194" fontId="0" fillId="0" borderId="0" xfId="27" applyNumberFormat="1" applyFont="1" applyBorder="1">
      <alignment/>
      <protection/>
    </xf>
    <xf numFmtId="43" fontId="0" fillId="0" borderId="0" xfId="16" applyNumberFormat="1" applyFont="1" applyBorder="1" applyAlignment="1">
      <alignment/>
    </xf>
    <xf numFmtId="181" fontId="4" fillId="0" borderId="0" xfId="0" applyNumberFormat="1" applyFont="1" applyBorder="1" applyAlignment="1">
      <alignment/>
    </xf>
    <xf numFmtId="0" fontId="0" fillId="0" borderId="0" xfId="0" applyNumberFormat="1" applyFont="1" applyBorder="1" applyAlignment="1" quotePrefix="1">
      <alignment horizontal="left"/>
    </xf>
    <xf numFmtId="43" fontId="4" fillId="0" borderId="0" xfId="0" applyNumberFormat="1" applyFont="1" applyBorder="1" applyAlignment="1">
      <alignment/>
    </xf>
    <xf numFmtId="0" fontId="4" fillId="0" borderId="3" xfId="0" applyNumberFormat="1" applyFont="1" applyBorder="1" applyAlignment="1">
      <alignment horizontal="center"/>
    </xf>
    <xf numFmtId="0" fontId="0"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0" xfId="0" applyNumberFormat="1" applyFont="1" applyAlignment="1">
      <alignment horizontal="justify" wrapText="1"/>
    </xf>
    <xf numFmtId="0" fontId="4" fillId="0" borderId="0" xfId="22" applyNumberFormat="1" applyFont="1" applyAlignment="1">
      <alignment horizontal="justify" vertical="top" wrapText="1"/>
      <protection/>
    </xf>
    <xf numFmtId="0" fontId="4" fillId="0" borderId="0" xfId="0" applyNumberFormat="1" applyFont="1" applyAlignment="1">
      <alignment horizontal="justify"/>
    </xf>
    <xf numFmtId="0" fontId="4" fillId="0" borderId="0" xfId="0" applyNumberFormat="1" applyFont="1" applyAlignment="1">
      <alignment horizontal="left" wrapText="1"/>
    </xf>
    <xf numFmtId="0" fontId="4" fillId="0" borderId="0" xfId="23" applyNumberFormat="1" applyFont="1" applyAlignment="1">
      <alignment horizontal="justify" vertical="top" wrapText="1"/>
      <protection/>
    </xf>
    <xf numFmtId="0" fontId="4" fillId="0" borderId="0" xfId="19" applyNumberFormat="1" applyFont="1" applyAlignment="1">
      <alignment horizontal="justify" vertical="top" wrapText="1"/>
      <protection/>
    </xf>
    <xf numFmtId="0" fontId="4" fillId="0" borderId="0" xfId="23" applyNumberFormat="1" applyFont="1" applyAlignment="1">
      <alignment horizontal="center"/>
      <protection/>
    </xf>
    <xf numFmtId="0" fontId="4" fillId="0" borderId="5" xfId="23" applyNumberFormat="1" applyFont="1" applyBorder="1" applyAlignment="1">
      <alignment horizontal="center"/>
      <protection/>
    </xf>
    <xf numFmtId="0" fontId="4" fillId="0" borderId="0" xfId="24" applyNumberFormat="1" applyFont="1" applyAlignment="1">
      <alignment horizontal="justify" vertical="top" wrapText="1"/>
      <protection/>
    </xf>
    <xf numFmtId="0" fontId="4" fillId="0" borderId="0" xfId="0" applyNumberFormat="1" applyFont="1" applyAlignment="1">
      <alignment/>
    </xf>
    <xf numFmtId="0" fontId="4" fillId="0" borderId="0" xfId="20" applyNumberFormat="1" applyFont="1" applyAlignment="1">
      <alignment horizontal="justify" vertical="top" wrapText="1"/>
      <protection/>
    </xf>
    <xf numFmtId="0" fontId="4" fillId="0" borderId="0" xfId="21" applyNumberFormat="1" applyFont="1" applyAlignment="1">
      <alignment horizontal="justify" vertical="top" wrapText="1"/>
      <protection/>
    </xf>
    <xf numFmtId="0" fontId="4" fillId="0" borderId="0" xfId="21" applyNumberFormat="1" applyFont="1" applyAlignment="1">
      <alignment horizontal="center"/>
      <protection/>
    </xf>
    <xf numFmtId="0" fontId="4" fillId="0" borderId="0" xfId="0" applyNumberFormat="1" applyFont="1" applyBorder="1" applyAlignment="1">
      <alignment horizontal="center"/>
    </xf>
    <xf numFmtId="183" fontId="0" fillId="0" borderId="0" xfId="27" applyFont="1" applyAlignment="1">
      <alignment horizontal="center"/>
      <protection/>
    </xf>
    <xf numFmtId="0" fontId="0" fillId="0" borderId="0" xfId="0" applyNumberFormat="1" applyFont="1" applyAlignment="1">
      <alignment horizontal="center"/>
    </xf>
    <xf numFmtId="0" fontId="4" fillId="0" borderId="5" xfId="28" applyNumberFormat="1" applyFont="1" applyBorder="1" applyAlignment="1">
      <alignment horizontal="center"/>
      <protection/>
    </xf>
    <xf numFmtId="0" fontId="4" fillId="0" borderId="0" xfId="28" applyNumberFormat="1" applyFont="1" applyAlignment="1">
      <alignment horizontal="center"/>
      <protection/>
    </xf>
    <xf numFmtId="183" fontId="0" fillId="0" borderId="0" xfId="27" applyFont="1" applyBorder="1" applyAlignment="1">
      <alignment horizontal="center"/>
      <protection/>
    </xf>
    <xf numFmtId="183" fontId="0" fillId="0" borderId="3" xfId="27" applyFont="1" applyBorder="1" applyAlignment="1">
      <alignment horizontal="center"/>
      <protection/>
    </xf>
    <xf numFmtId="41" fontId="0" fillId="0" borderId="6" xfId="27" applyNumberFormat="1" applyFont="1" applyBorder="1" applyAlignment="1" quotePrefix="1">
      <alignment horizontal="center"/>
      <protection/>
    </xf>
    <xf numFmtId="164" fontId="0" fillId="0" borderId="3" xfId="0" applyBorder="1" applyAlignment="1">
      <alignment horizontal="center"/>
    </xf>
    <xf numFmtId="164" fontId="0" fillId="0" borderId="0" xfId="0" applyAlignment="1">
      <alignment horizontal="center"/>
    </xf>
    <xf numFmtId="183" fontId="0" fillId="0" borderId="0" xfId="27" applyFont="1" applyAlignment="1">
      <alignment horizontal="center"/>
      <protection/>
    </xf>
    <xf numFmtId="43" fontId="0" fillId="0" borderId="3" xfId="15" applyFont="1" applyBorder="1" applyAlignment="1">
      <alignment horizontal="center"/>
    </xf>
    <xf numFmtId="0" fontId="16" fillId="0" borderId="0" xfId="0" applyNumberFormat="1" applyFont="1" applyAlignment="1">
      <alignment horizontal="center"/>
    </xf>
  </cellXfs>
  <cellStyles count="16">
    <cellStyle name="Normal" xfId="0"/>
    <cellStyle name="Comma" xfId="15"/>
    <cellStyle name="Currency" xfId="16"/>
    <cellStyle name="Followed Hyperlink" xfId="17"/>
    <cellStyle name="Hyperlink" xfId="18"/>
    <cellStyle name="Normal_F   5" xfId="19"/>
    <cellStyle name="Normal_F   6   7" xfId="20"/>
    <cellStyle name="Normal_F   8  9  10" xfId="21"/>
    <cellStyle name="Normal_F 2 B" xfId="22"/>
    <cellStyle name="Normal_F 3B 4B" xfId="23"/>
    <cellStyle name="Normal_F 5B" xfId="24"/>
    <cellStyle name="Normal_Factors" xfId="25"/>
    <cellStyle name="Normal_MetersServices" xfId="26"/>
    <cellStyle name="Normal_Sch M" xfId="27"/>
    <cellStyle name="Normal_Sched G"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891"/>
  <sheetViews>
    <sheetView tabSelected="1" workbookViewId="0" topLeftCell="A1">
      <selection activeCell="C1" sqref="C1"/>
    </sheetView>
  </sheetViews>
  <sheetFormatPr defaultColWidth="8.88671875" defaultRowHeight="12.75"/>
  <cols>
    <col min="1" max="1" width="9.10546875" style="137" customWidth="1"/>
    <col min="2" max="2" width="8.21484375" style="137" bestFit="1" customWidth="1"/>
    <col min="3" max="3" width="10.21484375" style="373" customWidth="1"/>
    <col min="4" max="4" width="37.77734375" style="142" customWidth="1"/>
    <col min="5" max="5" width="1.4375" style="142" customWidth="1"/>
    <col min="6" max="6" width="4.6640625" style="153" customWidth="1"/>
    <col min="7" max="7" width="1.4375" style="137" customWidth="1"/>
    <col min="8" max="8" width="10.88671875" style="156" customWidth="1"/>
    <col min="9" max="9" width="2.99609375" style="137" customWidth="1"/>
    <col min="10" max="10" width="10.6640625" style="156" customWidth="1"/>
    <col min="11" max="11" width="1.4375" style="156" customWidth="1"/>
    <col min="12" max="12" width="10.5546875" style="156" customWidth="1"/>
    <col min="13" max="13" width="1.4375" style="156" customWidth="1"/>
    <col min="14" max="14" width="10.88671875" style="156" customWidth="1"/>
    <col min="15" max="15" width="1.5625" style="156" customWidth="1"/>
    <col min="16" max="16" width="10.3359375" style="156" customWidth="1"/>
    <col min="17" max="17" width="1.4375" style="156" customWidth="1"/>
    <col min="18" max="18" width="9.99609375" style="156" customWidth="1"/>
    <col min="19" max="19" width="1.4375" style="156" customWidth="1"/>
    <col min="20" max="20" width="9.6640625" style="156" customWidth="1"/>
    <col min="21" max="21" width="1.5625" style="156" customWidth="1"/>
    <col min="22" max="22" width="9.88671875" style="156" customWidth="1"/>
    <col min="23" max="23" width="2.4453125" style="0" customWidth="1"/>
    <col min="24" max="24" width="9.3359375" style="0" customWidth="1"/>
    <col min="25" max="25" width="12.3359375" style="0" customWidth="1"/>
    <col min="26" max="26" width="1.77734375" style="0" customWidth="1"/>
    <col min="27" max="27" width="40.6640625" style="137" bestFit="1" customWidth="1"/>
    <col min="28" max="28" width="1.33203125" style="0" customWidth="1"/>
    <col min="29" max="29" width="3.99609375" style="0" customWidth="1"/>
    <col min="30" max="30" width="1.66796875" style="0" customWidth="1"/>
    <col min="31" max="31" width="10.77734375" style="0" bestFit="1" customWidth="1"/>
    <col min="32" max="32" width="2.5546875" style="0" customWidth="1"/>
    <col min="33" max="33" width="10.77734375" style="0" bestFit="1" customWidth="1"/>
    <col min="34" max="34" width="0.88671875" style="0" customWidth="1"/>
    <col min="35" max="35" width="10.77734375" style="0" bestFit="1" customWidth="1"/>
    <col min="36" max="36" width="1.2265625" style="0" customWidth="1"/>
    <col min="37" max="37" width="9.6640625" style="0" customWidth="1"/>
    <col min="38" max="38" width="1.2265625" style="0" customWidth="1"/>
    <col min="39" max="39" width="10.10546875" style="0" customWidth="1"/>
    <col min="40" max="40" width="0.88671875" style="0" customWidth="1"/>
    <col min="41" max="41" width="11.10546875" style="0" customWidth="1"/>
    <col min="42" max="42" width="0.88671875" style="0" customWidth="1"/>
    <col min="43" max="43" width="10.77734375" style="0" customWidth="1"/>
    <col min="44" max="44" width="1.77734375" style="0" customWidth="1"/>
    <col min="45" max="45" width="7.99609375" style="0" customWidth="1"/>
    <col min="46" max="46" width="0.78125" style="0" customWidth="1"/>
    <col min="47" max="47" width="9.77734375" style="0" customWidth="1"/>
    <col min="48" max="48" width="0.78125" style="0" customWidth="1"/>
    <col min="49" max="49" width="9.77734375" style="0" customWidth="1"/>
    <col min="50" max="50" width="3.21484375" style="0" customWidth="1"/>
    <col min="51" max="51" width="10.21484375" style="0" customWidth="1"/>
  </cols>
  <sheetData>
    <row r="1" spans="3:22" s="143" customFormat="1" ht="15">
      <c r="C1" s="371"/>
      <c r="D1" s="581" t="s">
        <v>7</v>
      </c>
      <c r="E1" s="581"/>
      <c r="F1" s="581"/>
      <c r="G1" s="581"/>
      <c r="H1" s="581"/>
      <c r="I1" s="581"/>
      <c r="J1" s="581"/>
      <c r="K1" s="581"/>
      <c r="L1" s="581"/>
      <c r="M1" s="581"/>
      <c r="N1" s="581"/>
      <c r="O1" s="581"/>
      <c r="P1" s="581"/>
      <c r="Q1" s="581"/>
      <c r="R1" s="581"/>
      <c r="S1" s="581"/>
      <c r="T1" s="581"/>
      <c r="U1" s="581"/>
      <c r="V1" s="581"/>
    </row>
    <row r="2" spans="3:22" s="143" customFormat="1" ht="13.5" customHeight="1">
      <c r="C2" s="371"/>
      <c r="D2" s="582"/>
      <c r="E2" s="582"/>
      <c r="F2" s="582"/>
      <c r="G2" s="582"/>
      <c r="H2" s="582"/>
      <c r="I2" s="582"/>
      <c r="J2" s="582"/>
      <c r="K2" s="582"/>
      <c r="L2" s="582"/>
      <c r="M2" s="582"/>
      <c r="N2" s="582"/>
      <c r="O2" s="582"/>
      <c r="P2" s="582"/>
      <c r="Q2" s="582"/>
      <c r="R2" s="582"/>
      <c r="S2" s="582"/>
      <c r="T2" s="582"/>
      <c r="U2" s="582"/>
      <c r="V2" s="582"/>
    </row>
    <row r="3" spans="3:22" s="143" customFormat="1" ht="15.75" customHeight="1">
      <c r="C3" s="371"/>
      <c r="D3" s="581" t="s">
        <v>740</v>
      </c>
      <c r="E3" s="581"/>
      <c r="F3" s="581"/>
      <c r="G3" s="581"/>
      <c r="H3" s="581"/>
      <c r="I3" s="581"/>
      <c r="J3" s="581"/>
      <c r="K3" s="581"/>
      <c r="L3" s="581"/>
      <c r="M3" s="581"/>
      <c r="N3" s="581"/>
      <c r="O3" s="581"/>
      <c r="P3" s="581"/>
      <c r="Q3" s="581"/>
      <c r="R3" s="581"/>
      <c r="S3" s="581"/>
      <c r="T3" s="581"/>
      <c r="U3" s="581"/>
      <c r="V3" s="581"/>
    </row>
    <row r="4" spans="3:22" s="143" customFormat="1" ht="11.25" customHeight="1">
      <c r="C4" s="371"/>
      <c r="D4" s="190"/>
      <c r="E4" s="190"/>
      <c r="F4" s="190"/>
      <c r="G4" s="190"/>
      <c r="H4" s="190"/>
      <c r="I4" s="190"/>
      <c r="J4" s="190"/>
      <c r="K4" s="190"/>
      <c r="L4" s="190"/>
      <c r="M4" s="190"/>
      <c r="N4" s="190"/>
      <c r="O4" s="190"/>
      <c r="P4" s="190"/>
      <c r="Q4" s="190"/>
      <c r="R4" s="190"/>
      <c r="S4" s="190"/>
      <c r="T4" s="190"/>
      <c r="U4" s="190"/>
      <c r="V4" s="190"/>
    </row>
    <row r="5" spans="3:22" s="139" customFormat="1" ht="7.5" customHeight="1">
      <c r="C5" s="372"/>
      <c r="D5" s="144"/>
      <c r="E5" s="144"/>
      <c r="F5" s="152"/>
      <c r="G5" s="144"/>
      <c r="H5" s="157"/>
      <c r="I5" s="144"/>
      <c r="J5" s="157"/>
      <c r="K5" s="158"/>
      <c r="L5"/>
      <c r="M5"/>
      <c r="N5"/>
      <c r="O5"/>
      <c r="P5"/>
      <c r="Q5"/>
      <c r="R5"/>
      <c r="S5"/>
      <c r="T5"/>
      <c r="U5"/>
      <c r="V5"/>
    </row>
    <row r="6" spans="3:49" s="139" customFormat="1" ht="15" customHeight="1">
      <c r="C6" s="372"/>
      <c r="D6" s="144"/>
      <c r="E6" s="144"/>
      <c r="F6" s="152" t="s">
        <v>379</v>
      </c>
      <c r="G6" s="144"/>
      <c r="H6" s="157" t="s">
        <v>312</v>
      </c>
      <c r="I6" s="144"/>
      <c r="J6" s="157"/>
      <c r="K6" s="158"/>
      <c r="L6"/>
      <c r="M6"/>
      <c r="N6"/>
      <c r="O6"/>
      <c r="P6" s="146" t="s">
        <v>550</v>
      </c>
      <c r="Q6" s="146"/>
      <c r="R6" s="146" t="s">
        <v>509</v>
      </c>
      <c r="S6" s="146"/>
      <c r="T6" s="580" t="s">
        <v>424</v>
      </c>
      <c r="U6" s="580"/>
      <c r="V6" s="580"/>
      <c r="AG6" s="286"/>
      <c r="AH6" s="286"/>
      <c r="AI6" s="286"/>
      <c r="AJ6" s="286"/>
      <c r="AK6" s="286"/>
      <c r="AL6" s="286"/>
      <c r="AM6" s="286"/>
      <c r="AN6" s="286"/>
      <c r="AO6" s="286"/>
      <c r="AP6" s="286"/>
      <c r="AQ6" s="286" t="s">
        <v>619</v>
      </c>
      <c r="AR6" s="286"/>
      <c r="AS6" s="286" t="s">
        <v>791</v>
      </c>
      <c r="AT6" s="286"/>
      <c r="AU6" s="286" t="s">
        <v>315</v>
      </c>
      <c r="AV6" s="286"/>
      <c r="AW6" s="286" t="s">
        <v>789</v>
      </c>
    </row>
    <row r="7" spans="1:49" s="146" customFormat="1" ht="11.25" customHeight="1">
      <c r="A7" s="139"/>
      <c r="B7" s="139"/>
      <c r="C7" s="372"/>
      <c r="D7" s="147" t="s">
        <v>313</v>
      </c>
      <c r="E7" s="145"/>
      <c r="F7" s="155" t="s">
        <v>311</v>
      </c>
      <c r="G7" s="144"/>
      <c r="H7" s="160" t="s">
        <v>513</v>
      </c>
      <c r="I7" s="144"/>
      <c r="J7" s="160" t="s">
        <v>383</v>
      </c>
      <c r="K7" s="158"/>
      <c r="L7" s="159" t="s">
        <v>384</v>
      </c>
      <c r="M7" s="158"/>
      <c r="N7" s="159" t="s">
        <v>385</v>
      </c>
      <c r="O7" s="158"/>
      <c r="P7" s="159" t="s">
        <v>318</v>
      </c>
      <c r="Q7" s="158"/>
      <c r="R7" s="159" t="s">
        <v>510</v>
      </c>
      <c r="S7" s="158"/>
      <c r="T7" s="159" t="s">
        <v>314</v>
      </c>
      <c r="U7" s="158"/>
      <c r="V7" s="159" t="s">
        <v>550</v>
      </c>
      <c r="AA7" s="139"/>
      <c r="AG7" s="286" t="s">
        <v>616</v>
      </c>
      <c r="AH7" s="286"/>
      <c r="AI7" s="286" t="s">
        <v>617</v>
      </c>
      <c r="AJ7" s="286"/>
      <c r="AK7" s="286" t="s">
        <v>618</v>
      </c>
      <c r="AL7" s="286"/>
      <c r="AM7" s="286" t="s">
        <v>571</v>
      </c>
      <c r="AN7" s="286"/>
      <c r="AO7" s="286" t="s">
        <v>517</v>
      </c>
      <c r="AP7" s="286"/>
      <c r="AQ7" s="286" t="s">
        <v>620</v>
      </c>
      <c r="AR7" s="286"/>
      <c r="AS7" s="286" t="s">
        <v>792</v>
      </c>
      <c r="AT7" s="286"/>
      <c r="AU7" s="286" t="s">
        <v>513</v>
      </c>
      <c r="AV7" s="286"/>
      <c r="AW7" s="286" t="s">
        <v>513</v>
      </c>
    </row>
    <row r="8" spans="1:27" s="154" customFormat="1" ht="14.25" customHeight="1">
      <c r="A8" s="153"/>
      <c r="B8" s="153"/>
      <c r="C8" s="372"/>
      <c r="D8" s="150">
        <v>-1</v>
      </c>
      <c r="E8" s="151"/>
      <c r="F8" s="150">
        <v>-2</v>
      </c>
      <c r="G8" s="152"/>
      <c r="H8" s="157">
        <v>-3</v>
      </c>
      <c r="I8" s="152"/>
      <c r="J8" s="157">
        <v>-4</v>
      </c>
      <c r="K8" s="158"/>
      <c r="L8" s="158">
        <v>-5</v>
      </c>
      <c r="M8" s="158"/>
      <c r="N8" s="158">
        <v>-6</v>
      </c>
      <c r="O8" s="158"/>
      <c r="P8" s="158">
        <v>-7</v>
      </c>
      <c r="Q8" s="158"/>
      <c r="R8" s="158">
        <v>-8</v>
      </c>
      <c r="S8" s="158"/>
      <c r="T8" s="158">
        <v>-9</v>
      </c>
      <c r="U8" s="158"/>
      <c r="V8" s="158">
        <v>-10</v>
      </c>
      <c r="AA8" s="153"/>
    </row>
    <row r="9" spans="1:27" s="146" customFormat="1" ht="12.75">
      <c r="A9" s="139"/>
      <c r="B9" s="139"/>
      <c r="C9" s="372"/>
      <c r="D9" s="145"/>
      <c r="E9" s="145"/>
      <c r="F9" s="150"/>
      <c r="G9" s="144"/>
      <c r="H9" s="157"/>
      <c r="I9" s="144"/>
      <c r="J9" s="157"/>
      <c r="K9" s="158"/>
      <c r="L9" s="158"/>
      <c r="M9" s="158"/>
      <c r="N9" s="158"/>
      <c r="O9" s="158"/>
      <c r="P9" s="158"/>
      <c r="Q9" s="158"/>
      <c r="R9" s="158"/>
      <c r="S9" s="158"/>
      <c r="T9" s="158"/>
      <c r="U9" s="158"/>
      <c r="V9" s="158"/>
      <c r="AA9" s="139"/>
    </row>
    <row r="10" spans="4:27" ht="12.75">
      <c r="D10" s="237" t="s">
        <v>310</v>
      </c>
      <c r="E10" s="140"/>
      <c r="F10" s="152"/>
      <c r="G10" s="141"/>
      <c r="H10" s="148"/>
      <c r="I10" s="141"/>
      <c r="J10" s="148"/>
      <c r="AA10" s="237" t="s">
        <v>310</v>
      </c>
    </row>
    <row r="11" spans="4:27" ht="12.75">
      <c r="D11" s="140" t="s">
        <v>598</v>
      </c>
      <c r="E11" s="140"/>
      <c r="F11" s="152"/>
      <c r="G11" s="141"/>
      <c r="H11" s="148"/>
      <c r="I11" s="141"/>
      <c r="J11" s="148"/>
      <c r="AA11" s="140" t="s">
        <v>598</v>
      </c>
    </row>
    <row r="12" spans="3:27" ht="12.75">
      <c r="C12" s="236"/>
      <c r="D12" s="241" t="s">
        <v>309</v>
      </c>
      <c r="E12" s="140"/>
      <c r="F12" s="311"/>
      <c r="G12" s="141"/>
      <c r="H12" s="148"/>
      <c r="I12" s="141"/>
      <c r="J12" s="148"/>
      <c r="AA12" s="241" t="s">
        <v>309</v>
      </c>
    </row>
    <row r="13" spans="1:51" ht="12.75">
      <c r="A13" s="306"/>
      <c r="B13" s="306"/>
      <c r="C13" s="236"/>
      <c r="D13" s="241" t="s">
        <v>121</v>
      </c>
      <c r="E13" s="218"/>
      <c r="F13" s="311"/>
      <c r="G13" s="141"/>
      <c r="H13" s="222"/>
      <c r="I13" s="222"/>
      <c r="J13" s="222"/>
      <c r="K13" s="223"/>
      <c r="L13" s="222"/>
      <c r="M13" s="223"/>
      <c r="N13" s="222"/>
      <c r="O13" s="223"/>
      <c r="P13" s="222"/>
      <c r="Q13" s="223"/>
      <c r="R13" s="222"/>
      <c r="S13" s="223"/>
      <c r="T13" s="222"/>
      <c r="U13" s="223"/>
      <c r="V13" s="222"/>
      <c r="X13" s="193"/>
      <c r="AA13" s="241" t="s">
        <v>121</v>
      </c>
      <c r="AC13" s="280"/>
      <c r="AE13" s="161"/>
      <c r="AG13" s="148"/>
      <c r="AH13" s="148"/>
      <c r="AI13" s="148"/>
      <c r="AJ13" s="148"/>
      <c r="AK13" s="148"/>
      <c r="AL13" s="148"/>
      <c r="AM13" s="148"/>
      <c r="AN13" s="148"/>
      <c r="AO13" s="148"/>
      <c r="AP13" s="148"/>
      <c r="AQ13" s="148"/>
      <c r="AR13" s="148"/>
      <c r="AS13" s="148"/>
      <c r="AT13" s="148"/>
      <c r="AU13" s="148"/>
      <c r="AV13" s="148"/>
      <c r="AW13" s="148"/>
      <c r="AY13" s="193"/>
    </row>
    <row r="14" spans="1:51" ht="12.75">
      <c r="A14" s="306"/>
      <c r="B14" s="306"/>
      <c r="C14" s="236"/>
      <c r="D14" s="241" t="s">
        <v>122</v>
      </c>
      <c r="E14" s="218"/>
      <c r="F14" s="311">
        <v>2</v>
      </c>
      <c r="G14" s="141"/>
      <c r="H14" s="375">
        <v>0</v>
      </c>
      <c r="I14" s="309"/>
      <c r="J14" s="309">
        <f>(VLOOKUP($F14,Factors,J$384))*$H14</f>
        <v>0</v>
      </c>
      <c r="K14" s="236"/>
      <c r="L14" s="309">
        <f>(VLOOKUP($F14,Factors,L$384))*$H14</f>
        <v>0</v>
      </c>
      <c r="M14" s="236"/>
      <c r="N14" s="309">
        <f>(VLOOKUP($F14,Factors,N$384))*$H14</f>
        <v>0</v>
      </c>
      <c r="O14" s="236"/>
      <c r="P14" s="309">
        <f>(VLOOKUP($F14,Factors,P$384))*$H14</f>
        <v>0</v>
      </c>
      <c r="Q14" s="236"/>
      <c r="R14" s="309">
        <f>(VLOOKUP($F14,Factors,R$384))*$H14</f>
        <v>0</v>
      </c>
      <c r="S14" s="236"/>
      <c r="T14" s="309">
        <f>(VLOOKUP($F14,Factors,T$384))*$H14</f>
        <v>0</v>
      </c>
      <c r="U14" s="236"/>
      <c r="V14" s="309">
        <f>(VLOOKUP($F14,Factors,V$384))*$H14</f>
        <v>0</v>
      </c>
      <c r="W14" s="236"/>
      <c r="X14" s="309"/>
      <c r="Y14" s="161"/>
      <c r="Z14" s="312"/>
      <c r="AA14" s="241" t="s">
        <v>122</v>
      </c>
      <c r="AC14" s="280">
        <f>+F14</f>
        <v>2</v>
      </c>
      <c r="AE14" s="161">
        <f>+H14</f>
        <v>0</v>
      </c>
      <c r="AG14" s="148">
        <f>(VLOOKUP($AC14,func,AG$384))*$AE14</f>
        <v>0</v>
      </c>
      <c r="AH14" s="148"/>
      <c r="AI14" s="148">
        <f>(VLOOKUP($AC14,func,AI$384))*$AE14</f>
        <v>0</v>
      </c>
      <c r="AJ14" s="148"/>
      <c r="AK14" s="148">
        <f>(VLOOKUP($AC14,func,AK$384))*$AE14</f>
        <v>0</v>
      </c>
      <c r="AL14" s="148"/>
      <c r="AM14" s="148">
        <f>(VLOOKUP($AC14,func,AM$384))*$AE14</f>
        <v>0</v>
      </c>
      <c r="AN14" s="148"/>
      <c r="AO14" s="148">
        <f>(VLOOKUP($AC14,func,AO$384))*$AE14</f>
        <v>0</v>
      </c>
      <c r="AP14" s="148"/>
      <c r="AQ14" s="148">
        <f>(VLOOKUP($AC14,func,AQ$384))*$AE14</f>
        <v>0</v>
      </c>
      <c r="AR14" s="148"/>
      <c r="AS14" s="148">
        <f>(VLOOKUP($AC14,func,AS$384))*$AE14</f>
        <v>0</v>
      </c>
      <c r="AT14" s="148"/>
      <c r="AU14" s="148">
        <f>(VLOOKUP($AC14,func,AU$384))*$AE14</f>
        <v>0</v>
      </c>
      <c r="AV14" s="148"/>
      <c r="AW14" s="148">
        <f>(VLOOKUP($AC14,func,AW$384))*$AE14</f>
        <v>0</v>
      </c>
      <c r="AY14" s="193">
        <f>+AQ14+AS14</f>
        <v>0</v>
      </c>
    </row>
    <row r="15" spans="1:51" ht="12.75">
      <c r="A15" s="306"/>
      <c r="B15" s="306"/>
      <c r="C15" s="236"/>
      <c r="D15" s="241" t="s">
        <v>123</v>
      </c>
      <c r="E15" s="218"/>
      <c r="F15" s="311"/>
      <c r="G15" s="141"/>
      <c r="H15" s="375"/>
      <c r="I15" s="235"/>
      <c r="J15" s="235"/>
      <c r="K15" s="373"/>
      <c r="L15" s="235"/>
      <c r="M15" s="373"/>
      <c r="N15" s="235"/>
      <c r="O15" s="373"/>
      <c r="P15" s="235"/>
      <c r="Q15" s="373"/>
      <c r="R15" s="235"/>
      <c r="S15" s="373"/>
      <c r="T15" s="235"/>
      <c r="U15" s="373"/>
      <c r="V15" s="235"/>
      <c r="W15" s="236"/>
      <c r="X15" s="236"/>
      <c r="AA15" s="241" t="s">
        <v>123</v>
      </c>
      <c r="AC15" s="280"/>
      <c r="AE15" s="461"/>
      <c r="AF15" s="163"/>
      <c r="AG15" s="162"/>
      <c r="AH15" s="162"/>
      <c r="AI15" s="162"/>
      <c r="AJ15" s="162"/>
      <c r="AK15" s="162"/>
      <c r="AL15" s="162"/>
      <c r="AM15" s="162"/>
      <c r="AN15" s="162"/>
      <c r="AO15" s="162"/>
      <c r="AP15" s="162"/>
      <c r="AQ15" s="162"/>
      <c r="AR15" s="162"/>
      <c r="AS15" s="162"/>
      <c r="AT15" s="162"/>
      <c r="AU15" s="162"/>
      <c r="AV15" s="162"/>
      <c r="AW15" s="162"/>
      <c r="AY15" s="193"/>
    </row>
    <row r="16" spans="1:51" ht="12.75">
      <c r="A16" s="306"/>
      <c r="B16" s="306"/>
      <c r="C16" s="236"/>
      <c r="D16" s="241" t="s">
        <v>124</v>
      </c>
      <c r="E16" s="218"/>
      <c r="F16" s="311">
        <v>2</v>
      </c>
      <c r="G16" s="141"/>
      <c r="H16" s="375">
        <v>0</v>
      </c>
      <c r="I16" s="235"/>
      <c r="J16" s="235">
        <f>(VLOOKUP($F16,Factors,J$384))*$H16</f>
        <v>0</v>
      </c>
      <c r="K16" s="373"/>
      <c r="L16" s="235">
        <f>(VLOOKUP($F16,Factors,L$384))*$H16</f>
        <v>0</v>
      </c>
      <c r="M16" s="373"/>
      <c r="N16" s="235">
        <f>(VLOOKUP($F16,Factors,N$384))*$H16</f>
        <v>0</v>
      </c>
      <c r="O16" s="373"/>
      <c r="P16" s="235">
        <f>(VLOOKUP($F16,Factors,P$384))*$H16</f>
        <v>0</v>
      </c>
      <c r="Q16" s="373"/>
      <c r="R16" s="235">
        <f>(VLOOKUP($F16,Factors,R$384))*$H16</f>
        <v>0</v>
      </c>
      <c r="S16" s="373"/>
      <c r="T16" s="235">
        <f>(VLOOKUP($F16,Factors,T$384))*$H16</f>
        <v>0</v>
      </c>
      <c r="U16" s="373"/>
      <c r="V16" s="235">
        <f>(VLOOKUP($F16,Factors,V$384))*$H16</f>
        <v>0</v>
      </c>
      <c r="W16" s="236"/>
      <c r="X16" s="236"/>
      <c r="AA16" s="241" t="s">
        <v>124</v>
      </c>
      <c r="AC16" s="280">
        <f>+F16</f>
        <v>2</v>
      </c>
      <c r="AE16" s="161">
        <f>+H16</f>
        <v>0</v>
      </c>
      <c r="AG16" s="148">
        <f>(VLOOKUP($AC16,func,AG$384))*$AE16</f>
        <v>0</v>
      </c>
      <c r="AH16" s="148"/>
      <c r="AI16" s="148">
        <f>(VLOOKUP($AC16,func,AI$384))*$AE16</f>
        <v>0</v>
      </c>
      <c r="AJ16" s="148"/>
      <c r="AK16" s="148">
        <f>(VLOOKUP($AC16,func,AK$384))*$AE16</f>
        <v>0</v>
      </c>
      <c r="AL16" s="148"/>
      <c r="AM16" s="148">
        <f>(VLOOKUP($AC16,func,AM$384))*$AE16</f>
        <v>0</v>
      </c>
      <c r="AN16" s="148"/>
      <c r="AO16" s="148">
        <f>(VLOOKUP($AC16,func,AO$384))*$AE16</f>
        <v>0</v>
      </c>
      <c r="AP16" s="148"/>
      <c r="AQ16" s="148">
        <f>(VLOOKUP($AC16,func,AQ$384))*$AE16</f>
        <v>0</v>
      </c>
      <c r="AR16" s="148"/>
      <c r="AS16" s="148">
        <f>(VLOOKUP($AC16,func,AS$384))*$AE16</f>
        <v>0</v>
      </c>
      <c r="AT16" s="148"/>
      <c r="AU16" s="148">
        <f>(VLOOKUP($AC16,func,AU$384))*$AE16</f>
        <v>0</v>
      </c>
      <c r="AV16" s="148"/>
      <c r="AW16" s="148">
        <f>(VLOOKUP($AC16,func,AW$384))*$AE16</f>
        <v>0</v>
      </c>
      <c r="AY16" s="193"/>
    </row>
    <row r="17" spans="1:51" ht="12.75">
      <c r="A17" s="306"/>
      <c r="B17" s="306"/>
      <c r="C17" s="236"/>
      <c r="D17" s="241" t="s">
        <v>125</v>
      </c>
      <c r="E17" s="218"/>
      <c r="F17" s="311">
        <v>2</v>
      </c>
      <c r="G17" s="141"/>
      <c r="H17" s="375">
        <v>0</v>
      </c>
      <c r="I17" s="235"/>
      <c r="J17" s="235">
        <f>(VLOOKUP($F17,Factors,J$384))*$H17</f>
        <v>0</v>
      </c>
      <c r="K17" s="373"/>
      <c r="L17" s="235">
        <f>(VLOOKUP($F17,Factors,L$384))*$H17</f>
        <v>0</v>
      </c>
      <c r="M17" s="373"/>
      <c r="N17" s="235">
        <f>(VLOOKUP($F17,Factors,N$384))*$H17</f>
        <v>0</v>
      </c>
      <c r="O17" s="373"/>
      <c r="P17" s="235">
        <f>(VLOOKUP($F17,Factors,P$384))*$H17</f>
        <v>0</v>
      </c>
      <c r="Q17" s="373"/>
      <c r="R17" s="235">
        <f>(VLOOKUP($F17,Factors,R$384))*$H17</f>
        <v>0</v>
      </c>
      <c r="S17" s="373"/>
      <c r="T17" s="235">
        <f>(VLOOKUP($F17,Factors,T$384))*$H17</f>
        <v>0</v>
      </c>
      <c r="U17" s="373"/>
      <c r="V17" s="235">
        <f>(VLOOKUP($F17,Factors,V$384))*$H17</f>
        <v>0</v>
      </c>
      <c r="W17" s="236"/>
      <c r="X17" s="236"/>
      <c r="AA17" s="241" t="s">
        <v>125</v>
      </c>
      <c r="AE17" s="162"/>
      <c r="AF17" s="162"/>
      <c r="AG17" s="162"/>
      <c r="AH17" s="162"/>
      <c r="AI17" s="162"/>
      <c r="AJ17" s="162"/>
      <c r="AK17" s="162"/>
      <c r="AL17" s="162"/>
      <c r="AM17" s="162"/>
      <c r="AN17" s="162"/>
      <c r="AO17" s="162"/>
      <c r="AP17" s="162"/>
      <c r="AQ17" s="162"/>
      <c r="AR17" s="162"/>
      <c r="AS17" s="162"/>
      <c r="AT17" s="162"/>
      <c r="AU17" s="162"/>
      <c r="AV17" s="162"/>
      <c r="AW17" s="162"/>
      <c r="AY17" s="193"/>
    </row>
    <row r="18" spans="1:51" ht="12.75">
      <c r="A18" s="306"/>
      <c r="B18" s="306"/>
      <c r="C18" s="236"/>
      <c r="D18" s="241" t="s">
        <v>126</v>
      </c>
      <c r="E18" s="218"/>
      <c r="F18" s="311">
        <v>1</v>
      </c>
      <c r="G18" s="141"/>
      <c r="H18" s="376">
        <v>120655</v>
      </c>
      <c r="I18" s="222"/>
      <c r="J18" s="235">
        <f>(VLOOKUP($F18,Factors,J$384))*$H18</f>
        <v>58915.836500000005</v>
      </c>
      <c r="K18" s="373"/>
      <c r="L18" s="235">
        <f>(VLOOKUP($F18,Factors,L$384))*$H18</f>
        <v>36896.299</v>
      </c>
      <c r="M18" s="373"/>
      <c r="N18" s="235">
        <f>(VLOOKUP($F18,Factors,N$384))*$H18</f>
        <v>4946.8550000000005</v>
      </c>
      <c r="O18" s="373"/>
      <c r="P18" s="235">
        <f>(VLOOKUP($F18,Factors,P$384))*$H18</f>
        <v>14756.1065</v>
      </c>
      <c r="Q18" s="373"/>
      <c r="R18" s="235">
        <f>(VLOOKUP($F18,Factors,R$384))*$H18</f>
        <v>4476.3005</v>
      </c>
      <c r="S18" s="373"/>
      <c r="T18" s="235">
        <f>(VLOOKUP($F18,Factors,T$384))*$H18</f>
        <v>301.6375</v>
      </c>
      <c r="U18" s="373"/>
      <c r="V18" s="235">
        <f>(VLOOKUP($F18,Factors,V$384))*$H18</f>
        <v>361.96500000000003</v>
      </c>
      <c r="W18" s="236"/>
      <c r="X18" s="236"/>
      <c r="AA18" s="241" t="s">
        <v>126</v>
      </c>
      <c r="AC18" s="280">
        <f>+F18</f>
        <v>1</v>
      </c>
      <c r="AE18" s="161">
        <f>+H18</f>
        <v>120655</v>
      </c>
      <c r="AG18" s="148">
        <f>(VLOOKUP($AC18,func,AG$384))*$AE18</f>
        <v>119991.3975</v>
      </c>
      <c r="AH18" s="148"/>
      <c r="AI18" s="148">
        <f>(VLOOKUP($AC18,func,AI$384))*$AE18</f>
        <v>0</v>
      </c>
      <c r="AJ18" s="148"/>
      <c r="AK18" s="148">
        <f>(VLOOKUP($AC18,func,AK$384))*$AE18</f>
        <v>0</v>
      </c>
      <c r="AL18" s="148"/>
      <c r="AM18" s="148">
        <f>(VLOOKUP($AC18,func,AM$384))*$AE18</f>
        <v>0</v>
      </c>
      <c r="AN18" s="148"/>
      <c r="AO18" s="148">
        <f>(VLOOKUP($AC18,func,AO$384))*$AE18</f>
        <v>0</v>
      </c>
      <c r="AP18" s="148"/>
      <c r="AQ18" s="148">
        <f>(VLOOKUP($AC18,func,AQ$384))*$AE18</f>
        <v>0</v>
      </c>
      <c r="AR18" s="148"/>
      <c r="AS18" s="148">
        <f>(VLOOKUP($AC18,func,AS$384))*$AE18</f>
        <v>0</v>
      </c>
      <c r="AT18" s="148"/>
      <c r="AU18" s="148">
        <f>(VLOOKUP($AC18,func,AU$384))*$AE18</f>
        <v>301.6375</v>
      </c>
      <c r="AV18" s="148"/>
      <c r="AW18" s="148">
        <f>(VLOOKUP($AC18,func,AW$384))*$AE18</f>
        <v>361.96500000000003</v>
      </c>
      <c r="AY18" s="193"/>
    </row>
    <row r="19" spans="1:51" ht="12.75">
      <c r="A19" s="306"/>
      <c r="B19" s="306"/>
      <c r="C19" s="236"/>
      <c r="D19" s="241" t="s">
        <v>127</v>
      </c>
      <c r="E19" s="218"/>
      <c r="F19" s="311">
        <v>2</v>
      </c>
      <c r="G19" s="141"/>
      <c r="H19" s="376">
        <v>58932</v>
      </c>
      <c r="I19" s="222"/>
      <c r="J19" s="235">
        <f>(VLOOKUP($F19,Factors,J$384))*$H19</f>
        <v>29507.252399999994</v>
      </c>
      <c r="K19" s="373"/>
      <c r="L19" s="235">
        <f>(VLOOKUP($F19,Factors,L$384))*$H19</f>
        <v>18050.871600000002</v>
      </c>
      <c r="M19" s="373"/>
      <c r="N19" s="235">
        <f>(VLOOKUP($F19,Factors,N$384))*$H19</f>
        <v>2257.0956</v>
      </c>
      <c r="O19" s="373"/>
      <c r="P19" s="235">
        <f>(VLOOKUP($F19,Factors,P$384))*$H19</f>
        <v>6883.2576</v>
      </c>
      <c r="Q19" s="373"/>
      <c r="R19" s="235">
        <f>(VLOOKUP($F19,Factors,R$384))*$H19</f>
        <v>2039.0472</v>
      </c>
      <c r="S19" s="373"/>
      <c r="T19" s="235">
        <f>(VLOOKUP($F19,Factors,T$384))*$H19</f>
        <v>88.398</v>
      </c>
      <c r="U19" s="373"/>
      <c r="V19" s="235">
        <f>(VLOOKUP($F19,Factors,V$384))*$H19</f>
        <v>106.0776</v>
      </c>
      <c r="W19" s="236"/>
      <c r="X19" s="236"/>
      <c r="AA19" s="241" t="s">
        <v>127</v>
      </c>
      <c r="AC19" s="280">
        <f>+F19</f>
        <v>2</v>
      </c>
      <c r="AE19" s="161">
        <f>+H19</f>
        <v>58932</v>
      </c>
      <c r="AG19" s="148">
        <f>(VLOOKUP($AC19,func,AG$384))*$AE19</f>
        <v>35524.2096</v>
      </c>
      <c r="AH19" s="148"/>
      <c r="AI19" s="148">
        <f>(VLOOKUP($AC19,func,AI$384))*$AE19</f>
        <v>23213.3148</v>
      </c>
      <c r="AJ19" s="148"/>
      <c r="AK19" s="148">
        <f>(VLOOKUP($AC19,func,AK$384))*$AE19</f>
        <v>0</v>
      </c>
      <c r="AL19" s="148"/>
      <c r="AM19" s="148">
        <f>(VLOOKUP($AC19,func,AM$384))*$AE19</f>
        <v>0</v>
      </c>
      <c r="AN19" s="148"/>
      <c r="AO19" s="148">
        <f>(VLOOKUP($AC19,func,AO$384))*$AE19</f>
        <v>0</v>
      </c>
      <c r="AP19" s="148"/>
      <c r="AQ19" s="148">
        <f>(VLOOKUP($AC19,func,AQ$384))*$AE19</f>
        <v>0</v>
      </c>
      <c r="AR19" s="148"/>
      <c r="AS19" s="148">
        <f>(VLOOKUP($AC19,func,AS$384))*$AE19</f>
        <v>0</v>
      </c>
      <c r="AT19" s="148"/>
      <c r="AU19" s="148">
        <f>(VLOOKUP($AC19,func,AU$384))*$AE19</f>
        <v>88.398</v>
      </c>
      <c r="AV19" s="148"/>
      <c r="AW19" s="148">
        <f>(VLOOKUP($AC19,func,AW$384))*$AE19</f>
        <v>106.0776</v>
      </c>
      <c r="AY19" s="193"/>
    </row>
    <row r="20" spans="1:51" ht="12.75">
      <c r="A20" s="306"/>
      <c r="B20" s="306"/>
      <c r="C20" s="236"/>
      <c r="D20" s="241" t="s">
        <v>128</v>
      </c>
      <c r="E20" s="218"/>
      <c r="F20" s="311">
        <v>2</v>
      </c>
      <c r="G20" s="141"/>
      <c r="H20" s="467">
        <v>0</v>
      </c>
      <c r="I20" s="222"/>
      <c r="J20" s="468">
        <f>(VLOOKUP($F20,Factors,J$384))*$H20</f>
        <v>0</v>
      </c>
      <c r="K20" s="222"/>
      <c r="L20" s="468">
        <f>(VLOOKUP($F20,Factors,L$384))*$H20</f>
        <v>0</v>
      </c>
      <c r="M20" s="222"/>
      <c r="N20" s="468">
        <f>(VLOOKUP($F20,Factors,N$384))*$H20</f>
        <v>0</v>
      </c>
      <c r="O20" s="222"/>
      <c r="P20" s="468">
        <f>(VLOOKUP($F20,Factors,P$384))*$H20</f>
        <v>0</v>
      </c>
      <c r="Q20" s="222"/>
      <c r="R20" s="468">
        <f>(VLOOKUP($F20,Factors,R$384))*$H20</f>
        <v>0</v>
      </c>
      <c r="S20" s="222"/>
      <c r="T20" s="468">
        <f>(VLOOKUP($F20,Factors,T$384))*$H20</f>
        <v>0</v>
      </c>
      <c r="U20" s="222"/>
      <c r="V20" s="468">
        <f>(VLOOKUP($F20,Factors,V$384))*$H20</f>
        <v>0</v>
      </c>
      <c r="W20" s="236"/>
      <c r="X20" s="236"/>
      <c r="AA20" s="241" t="s">
        <v>128</v>
      </c>
      <c r="AC20" s="280">
        <f>+F20</f>
        <v>2</v>
      </c>
      <c r="AE20" s="317">
        <f>+H20</f>
        <v>0</v>
      </c>
      <c r="AG20" s="149">
        <f>(VLOOKUP($AC20,func,AG$384))*$AE20</f>
        <v>0</v>
      </c>
      <c r="AI20" s="149">
        <f>(VLOOKUP($AC20,func,AI$384))*$AE20</f>
        <v>0</v>
      </c>
      <c r="AK20" s="149">
        <f>(VLOOKUP($AC20,func,AK$384))*$AE20</f>
        <v>0</v>
      </c>
      <c r="AM20" s="149">
        <f>(VLOOKUP($AC20,func,AM$384))*$AE20</f>
        <v>0</v>
      </c>
      <c r="AO20" s="149">
        <f>(VLOOKUP($AC20,func,AO$384))*$AE20</f>
        <v>0</v>
      </c>
      <c r="AQ20" s="149">
        <f>(VLOOKUP($AC20,func,AQ$384))*$AE20</f>
        <v>0</v>
      </c>
      <c r="AS20" s="149">
        <f>(VLOOKUP($AC20,func,AS$384))*$AE20</f>
        <v>0</v>
      </c>
      <c r="AU20" s="149">
        <f>(VLOOKUP($AC20,func,AU$384))*$AE20</f>
        <v>0</v>
      </c>
      <c r="AW20" s="149">
        <f>(VLOOKUP($AC20,func,AW$384))*$AE20</f>
        <v>0</v>
      </c>
      <c r="AY20" s="193"/>
    </row>
    <row r="21" spans="1:51" ht="12.75">
      <c r="A21" s="306"/>
      <c r="B21" s="306"/>
      <c r="C21" s="374"/>
      <c r="D21" s="295"/>
      <c r="E21" s="218"/>
      <c r="F21" s="150"/>
      <c r="G21" s="141"/>
      <c r="H21" s="376"/>
      <c r="I21" s="219"/>
      <c r="J21" s="162"/>
      <c r="K21" s="220"/>
      <c r="L21" s="162"/>
      <c r="M21" s="220"/>
      <c r="N21" s="162"/>
      <c r="O21" s="220"/>
      <c r="P21" s="162"/>
      <c r="Q21" s="220"/>
      <c r="R21" s="162"/>
      <c r="S21" s="220"/>
      <c r="T21" s="162"/>
      <c r="U21" s="220"/>
      <c r="V21" s="162"/>
      <c r="X21" s="193"/>
      <c r="AA21" s="295"/>
      <c r="AB21" s="218"/>
      <c r="AC21" s="150"/>
      <c r="AD21" s="141"/>
      <c r="AE21" s="376"/>
      <c r="AF21" s="163"/>
      <c r="AG21" s="162"/>
      <c r="AH21" s="163"/>
      <c r="AI21" s="162"/>
      <c r="AJ21" s="163"/>
      <c r="AK21" s="162"/>
      <c r="AL21" s="163"/>
      <c r="AM21" s="162"/>
      <c r="AN21" s="163"/>
      <c r="AO21" s="162"/>
      <c r="AP21" s="163"/>
      <c r="AQ21" s="162"/>
      <c r="AR21" s="163"/>
      <c r="AS21" s="162"/>
      <c r="AT21" s="163"/>
      <c r="AU21" s="162"/>
      <c r="AV21" s="163"/>
      <c r="AW21" s="162"/>
      <c r="AY21" s="193"/>
    </row>
    <row r="22" spans="1:51" ht="12.75">
      <c r="A22" s="306"/>
      <c r="B22" s="306"/>
      <c r="C22" s="374"/>
      <c r="D22" s="241" t="s">
        <v>129</v>
      </c>
      <c r="E22" s="310"/>
      <c r="F22" s="311"/>
      <c r="G22" s="241"/>
      <c r="H22" s="376">
        <f>SUM(H14:H20)</f>
        <v>179587</v>
      </c>
      <c r="I22" s="312"/>
      <c r="J22" s="312">
        <f aca="true" t="shared" si="0" ref="J22:V22">SUM(J14:J20)</f>
        <v>88423.0889</v>
      </c>
      <c r="K22" s="312"/>
      <c r="L22" s="312">
        <f t="shared" si="0"/>
        <v>54947.1706</v>
      </c>
      <c r="M22" s="312"/>
      <c r="N22" s="312">
        <f t="shared" si="0"/>
        <v>7203.9506</v>
      </c>
      <c r="O22" s="312"/>
      <c r="P22" s="312">
        <f t="shared" si="0"/>
        <v>21639.3641</v>
      </c>
      <c r="Q22" s="312"/>
      <c r="R22" s="312">
        <f t="shared" si="0"/>
        <v>6515.3477</v>
      </c>
      <c r="S22" s="312"/>
      <c r="T22" s="312">
        <f t="shared" si="0"/>
        <v>390.03549999999996</v>
      </c>
      <c r="U22" s="312"/>
      <c r="V22" s="312">
        <f t="shared" si="0"/>
        <v>468.04260000000005</v>
      </c>
      <c r="W22" s="312"/>
      <c r="X22" s="312"/>
      <c r="Y22" s="312"/>
      <c r="Z22" s="312"/>
      <c r="AA22" s="241" t="s">
        <v>129</v>
      </c>
      <c r="AB22" s="310"/>
      <c r="AC22" s="311"/>
      <c r="AD22" s="241"/>
      <c r="AE22" s="376">
        <f>SUM(AE14:AE20)</f>
        <v>179587</v>
      </c>
      <c r="AF22" s="241"/>
      <c r="AG22" s="376">
        <f>SUM(AG14:AG20)</f>
        <v>155515.60710000002</v>
      </c>
      <c r="AH22" s="241"/>
      <c r="AI22" s="376">
        <f>SUM(AI14:AI20)</f>
        <v>23213.3148</v>
      </c>
      <c r="AJ22" s="241"/>
      <c r="AK22" s="376">
        <f>SUM(AK14:AK20)</f>
        <v>0</v>
      </c>
      <c r="AL22" s="241"/>
      <c r="AM22" s="376">
        <f>SUM(AM14:AM20)</f>
        <v>0</v>
      </c>
      <c r="AN22" s="241"/>
      <c r="AO22" s="376">
        <f>SUM(AO14:AO20)</f>
        <v>0</v>
      </c>
      <c r="AP22" s="241"/>
      <c r="AQ22" s="376">
        <f>SUM(AQ14:AQ20)</f>
        <v>0</v>
      </c>
      <c r="AR22" s="241"/>
      <c r="AS22" s="376">
        <f>SUM(AS14:AS20)</f>
        <v>0</v>
      </c>
      <c r="AT22" s="241"/>
      <c r="AU22" s="376">
        <f>SUM(AU14:AU20)</f>
        <v>390.03549999999996</v>
      </c>
      <c r="AV22" s="241"/>
      <c r="AW22" s="376">
        <f>SUM(AW14:AW20)</f>
        <v>468.04260000000005</v>
      </c>
      <c r="AY22" s="193"/>
    </row>
    <row r="23" spans="1:51" ht="12.75">
      <c r="A23" s="306"/>
      <c r="B23" s="306"/>
      <c r="C23" s="374"/>
      <c r="D23" s="295"/>
      <c r="E23" s="218"/>
      <c r="F23" s="150"/>
      <c r="G23" s="141"/>
      <c r="H23" s="376"/>
      <c r="I23" s="219"/>
      <c r="J23" s="162"/>
      <c r="K23" s="220"/>
      <c r="L23" s="162"/>
      <c r="M23" s="220"/>
      <c r="N23" s="162"/>
      <c r="O23" s="220"/>
      <c r="P23" s="162"/>
      <c r="Q23" s="220"/>
      <c r="R23" s="162"/>
      <c r="S23" s="220"/>
      <c r="T23" s="162"/>
      <c r="U23" s="220"/>
      <c r="V23" s="162"/>
      <c r="X23" s="193"/>
      <c r="AA23" s="295"/>
      <c r="AC23" s="280"/>
      <c r="AE23" s="461"/>
      <c r="AF23" s="163"/>
      <c r="AG23" s="162"/>
      <c r="AH23" s="162"/>
      <c r="AI23" s="162"/>
      <c r="AJ23" s="162"/>
      <c r="AK23" s="162"/>
      <c r="AL23" s="162"/>
      <c r="AM23" s="162"/>
      <c r="AN23" s="162"/>
      <c r="AO23" s="162"/>
      <c r="AP23" s="162"/>
      <c r="AQ23" s="162"/>
      <c r="AR23" s="162"/>
      <c r="AS23" s="162"/>
      <c r="AT23" s="162"/>
      <c r="AU23" s="162"/>
      <c r="AV23" s="162"/>
      <c r="AW23" s="162"/>
      <c r="AY23" s="193"/>
    </row>
    <row r="24" spans="1:51" ht="12.75">
      <c r="A24" s="306"/>
      <c r="B24" s="306"/>
      <c r="C24" s="236"/>
      <c r="D24" s="241" t="s">
        <v>130</v>
      </c>
      <c r="E24" s="310"/>
      <c r="F24" s="311"/>
      <c r="G24" s="241"/>
      <c r="H24" s="376"/>
      <c r="I24" s="219"/>
      <c r="J24" s="162"/>
      <c r="K24" s="220"/>
      <c r="L24" s="162"/>
      <c r="M24" s="220"/>
      <c r="N24" s="162"/>
      <c r="O24" s="220"/>
      <c r="P24" s="162"/>
      <c r="Q24" s="220"/>
      <c r="R24" s="162"/>
      <c r="S24" s="220"/>
      <c r="T24" s="162"/>
      <c r="U24" s="220"/>
      <c r="V24" s="162"/>
      <c r="X24" s="193"/>
      <c r="AA24" s="241" t="s">
        <v>130</v>
      </c>
      <c r="AC24" s="280"/>
      <c r="AE24" s="161"/>
      <c r="AG24" s="148"/>
      <c r="AH24" s="148"/>
      <c r="AI24" s="148"/>
      <c r="AJ24" s="148"/>
      <c r="AK24" s="148"/>
      <c r="AL24" s="148"/>
      <c r="AM24" s="148"/>
      <c r="AN24" s="148"/>
      <c r="AO24" s="148"/>
      <c r="AP24" s="148"/>
      <c r="AQ24" s="148"/>
      <c r="AR24" s="148"/>
      <c r="AS24" s="148"/>
      <c r="AT24" s="148"/>
      <c r="AU24" s="148"/>
      <c r="AV24" s="148"/>
      <c r="AW24" s="148"/>
      <c r="AY24" s="193"/>
    </row>
    <row r="25" spans="1:51" ht="12.75">
      <c r="A25" s="306"/>
      <c r="B25" s="306"/>
      <c r="C25" s="236"/>
      <c r="D25" s="241" t="s">
        <v>131</v>
      </c>
      <c r="E25" s="310"/>
      <c r="F25" s="311">
        <v>2</v>
      </c>
      <c r="G25" s="241"/>
      <c r="H25" s="375">
        <v>0</v>
      </c>
      <c r="I25" s="459"/>
      <c r="J25" s="235">
        <f aca="true" t="shared" si="1" ref="J25:J30">(VLOOKUP($F25,Factors,J$384))*$H25</f>
        <v>0</v>
      </c>
      <c r="K25" s="373"/>
      <c r="L25" s="235">
        <f aca="true" t="shared" si="2" ref="L25:L30">(VLOOKUP($F25,Factors,L$384))*$H25</f>
        <v>0</v>
      </c>
      <c r="M25" s="373"/>
      <c r="N25" s="235">
        <f aca="true" t="shared" si="3" ref="N25:N30">(VLOOKUP($F25,Factors,N$384))*$H25</f>
        <v>0</v>
      </c>
      <c r="O25" s="373"/>
      <c r="P25" s="235">
        <f aca="true" t="shared" si="4" ref="P25:P30">(VLOOKUP($F25,Factors,P$384))*$H25</f>
        <v>0</v>
      </c>
      <c r="Q25" s="373"/>
      <c r="R25" s="235">
        <f aca="true" t="shared" si="5" ref="R25:R30">(VLOOKUP($F25,Factors,R$384))*$H25</f>
        <v>0</v>
      </c>
      <c r="S25" s="373"/>
      <c r="T25" s="235">
        <f aca="true" t="shared" si="6" ref="T25:T30">(VLOOKUP($F25,Factors,T$384))*$H25</f>
        <v>0</v>
      </c>
      <c r="U25" s="373"/>
      <c r="V25" s="235">
        <f aca="true" t="shared" si="7" ref="V25:V30">(VLOOKUP($F25,Factors,V$384))*$H25</f>
        <v>0</v>
      </c>
      <c r="W25" s="236"/>
      <c r="X25" s="236"/>
      <c r="AA25" s="241" t="s">
        <v>131</v>
      </c>
      <c r="AC25" s="280">
        <f aca="true" t="shared" si="8" ref="AC25:AC30">+F25</f>
        <v>2</v>
      </c>
      <c r="AE25" s="161">
        <f aca="true" t="shared" si="9" ref="AE25:AE33">+H25</f>
        <v>0</v>
      </c>
      <c r="AG25" s="148">
        <f aca="true" t="shared" si="10" ref="AG25:AG30">(VLOOKUP($AC25,func,AG$384))*$AE25</f>
        <v>0</v>
      </c>
      <c r="AH25" s="148"/>
      <c r="AI25" s="148">
        <f aca="true" t="shared" si="11" ref="AI25:AI30">(VLOOKUP($AC25,func,AI$384))*$AE25</f>
        <v>0</v>
      </c>
      <c r="AJ25" s="148"/>
      <c r="AK25" s="148">
        <f aca="true" t="shared" si="12" ref="AK25:AK30">(VLOOKUP($AC25,func,AK$384))*$AE25</f>
        <v>0</v>
      </c>
      <c r="AL25" s="148"/>
      <c r="AM25" s="148">
        <f aca="true" t="shared" si="13" ref="AM25:AM30">(VLOOKUP($AC25,func,AM$384))*$AE25</f>
        <v>0</v>
      </c>
      <c r="AN25" s="148"/>
      <c r="AO25" s="148">
        <f aca="true" t="shared" si="14" ref="AO25:AO30">(VLOOKUP($AC25,func,AO$384))*$AE25</f>
        <v>0</v>
      </c>
      <c r="AP25" s="148"/>
      <c r="AQ25" s="148">
        <f aca="true" t="shared" si="15" ref="AQ25:AS30">(VLOOKUP($AC25,func,AQ$384))*$AE25</f>
        <v>0</v>
      </c>
      <c r="AR25" s="148"/>
      <c r="AS25" s="148">
        <f t="shared" si="15"/>
        <v>0</v>
      </c>
      <c r="AT25" s="148"/>
      <c r="AU25" s="148">
        <f aca="true" t="shared" si="16" ref="AU25:AW30">(VLOOKUP($AC25,func,AU$384))*$AE25</f>
        <v>0</v>
      </c>
      <c r="AV25" s="148"/>
      <c r="AW25" s="148">
        <f t="shared" si="16"/>
        <v>0</v>
      </c>
      <c r="AY25" s="193"/>
    </row>
    <row r="26" spans="1:51" ht="12.75">
      <c r="A26" s="306"/>
      <c r="B26" s="306"/>
      <c r="C26" s="236"/>
      <c r="D26" s="241" t="s">
        <v>132</v>
      </c>
      <c r="E26" s="310"/>
      <c r="F26" s="311">
        <v>1</v>
      </c>
      <c r="G26" s="241"/>
      <c r="H26" s="375">
        <v>0</v>
      </c>
      <c r="I26" s="219"/>
      <c r="J26" s="235">
        <f t="shared" si="1"/>
        <v>0</v>
      </c>
      <c r="K26" s="373"/>
      <c r="L26" s="235">
        <f t="shared" si="2"/>
        <v>0</v>
      </c>
      <c r="M26" s="373"/>
      <c r="N26" s="235">
        <f t="shared" si="3"/>
        <v>0</v>
      </c>
      <c r="O26" s="373"/>
      <c r="P26" s="235">
        <f t="shared" si="4"/>
        <v>0</v>
      </c>
      <c r="Q26" s="373"/>
      <c r="R26" s="235">
        <f t="shared" si="5"/>
        <v>0</v>
      </c>
      <c r="S26" s="373"/>
      <c r="T26" s="235">
        <f t="shared" si="6"/>
        <v>0</v>
      </c>
      <c r="U26" s="373"/>
      <c r="V26" s="235">
        <f t="shared" si="7"/>
        <v>0</v>
      </c>
      <c r="W26" s="236"/>
      <c r="X26" s="236"/>
      <c r="AA26" s="241" t="s">
        <v>132</v>
      </c>
      <c r="AC26" s="280">
        <f t="shared" si="8"/>
        <v>1</v>
      </c>
      <c r="AE26" s="161">
        <f t="shared" si="9"/>
        <v>0</v>
      </c>
      <c r="AG26" s="148">
        <f t="shared" si="10"/>
        <v>0</v>
      </c>
      <c r="AH26" s="148"/>
      <c r="AI26" s="148">
        <f t="shared" si="11"/>
        <v>0</v>
      </c>
      <c r="AJ26" s="148"/>
      <c r="AK26" s="148">
        <f t="shared" si="12"/>
        <v>0</v>
      </c>
      <c r="AL26" s="148"/>
      <c r="AM26" s="148">
        <f t="shared" si="13"/>
        <v>0</v>
      </c>
      <c r="AN26" s="148"/>
      <c r="AO26" s="148">
        <f t="shared" si="14"/>
        <v>0</v>
      </c>
      <c r="AP26" s="148"/>
      <c r="AQ26" s="148">
        <f t="shared" si="15"/>
        <v>0</v>
      </c>
      <c r="AR26" s="148"/>
      <c r="AS26" s="148">
        <f t="shared" si="15"/>
        <v>0</v>
      </c>
      <c r="AT26" s="148"/>
      <c r="AU26" s="148">
        <f t="shared" si="16"/>
        <v>0</v>
      </c>
      <c r="AV26" s="148"/>
      <c r="AW26" s="148">
        <f t="shared" si="16"/>
        <v>0</v>
      </c>
      <c r="AY26" s="193"/>
    </row>
    <row r="27" spans="1:51" ht="12.75">
      <c r="A27" s="306"/>
      <c r="B27" s="306"/>
      <c r="C27" s="236"/>
      <c r="D27" s="241" t="s">
        <v>133</v>
      </c>
      <c r="E27" s="310"/>
      <c r="F27" s="311">
        <v>2</v>
      </c>
      <c r="G27" s="241"/>
      <c r="H27" s="375">
        <v>0</v>
      </c>
      <c r="I27" s="219"/>
      <c r="J27" s="235">
        <f t="shared" si="1"/>
        <v>0</v>
      </c>
      <c r="K27" s="373"/>
      <c r="L27" s="235">
        <f t="shared" si="2"/>
        <v>0</v>
      </c>
      <c r="M27" s="373"/>
      <c r="N27" s="235">
        <f t="shared" si="3"/>
        <v>0</v>
      </c>
      <c r="O27" s="373"/>
      <c r="P27" s="235">
        <f t="shared" si="4"/>
        <v>0</v>
      </c>
      <c r="Q27" s="373"/>
      <c r="R27" s="235">
        <f t="shared" si="5"/>
        <v>0</v>
      </c>
      <c r="S27" s="373"/>
      <c r="T27" s="235">
        <f t="shared" si="6"/>
        <v>0</v>
      </c>
      <c r="U27" s="373"/>
      <c r="V27" s="235">
        <f t="shared" si="7"/>
        <v>0</v>
      </c>
      <c r="W27" s="236"/>
      <c r="X27" s="236"/>
      <c r="AA27" s="241" t="s">
        <v>133</v>
      </c>
      <c r="AC27" s="280">
        <f t="shared" si="8"/>
        <v>2</v>
      </c>
      <c r="AE27" s="161">
        <f t="shared" si="9"/>
        <v>0</v>
      </c>
      <c r="AG27" s="148">
        <f t="shared" si="10"/>
        <v>0</v>
      </c>
      <c r="AH27" s="148"/>
      <c r="AI27" s="148">
        <f t="shared" si="11"/>
        <v>0</v>
      </c>
      <c r="AJ27" s="148"/>
      <c r="AK27" s="148">
        <f t="shared" si="12"/>
        <v>0</v>
      </c>
      <c r="AL27" s="148"/>
      <c r="AM27" s="148">
        <f t="shared" si="13"/>
        <v>0</v>
      </c>
      <c r="AN27" s="148"/>
      <c r="AO27" s="148">
        <f t="shared" si="14"/>
        <v>0</v>
      </c>
      <c r="AP27" s="148"/>
      <c r="AQ27" s="148">
        <f t="shared" si="15"/>
        <v>0</v>
      </c>
      <c r="AR27" s="148"/>
      <c r="AS27" s="148">
        <f t="shared" si="15"/>
        <v>0</v>
      </c>
      <c r="AT27" s="148"/>
      <c r="AU27" s="148">
        <f t="shared" si="16"/>
        <v>0</v>
      </c>
      <c r="AV27" s="148"/>
      <c r="AW27" s="148">
        <f t="shared" si="16"/>
        <v>0</v>
      </c>
      <c r="AY27" s="193"/>
    </row>
    <row r="28" spans="1:51" ht="12.75">
      <c r="A28" s="306"/>
      <c r="B28" s="306"/>
      <c r="C28" s="236"/>
      <c r="D28" s="241" t="s">
        <v>134</v>
      </c>
      <c r="E28" s="310"/>
      <c r="F28" s="311">
        <v>2</v>
      </c>
      <c r="G28" s="241"/>
      <c r="H28" s="375">
        <v>0</v>
      </c>
      <c r="I28" s="219"/>
      <c r="J28" s="235">
        <f t="shared" si="1"/>
        <v>0</v>
      </c>
      <c r="K28" s="373"/>
      <c r="L28" s="235">
        <f t="shared" si="2"/>
        <v>0</v>
      </c>
      <c r="M28" s="373"/>
      <c r="N28" s="235">
        <f t="shared" si="3"/>
        <v>0</v>
      </c>
      <c r="O28" s="373"/>
      <c r="P28" s="235">
        <f t="shared" si="4"/>
        <v>0</v>
      </c>
      <c r="Q28" s="373"/>
      <c r="R28" s="235">
        <f t="shared" si="5"/>
        <v>0</v>
      </c>
      <c r="S28" s="373"/>
      <c r="T28" s="235">
        <f t="shared" si="6"/>
        <v>0</v>
      </c>
      <c r="U28" s="373"/>
      <c r="V28" s="235">
        <f t="shared" si="7"/>
        <v>0</v>
      </c>
      <c r="W28" s="236"/>
      <c r="X28" s="236"/>
      <c r="AA28" s="241" t="s">
        <v>134</v>
      </c>
      <c r="AC28" s="280">
        <f t="shared" si="8"/>
        <v>2</v>
      </c>
      <c r="AE28" s="161">
        <f t="shared" si="9"/>
        <v>0</v>
      </c>
      <c r="AG28" s="148">
        <f t="shared" si="10"/>
        <v>0</v>
      </c>
      <c r="AH28" s="148"/>
      <c r="AI28" s="148">
        <f t="shared" si="11"/>
        <v>0</v>
      </c>
      <c r="AJ28" s="148"/>
      <c r="AK28" s="148">
        <f t="shared" si="12"/>
        <v>0</v>
      </c>
      <c r="AL28" s="148"/>
      <c r="AM28" s="148">
        <f t="shared" si="13"/>
        <v>0</v>
      </c>
      <c r="AN28" s="148"/>
      <c r="AO28" s="148">
        <f t="shared" si="14"/>
        <v>0</v>
      </c>
      <c r="AP28" s="148"/>
      <c r="AQ28" s="148">
        <f t="shared" si="15"/>
        <v>0</v>
      </c>
      <c r="AR28" s="148"/>
      <c r="AS28" s="148">
        <f t="shared" si="15"/>
        <v>0</v>
      </c>
      <c r="AT28" s="148"/>
      <c r="AU28" s="148">
        <f t="shared" si="16"/>
        <v>0</v>
      </c>
      <c r="AV28" s="148"/>
      <c r="AW28" s="148">
        <f t="shared" si="16"/>
        <v>0</v>
      </c>
      <c r="AY28" s="193"/>
    </row>
    <row r="29" spans="1:51" ht="12.75">
      <c r="A29" s="306"/>
      <c r="B29" s="306"/>
      <c r="C29" s="236"/>
      <c r="D29" s="241" t="s">
        <v>135</v>
      </c>
      <c r="E29" s="310"/>
      <c r="F29" s="311">
        <v>2</v>
      </c>
      <c r="G29" s="241"/>
      <c r="H29" s="375">
        <v>0</v>
      </c>
      <c r="I29" s="219"/>
      <c r="J29" s="235">
        <f t="shared" si="1"/>
        <v>0</v>
      </c>
      <c r="K29" s="373"/>
      <c r="L29" s="235">
        <f t="shared" si="2"/>
        <v>0</v>
      </c>
      <c r="M29" s="373"/>
      <c r="N29" s="235">
        <f t="shared" si="3"/>
        <v>0</v>
      </c>
      <c r="O29" s="373"/>
      <c r="P29" s="235">
        <f t="shared" si="4"/>
        <v>0</v>
      </c>
      <c r="Q29" s="373"/>
      <c r="R29" s="235">
        <f t="shared" si="5"/>
        <v>0</v>
      </c>
      <c r="S29" s="373"/>
      <c r="T29" s="235">
        <f t="shared" si="6"/>
        <v>0</v>
      </c>
      <c r="U29" s="373"/>
      <c r="V29" s="235">
        <f t="shared" si="7"/>
        <v>0</v>
      </c>
      <c r="W29" s="236"/>
      <c r="X29" s="236"/>
      <c r="AA29" s="241" t="s">
        <v>135</v>
      </c>
      <c r="AC29" s="280">
        <f t="shared" si="8"/>
        <v>2</v>
      </c>
      <c r="AE29" s="161">
        <f t="shared" si="9"/>
        <v>0</v>
      </c>
      <c r="AG29" s="148">
        <f t="shared" si="10"/>
        <v>0</v>
      </c>
      <c r="AH29" s="148"/>
      <c r="AI29" s="148">
        <f t="shared" si="11"/>
        <v>0</v>
      </c>
      <c r="AJ29" s="148"/>
      <c r="AK29" s="148">
        <f t="shared" si="12"/>
        <v>0</v>
      </c>
      <c r="AL29" s="148"/>
      <c r="AM29" s="148">
        <f t="shared" si="13"/>
        <v>0</v>
      </c>
      <c r="AN29" s="148"/>
      <c r="AO29" s="148">
        <f t="shared" si="14"/>
        <v>0</v>
      </c>
      <c r="AP29" s="148"/>
      <c r="AQ29" s="148">
        <f t="shared" si="15"/>
        <v>0</v>
      </c>
      <c r="AR29" s="148"/>
      <c r="AS29" s="148">
        <f t="shared" si="15"/>
        <v>0</v>
      </c>
      <c r="AT29" s="148"/>
      <c r="AU29" s="148">
        <f t="shared" si="16"/>
        <v>0</v>
      </c>
      <c r="AV29" s="148"/>
      <c r="AW29" s="148">
        <f t="shared" si="16"/>
        <v>0</v>
      </c>
      <c r="AY29" s="193"/>
    </row>
    <row r="30" spans="1:51" ht="12.75">
      <c r="A30" s="306"/>
      <c r="B30" s="306"/>
      <c r="C30" s="236"/>
      <c r="D30" s="241" t="s">
        <v>136</v>
      </c>
      <c r="E30" s="310"/>
      <c r="F30" s="311">
        <v>2</v>
      </c>
      <c r="G30" s="241"/>
      <c r="H30" s="375">
        <v>0</v>
      </c>
      <c r="I30" s="219"/>
      <c r="J30" s="235">
        <f t="shared" si="1"/>
        <v>0</v>
      </c>
      <c r="K30" s="373"/>
      <c r="L30" s="235">
        <f t="shared" si="2"/>
        <v>0</v>
      </c>
      <c r="M30" s="373"/>
      <c r="N30" s="235">
        <f t="shared" si="3"/>
        <v>0</v>
      </c>
      <c r="O30" s="373"/>
      <c r="P30" s="235">
        <f t="shared" si="4"/>
        <v>0</v>
      </c>
      <c r="Q30" s="373"/>
      <c r="R30" s="235">
        <f t="shared" si="5"/>
        <v>0</v>
      </c>
      <c r="S30" s="373"/>
      <c r="T30" s="235">
        <f t="shared" si="6"/>
        <v>0</v>
      </c>
      <c r="U30" s="373"/>
      <c r="V30" s="235">
        <f t="shared" si="7"/>
        <v>0</v>
      </c>
      <c r="W30" s="236"/>
      <c r="X30" s="236"/>
      <c r="AA30" s="241" t="s">
        <v>136</v>
      </c>
      <c r="AC30" s="280">
        <f t="shared" si="8"/>
        <v>2</v>
      </c>
      <c r="AE30" s="161">
        <f t="shared" si="9"/>
        <v>0</v>
      </c>
      <c r="AG30" s="148">
        <f t="shared" si="10"/>
        <v>0</v>
      </c>
      <c r="AH30" s="148"/>
      <c r="AI30" s="148">
        <f t="shared" si="11"/>
        <v>0</v>
      </c>
      <c r="AJ30" s="148"/>
      <c r="AK30" s="148">
        <f t="shared" si="12"/>
        <v>0</v>
      </c>
      <c r="AL30" s="148"/>
      <c r="AM30" s="148">
        <f t="shared" si="13"/>
        <v>0</v>
      </c>
      <c r="AN30" s="148"/>
      <c r="AO30" s="148">
        <f t="shared" si="14"/>
        <v>0</v>
      </c>
      <c r="AP30" s="148"/>
      <c r="AQ30" s="148">
        <f t="shared" si="15"/>
        <v>0</v>
      </c>
      <c r="AR30" s="148"/>
      <c r="AS30" s="148">
        <f t="shared" si="15"/>
        <v>0</v>
      </c>
      <c r="AT30" s="148"/>
      <c r="AU30" s="148">
        <f t="shared" si="16"/>
        <v>0</v>
      </c>
      <c r="AV30" s="148"/>
      <c r="AW30" s="148">
        <f t="shared" si="16"/>
        <v>0</v>
      </c>
      <c r="AY30" s="193"/>
    </row>
    <row r="31" spans="1:51" ht="12.75">
      <c r="A31" s="306"/>
      <c r="B31" s="306"/>
      <c r="C31" s="236"/>
      <c r="D31" s="241" t="s">
        <v>137</v>
      </c>
      <c r="E31" s="310"/>
      <c r="F31" s="311"/>
      <c r="G31" s="241"/>
      <c r="H31" s="375"/>
      <c r="I31" s="219"/>
      <c r="J31" s="162"/>
      <c r="K31" s="220"/>
      <c r="L31" s="162"/>
      <c r="M31" s="220"/>
      <c r="N31" s="162"/>
      <c r="O31" s="220"/>
      <c r="P31" s="162"/>
      <c r="Q31" s="220"/>
      <c r="R31" s="162"/>
      <c r="S31" s="220"/>
      <c r="T31" s="162"/>
      <c r="U31" s="220"/>
      <c r="V31" s="162"/>
      <c r="X31" s="193"/>
      <c r="AA31" s="241" t="s">
        <v>137</v>
      </c>
      <c r="AC31" s="280"/>
      <c r="AE31" s="161"/>
      <c r="AG31" s="148"/>
      <c r="AH31" s="148"/>
      <c r="AI31" s="148"/>
      <c r="AJ31" s="148"/>
      <c r="AK31" s="148"/>
      <c r="AL31" s="148"/>
      <c r="AM31" s="148"/>
      <c r="AN31" s="148"/>
      <c r="AO31" s="148"/>
      <c r="AP31" s="148"/>
      <c r="AQ31" s="148"/>
      <c r="AR31" s="148"/>
      <c r="AS31" s="148"/>
      <c r="AT31" s="148"/>
      <c r="AU31" s="148"/>
      <c r="AV31" s="148"/>
      <c r="AW31" s="148"/>
      <c r="AY31" s="193"/>
    </row>
    <row r="32" spans="1:51" ht="12.75">
      <c r="A32" s="306"/>
      <c r="B32" s="306"/>
      <c r="C32" s="236"/>
      <c r="D32" s="241" t="s">
        <v>124</v>
      </c>
      <c r="E32" s="310"/>
      <c r="F32" s="311">
        <v>2</v>
      </c>
      <c r="G32" s="241"/>
      <c r="H32" s="375">
        <v>162505</v>
      </c>
      <c r="I32" s="459"/>
      <c r="J32" s="235">
        <f>(VLOOKUP($F32,Factors,J$384))*$H32</f>
        <v>81366.25349999999</v>
      </c>
      <c r="K32" s="373"/>
      <c r="L32" s="235">
        <f>(VLOOKUP($F32,Factors,L$384))*$H32</f>
        <v>49775.281500000005</v>
      </c>
      <c r="M32" s="373"/>
      <c r="N32" s="235">
        <f>(VLOOKUP($F32,Factors,N$384))*$H32</f>
        <v>6223.9415</v>
      </c>
      <c r="O32" s="373"/>
      <c r="P32" s="235">
        <f>(VLOOKUP($F32,Factors,P$384))*$H32</f>
        <v>18980.584</v>
      </c>
      <c r="Q32" s="373"/>
      <c r="R32" s="235">
        <f>(VLOOKUP($F32,Factors,R$384))*$H32</f>
        <v>5622.673</v>
      </c>
      <c r="S32" s="373"/>
      <c r="T32" s="235">
        <f>(VLOOKUP($F32,Factors,T$384))*$H32</f>
        <v>243.7575</v>
      </c>
      <c r="U32" s="373"/>
      <c r="V32" s="235">
        <f>(VLOOKUP($F32,Factors,V$384))*$H32</f>
        <v>292.509</v>
      </c>
      <c r="W32" s="236"/>
      <c r="X32" s="236"/>
      <c r="AA32" s="241" t="s">
        <v>124</v>
      </c>
      <c r="AC32" s="280">
        <f>+F32</f>
        <v>2</v>
      </c>
      <c r="AE32" s="161">
        <f t="shared" si="9"/>
        <v>162505</v>
      </c>
      <c r="AG32" s="148">
        <f>(VLOOKUP($AC32,func,AG$384))*$AE32</f>
        <v>97958.014</v>
      </c>
      <c r="AH32" s="148"/>
      <c r="AI32" s="148">
        <f>(VLOOKUP($AC32,func,AI$384))*$AE32</f>
        <v>64010.71949999999</v>
      </c>
      <c r="AJ32" s="148"/>
      <c r="AK32" s="148">
        <f>(VLOOKUP($AC32,func,AK$384))*$AE32</f>
        <v>0</v>
      </c>
      <c r="AL32" s="148"/>
      <c r="AM32" s="148">
        <f>(VLOOKUP($AC32,func,AM$384))*$AE32</f>
        <v>0</v>
      </c>
      <c r="AN32" s="148"/>
      <c r="AO32" s="148">
        <f>(VLOOKUP($AC32,func,AO$384))*$AE32</f>
        <v>0</v>
      </c>
      <c r="AP32" s="148"/>
      <c r="AQ32" s="148">
        <f>(VLOOKUP($AC32,func,AQ$384))*$AE32</f>
        <v>0</v>
      </c>
      <c r="AR32" s="148"/>
      <c r="AS32" s="148">
        <f>(VLOOKUP($AC32,func,AS$384))*$AE32</f>
        <v>0</v>
      </c>
      <c r="AT32" s="148"/>
      <c r="AU32" s="148">
        <f>(VLOOKUP($AC32,func,AU$384))*$AE32</f>
        <v>243.7575</v>
      </c>
      <c r="AV32" s="148"/>
      <c r="AW32" s="148">
        <f>(VLOOKUP($AC32,func,AW$384))*$AE32</f>
        <v>292.509</v>
      </c>
      <c r="AY32" s="193"/>
    </row>
    <row r="33" spans="1:51" ht="12.75">
      <c r="A33" s="306"/>
      <c r="B33" s="306"/>
      <c r="C33" s="236"/>
      <c r="D33" s="241" t="s">
        <v>125</v>
      </c>
      <c r="E33" s="310"/>
      <c r="F33" s="311">
        <v>2</v>
      </c>
      <c r="G33" s="241"/>
      <c r="H33" s="467">
        <v>0</v>
      </c>
      <c r="I33" s="459"/>
      <c r="J33" s="468">
        <f>(VLOOKUP($F33,Factors,J$384))*$H33</f>
        <v>0</v>
      </c>
      <c r="K33" s="459"/>
      <c r="L33" s="468">
        <f>(VLOOKUP($F33,Factors,L$384))*$H33</f>
        <v>0</v>
      </c>
      <c r="M33" s="459"/>
      <c r="N33" s="468">
        <f>(VLOOKUP($F33,Factors,N$384))*$H33</f>
        <v>0</v>
      </c>
      <c r="O33" s="459"/>
      <c r="P33" s="468">
        <f>(VLOOKUP($F33,Factors,P$384))*$H33</f>
        <v>0</v>
      </c>
      <c r="Q33" s="459"/>
      <c r="R33" s="468">
        <f>(VLOOKUP($F33,Factors,R$384))*$H33</f>
        <v>0</v>
      </c>
      <c r="S33" s="459"/>
      <c r="T33" s="468">
        <f>(VLOOKUP($F33,Factors,T$384))*$H33</f>
        <v>0</v>
      </c>
      <c r="U33" s="459"/>
      <c r="V33" s="468">
        <f>(VLOOKUP($F33,Factors,V$384))*$H33</f>
        <v>0</v>
      </c>
      <c r="W33" s="236"/>
      <c r="X33" s="236"/>
      <c r="AA33" s="241" t="s">
        <v>125</v>
      </c>
      <c r="AC33" s="280">
        <f>+F33</f>
        <v>2</v>
      </c>
      <c r="AE33" s="317">
        <f t="shared" si="9"/>
        <v>0</v>
      </c>
      <c r="AG33" s="149">
        <f>(VLOOKUP($AC33,func,AG$384))*$AE33</f>
        <v>0</v>
      </c>
      <c r="AI33" s="149">
        <f>(VLOOKUP($AC33,func,AI$384))*$AE33</f>
        <v>0</v>
      </c>
      <c r="AK33" s="149">
        <f>(VLOOKUP($AC33,func,AK$384))*$AE33</f>
        <v>0</v>
      </c>
      <c r="AM33" s="149">
        <f>(VLOOKUP($AC33,func,AM$384))*$AE33</f>
        <v>0</v>
      </c>
      <c r="AO33" s="149">
        <f>(VLOOKUP($AC33,func,AO$384))*$AE33</f>
        <v>0</v>
      </c>
      <c r="AQ33" s="149">
        <f>(VLOOKUP($AC33,func,AQ$384))*$AE33</f>
        <v>0</v>
      </c>
      <c r="AS33" s="149">
        <f>(VLOOKUP($AC33,func,AS$384))*$AE33</f>
        <v>0</v>
      </c>
      <c r="AU33" s="149">
        <f>(VLOOKUP($AC33,func,AU$384))*$AE33</f>
        <v>0</v>
      </c>
      <c r="AW33" s="149">
        <f>(VLOOKUP($AC33,func,AW$384))*$AE33</f>
        <v>0</v>
      </c>
      <c r="AY33" s="193"/>
    </row>
    <row r="34" spans="1:51" ht="12.75">
      <c r="A34" s="306"/>
      <c r="B34" s="306"/>
      <c r="C34" s="236"/>
      <c r="D34" s="241"/>
      <c r="E34" s="310"/>
      <c r="F34" s="311"/>
      <c r="G34" s="241"/>
      <c r="H34" s="376"/>
      <c r="I34" s="459"/>
      <c r="J34" s="460"/>
      <c r="K34" s="459"/>
      <c r="L34" s="460"/>
      <c r="M34" s="459"/>
      <c r="N34" s="460"/>
      <c r="O34" s="459"/>
      <c r="P34" s="460"/>
      <c r="Q34" s="459"/>
      <c r="R34" s="460"/>
      <c r="S34" s="459"/>
      <c r="T34" s="460"/>
      <c r="U34" s="459"/>
      <c r="V34" s="460"/>
      <c r="X34" s="193"/>
      <c r="AA34" s="241"/>
      <c r="AC34" s="280"/>
      <c r="AE34" s="461"/>
      <c r="AF34" s="163"/>
      <c r="AG34" s="460"/>
      <c r="AH34" s="460"/>
      <c r="AI34" s="460"/>
      <c r="AJ34" s="460"/>
      <c r="AK34" s="460"/>
      <c r="AL34" s="460"/>
      <c r="AM34" s="460"/>
      <c r="AN34" s="460"/>
      <c r="AO34" s="460"/>
      <c r="AP34" s="460"/>
      <c r="AQ34" s="460"/>
      <c r="AR34" s="460"/>
      <c r="AS34" s="460"/>
      <c r="AT34" s="460"/>
      <c r="AU34" s="460"/>
      <c r="AV34" s="460"/>
      <c r="AW34" s="460"/>
      <c r="AY34" s="193"/>
    </row>
    <row r="35" spans="1:51" ht="12.75">
      <c r="A35" s="306"/>
      <c r="B35" s="306"/>
      <c r="C35" s="236"/>
      <c r="D35" s="241" t="s">
        <v>138</v>
      </c>
      <c r="E35" s="310"/>
      <c r="F35" s="311"/>
      <c r="G35" s="241"/>
      <c r="H35" s="469">
        <f>SUM(H25:H33)</f>
        <v>162505</v>
      </c>
      <c r="I35" s="241"/>
      <c r="J35" s="469">
        <f>SUM(J25:J33)</f>
        <v>81366.25349999999</v>
      </c>
      <c r="K35" s="241"/>
      <c r="L35" s="469">
        <f>SUM(L25:L33)</f>
        <v>49775.281500000005</v>
      </c>
      <c r="M35" s="241"/>
      <c r="N35" s="469">
        <f>SUM(N25:N33)</f>
        <v>6223.9415</v>
      </c>
      <c r="O35" s="241"/>
      <c r="P35" s="469">
        <f>SUM(P25:P33)</f>
        <v>18980.584</v>
      </c>
      <c r="Q35" s="241"/>
      <c r="R35" s="469">
        <f>SUM(R25:R33)</f>
        <v>5622.673</v>
      </c>
      <c r="S35" s="241"/>
      <c r="T35" s="469">
        <f>SUM(T25:T33)</f>
        <v>243.7575</v>
      </c>
      <c r="U35" s="241"/>
      <c r="V35" s="469">
        <f>SUM(V25:V33)</f>
        <v>292.509</v>
      </c>
      <c r="X35" s="193"/>
      <c r="AA35" s="241" t="s">
        <v>138</v>
      </c>
      <c r="AB35" s="310"/>
      <c r="AC35" s="311"/>
      <c r="AD35" s="241"/>
      <c r="AE35" s="469">
        <f>SUM(AE25:AE33)</f>
        <v>162505</v>
      </c>
      <c r="AF35" s="241"/>
      <c r="AG35" s="469">
        <f>SUM(AG25:AG33)</f>
        <v>97958.014</v>
      </c>
      <c r="AH35" s="241"/>
      <c r="AI35" s="469">
        <f>SUM(AI25:AI33)</f>
        <v>64010.71949999999</v>
      </c>
      <c r="AJ35" s="241"/>
      <c r="AK35" s="469">
        <f>SUM(AK25:AK33)</f>
        <v>0</v>
      </c>
      <c r="AL35" s="241"/>
      <c r="AM35" s="469">
        <f>SUM(AM25:AM33)</f>
        <v>0</v>
      </c>
      <c r="AN35" s="241"/>
      <c r="AO35" s="469">
        <f>SUM(AO25:AO33)</f>
        <v>0</v>
      </c>
      <c r="AP35" s="241"/>
      <c r="AQ35" s="469">
        <f>SUM(AQ25:AQ33)</f>
        <v>0</v>
      </c>
      <c r="AR35" s="241"/>
      <c r="AS35" s="469">
        <f>SUM(AS25:AS33)</f>
        <v>0</v>
      </c>
      <c r="AT35" s="241"/>
      <c r="AU35" s="469">
        <f>SUM(AU25:AU33)</f>
        <v>243.7575</v>
      </c>
      <c r="AV35" s="241"/>
      <c r="AW35" s="469">
        <f>SUM(AW25:AW33)</f>
        <v>292.509</v>
      </c>
      <c r="AY35" s="193"/>
    </row>
    <row r="36" spans="1:51" ht="12.75">
      <c r="A36" s="306"/>
      <c r="B36" s="306"/>
      <c r="C36" s="236"/>
      <c r="D36" s="241"/>
      <c r="E36" s="310"/>
      <c r="F36" s="311"/>
      <c r="G36" s="241"/>
      <c r="H36" s="376"/>
      <c r="I36" s="241"/>
      <c r="J36" s="376"/>
      <c r="K36" s="241"/>
      <c r="L36" s="376"/>
      <c r="M36" s="241"/>
      <c r="N36" s="376"/>
      <c r="O36" s="241"/>
      <c r="P36" s="376"/>
      <c r="Q36" s="241"/>
      <c r="R36" s="376"/>
      <c r="S36" s="241"/>
      <c r="T36" s="376"/>
      <c r="U36" s="241"/>
      <c r="V36" s="376"/>
      <c r="X36" s="193"/>
      <c r="AA36" s="241"/>
      <c r="AB36" s="310"/>
      <c r="AC36" s="311"/>
      <c r="AD36" s="241"/>
      <c r="AE36" s="376"/>
      <c r="AF36" s="241"/>
      <c r="AG36" s="376"/>
      <c r="AH36" s="241"/>
      <c r="AI36" s="376"/>
      <c r="AJ36" s="241"/>
      <c r="AK36" s="376"/>
      <c r="AL36" s="241"/>
      <c r="AM36" s="376"/>
      <c r="AN36" s="241"/>
      <c r="AO36" s="376"/>
      <c r="AP36" s="241"/>
      <c r="AQ36" s="376"/>
      <c r="AR36" s="241"/>
      <c r="AS36" s="376"/>
      <c r="AT36" s="241"/>
      <c r="AU36" s="376"/>
      <c r="AV36" s="241"/>
      <c r="AW36" s="376"/>
      <c r="AY36" s="193"/>
    </row>
    <row r="37" spans="1:51" ht="12.75">
      <c r="A37" s="306"/>
      <c r="B37" s="306"/>
      <c r="C37" s="236"/>
      <c r="D37" s="241" t="s">
        <v>139</v>
      </c>
      <c r="E37" s="310"/>
      <c r="F37" s="311"/>
      <c r="G37" s="241"/>
      <c r="H37" s="376">
        <f>H22+H35</f>
        <v>342092</v>
      </c>
      <c r="I37" s="241"/>
      <c r="J37" s="376">
        <f>J22+J35</f>
        <v>169789.3424</v>
      </c>
      <c r="K37" s="241"/>
      <c r="L37" s="376">
        <f>L22+L35</f>
        <v>104722.4521</v>
      </c>
      <c r="M37" s="241"/>
      <c r="N37" s="376">
        <f>N22+N35</f>
        <v>13427.892100000001</v>
      </c>
      <c r="O37" s="241"/>
      <c r="P37" s="376">
        <f>P22+P35</f>
        <v>40619.948099999994</v>
      </c>
      <c r="Q37" s="241"/>
      <c r="R37" s="376">
        <f>R22+R35</f>
        <v>12138.020700000001</v>
      </c>
      <c r="S37" s="241"/>
      <c r="T37" s="376">
        <f>T22+T35</f>
        <v>633.7929999999999</v>
      </c>
      <c r="U37" s="241"/>
      <c r="V37" s="376">
        <f>V22+V35</f>
        <v>760.5516</v>
      </c>
      <c r="X37" s="193"/>
      <c r="AA37" s="241" t="s">
        <v>139</v>
      </c>
      <c r="AB37" s="310"/>
      <c r="AC37" s="311"/>
      <c r="AD37" s="241"/>
      <c r="AE37" s="376">
        <f>AE22+AE35</f>
        <v>342092</v>
      </c>
      <c r="AF37" s="241"/>
      <c r="AG37" s="376">
        <f>AG22+AG35</f>
        <v>253473.62110000002</v>
      </c>
      <c r="AH37" s="241"/>
      <c r="AI37" s="376">
        <f>AI22+AI35</f>
        <v>87224.0343</v>
      </c>
      <c r="AJ37" s="241"/>
      <c r="AK37" s="376">
        <f>AK22+AK35</f>
        <v>0</v>
      </c>
      <c r="AL37" s="241"/>
      <c r="AM37" s="376">
        <f>AM22+AM35</f>
        <v>0</v>
      </c>
      <c r="AN37" s="241"/>
      <c r="AO37" s="376">
        <f>AO22+AO35</f>
        <v>0</v>
      </c>
      <c r="AP37" s="241"/>
      <c r="AQ37" s="376">
        <f>AQ22+AQ35</f>
        <v>0</v>
      </c>
      <c r="AR37" s="241"/>
      <c r="AS37" s="376">
        <f>AS22+AS35</f>
        <v>0</v>
      </c>
      <c r="AT37" s="241"/>
      <c r="AU37" s="376">
        <f>AU22+AU35</f>
        <v>633.7929999999999</v>
      </c>
      <c r="AV37" s="241"/>
      <c r="AW37" s="376">
        <f>AW22+AW35</f>
        <v>760.5516</v>
      </c>
      <c r="AY37" s="193"/>
    </row>
    <row r="38" spans="1:51" ht="12.75">
      <c r="A38" s="306"/>
      <c r="B38" s="306"/>
      <c r="C38" s="374"/>
      <c r="D38" s="295"/>
      <c r="E38" s="218"/>
      <c r="F38" s="150"/>
      <c r="G38" s="141"/>
      <c r="H38" s="376"/>
      <c r="I38" s="219"/>
      <c r="J38" s="162"/>
      <c r="K38" s="220"/>
      <c r="L38" s="220"/>
      <c r="M38" s="220"/>
      <c r="N38" s="220"/>
      <c r="O38" s="220"/>
      <c r="P38" s="220"/>
      <c r="Q38" s="220"/>
      <c r="R38" s="220"/>
      <c r="S38" s="220"/>
      <c r="T38" s="220"/>
      <c r="U38" s="220"/>
      <c r="V38" s="220"/>
      <c r="X38" s="193"/>
      <c r="AA38" s="295"/>
      <c r="AE38" s="162"/>
      <c r="AF38" s="219"/>
      <c r="AG38" s="162"/>
      <c r="AH38" s="220"/>
      <c r="AI38" s="220"/>
      <c r="AJ38" s="220"/>
      <c r="AK38" s="220"/>
      <c r="AL38" s="220"/>
      <c r="AM38" s="220"/>
      <c r="AN38" s="220"/>
      <c r="AO38" s="220"/>
      <c r="AP38" s="220"/>
      <c r="AQ38" s="220"/>
      <c r="AR38" s="220"/>
      <c r="AS38" s="220"/>
      <c r="AT38" s="220"/>
      <c r="AU38" s="220"/>
      <c r="AV38" s="220"/>
      <c r="AW38" s="220"/>
      <c r="AY38" s="193"/>
    </row>
    <row r="39" spans="1:51" ht="12.75">
      <c r="A39" s="306"/>
      <c r="B39" s="306"/>
      <c r="C39" s="236"/>
      <c r="D39" s="241" t="s">
        <v>308</v>
      </c>
      <c r="E39" s="310"/>
      <c r="F39" s="311"/>
      <c r="G39" s="241"/>
      <c r="H39" s="376"/>
      <c r="I39" s="162"/>
      <c r="J39" s="162"/>
      <c r="K39" s="162"/>
      <c r="L39" s="162"/>
      <c r="M39" s="162"/>
      <c r="N39" s="162"/>
      <c r="O39" s="162"/>
      <c r="P39" s="162"/>
      <c r="Q39" s="162"/>
      <c r="R39" s="162"/>
      <c r="S39" s="162"/>
      <c r="T39" s="162"/>
      <c r="U39" s="162"/>
      <c r="V39" s="162"/>
      <c r="X39" s="193"/>
      <c r="AA39" s="241" t="s">
        <v>308</v>
      </c>
      <c r="AE39" s="162"/>
      <c r="AF39" s="162"/>
      <c r="AG39" s="162"/>
      <c r="AH39" s="162"/>
      <c r="AI39" s="162"/>
      <c r="AJ39" s="162"/>
      <c r="AK39" s="162"/>
      <c r="AL39" s="162"/>
      <c r="AM39" s="162"/>
      <c r="AN39" s="162"/>
      <c r="AO39" s="162"/>
      <c r="AP39" s="162"/>
      <c r="AQ39" s="162"/>
      <c r="AR39" s="162"/>
      <c r="AS39" s="162"/>
      <c r="AT39" s="162"/>
      <c r="AU39" s="162"/>
      <c r="AV39" s="162"/>
      <c r="AW39" s="162"/>
      <c r="AY39" s="193"/>
    </row>
    <row r="40" spans="1:51" ht="12.75">
      <c r="A40" s="306"/>
      <c r="B40" s="306"/>
      <c r="C40" s="236"/>
      <c r="D40" s="241" t="s">
        <v>140</v>
      </c>
      <c r="E40" s="310"/>
      <c r="F40" s="311">
        <v>6</v>
      </c>
      <c r="G40" s="241"/>
      <c r="H40" s="376">
        <v>0</v>
      </c>
      <c r="I40" s="219"/>
      <c r="J40" s="235">
        <f>(VLOOKUP($F40,Factors,J$384))*$H40</f>
        <v>0</v>
      </c>
      <c r="K40" s="373"/>
      <c r="L40" s="235">
        <f>(VLOOKUP($F40,Factors,L$384))*$H40</f>
        <v>0</v>
      </c>
      <c r="M40" s="373"/>
      <c r="N40" s="235">
        <f>(VLOOKUP($F40,Factors,N$384))*$H40</f>
        <v>0</v>
      </c>
      <c r="O40" s="373"/>
      <c r="P40" s="235">
        <f>(VLOOKUP($F40,Factors,P$384))*$H40</f>
        <v>0</v>
      </c>
      <c r="Q40" s="373"/>
      <c r="R40" s="235">
        <f>(VLOOKUP($F40,Factors,R$384))*$H40</f>
        <v>0</v>
      </c>
      <c r="S40" s="373"/>
      <c r="T40" s="235">
        <f>(VLOOKUP($F40,Factors,T$384))*$H40</f>
        <v>0</v>
      </c>
      <c r="U40" s="373"/>
      <c r="V40" s="235">
        <f>(VLOOKUP($F40,Factors,V$384))*$H40</f>
        <v>0</v>
      </c>
      <c r="W40" s="236"/>
      <c r="X40" s="236"/>
      <c r="AA40" s="241" t="s">
        <v>140</v>
      </c>
      <c r="AC40" s="280">
        <f aca="true" t="shared" si="17" ref="AC40:AC49">+F40</f>
        <v>6</v>
      </c>
      <c r="AE40" s="161">
        <f aca="true" t="shared" si="18" ref="AE40:AE49">+H40</f>
        <v>0</v>
      </c>
      <c r="AG40" s="148">
        <f>(VLOOKUP($AC40,func,AG$384))*$AE40</f>
        <v>0</v>
      </c>
      <c r="AH40" s="148"/>
      <c r="AI40" s="148">
        <f>(VLOOKUP($AC40,func,AI$384))*$AE40</f>
        <v>0</v>
      </c>
      <c r="AJ40" s="148"/>
      <c r="AK40" s="148">
        <f>(VLOOKUP($AC40,func,AK$384))*$AE40</f>
        <v>0</v>
      </c>
      <c r="AL40" s="148"/>
      <c r="AM40" s="148">
        <f>(VLOOKUP($AC40,func,AM$384))*$AE40</f>
        <v>0</v>
      </c>
      <c r="AN40" s="148"/>
      <c r="AO40" s="148">
        <f>(VLOOKUP($AC40,func,AO$384))*$AE40</f>
        <v>0</v>
      </c>
      <c r="AP40" s="148"/>
      <c r="AQ40" s="148">
        <f>(VLOOKUP($AC40,func,AQ$384))*$AE40</f>
        <v>0</v>
      </c>
      <c r="AR40" s="148"/>
      <c r="AS40" s="148">
        <f>(VLOOKUP($AC40,func,AS$384))*$AE40</f>
        <v>0</v>
      </c>
      <c r="AT40" s="148"/>
      <c r="AU40" s="148">
        <f>(VLOOKUP($AC40,func,AU$384))*$AE40</f>
        <v>0</v>
      </c>
      <c r="AV40" s="148"/>
      <c r="AW40" s="148">
        <f>(VLOOKUP($AC40,func,AW$384))*$AE40</f>
        <v>0</v>
      </c>
      <c r="AY40" s="193"/>
    </row>
    <row r="41" spans="1:51" ht="12.75">
      <c r="A41" s="306"/>
      <c r="B41" s="306"/>
      <c r="C41" s="236"/>
      <c r="D41" s="241" t="s">
        <v>141</v>
      </c>
      <c r="E41" s="310"/>
      <c r="F41" s="311"/>
      <c r="G41" s="241"/>
      <c r="H41" s="376"/>
      <c r="I41" s="219"/>
      <c r="J41" s="162"/>
      <c r="K41" s="220"/>
      <c r="L41" s="220"/>
      <c r="M41" s="220"/>
      <c r="N41" s="220"/>
      <c r="O41" s="220"/>
      <c r="P41" s="220"/>
      <c r="Q41" s="220"/>
      <c r="R41" s="220"/>
      <c r="S41" s="220"/>
      <c r="T41" s="220"/>
      <c r="U41" s="220"/>
      <c r="V41" s="220"/>
      <c r="X41" s="193"/>
      <c r="AA41" s="241" t="s">
        <v>141</v>
      </c>
      <c r="AC41" s="280"/>
      <c r="AE41" s="161"/>
      <c r="AG41" s="148"/>
      <c r="AH41" s="148"/>
      <c r="AI41" s="148"/>
      <c r="AJ41" s="148"/>
      <c r="AK41" s="148"/>
      <c r="AL41" s="148"/>
      <c r="AM41" s="148"/>
      <c r="AN41" s="148"/>
      <c r="AO41" s="148"/>
      <c r="AP41" s="148"/>
      <c r="AQ41" s="148"/>
      <c r="AR41" s="148"/>
      <c r="AS41" s="148"/>
      <c r="AT41" s="148"/>
      <c r="AU41" s="148"/>
      <c r="AV41" s="148"/>
      <c r="AW41" s="148"/>
      <c r="AY41" s="193"/>
    </row>
    <row r="42" spans="1:51" ht="12.75">
      <c r="A42" s="306"/>
      <c r="B42" s="306"/>
      <c r="C42" s="236"/>
      <c r="D42" s="241" t="s">
        <v>124</v>
      </c>
      <c r="E42" s="310"/>
      <c r="F42" s="311">
        <v>6</v>
      </c>
      <c r="G42" s="241"/>
      <c r="H42" s="376">
        <v>0</v>
      </c>
      <c r="I42" s="219"/>
      <c r="J42" s="235">
        <f>(VLOOKUP($F42,Factors,J$384))*$H42</f>
        <v>0</v>
      </c>
      <c r="K42" s="373"/>
      <c r="L42" s="235">
        <f>(VLOOKUP($F42,Factors,L$384))*$H42</f>
        <v>0</v>
      </c>
      <c r="M42" s="373"/>
      <c r="N42" s="235">
        <f>(VLOOKUP($F42,Factors,N$384))*$H42</f>
        <v>0</v>
      </c>
      <c r="O42" s="373"/>
      <c r="P42" s="235">
        <f>(VLOOKUP($F42,Factors,P$384))*$H42</f>
        <v>0</v>
      </c>
      <c r="Q42" s="373"/>
      <c r="R42" s="235">
        <f>(VLOOKUP($F42,Factors,R$384))*$H42</f>
        <v>0</v>
      </c>
      <c r="S42" s="373"/>
      <c r="T42" s="235">
        <f>(VLOOKUP($F42,Factors,T$384))*$H42</f>
        <v>0</v>
      </c>
      <c r="U42" s="373"/>
      <c r="V42" s="235">
        <f>(VLOOKUP($F42,Factors,V$384))*$H42</f>
        <v>0</v>
      </c>
      <c r="W42" s="236"/>
      <c r="X42" s="236"/>
      <c r="AA42" s="241" t="s">
        <v>124</v>
      </c>
      <c r="AC42" s="280">
        <f t="shared" si="17"/>
        <v>6</v>
      </c>
      <c r="AE42" s="161">
        <f t="shared" si="18"/>
        <v>0</v>
      </c>
      <c r="AG42" s="148">
        <f>(VLOOKUP($AC42,func,AG$384))*$AE42</f>
        <v>0</v>
      </c>
      <c r="AH42" s="148"/>
      <c r="AI42" s="148">
        <f>(VLOOKUP($AC42,func,AI$384))*$AE42</f>
        <v>0</v>
      </c>
      <c r="AJ42" s="148"/>
      <c r="AK42" s="148">
        <f>(VLOOKUP($AC42,func,AK$384))*$AE42</f>
        <v>0</v>
      </c>
      <c r="AL42" s="148"/>
      <c r="AM42" s="148">
        <f>(VLOOKUP($AC42,func,AM$384))*$AE42</f>
        <v>0</v>
      </c>
      <c r="AN42" s="148"/>
      <c r="AO42" s="148">
        <f>(VLOOKUP($AC42,func,AO$384))*$AE42</f>
        <v>0</v>
      </c>
      <c r="AP42" s="148"/>
      <c r="AQ42" s="148">
        <f>(VLOOKUP($AC42,func,AQ$384))*$AE42</f>
        <v>0</v>
      </c>
      <c r="AR42" s="148"/>
      <c r="AS42" s="148">
        <f>(VLOOKUP($AC42,func,AS$384))*$AE42</f>
        <v>0</v>
      </c>
      <c r="AT42" s="148"/>
      <c r="AU42" s="148">
        <f>(VLOOKUP($AC42,func,AU$384))*$AE42</f>
        <v>0</v>
      </c>
      <c r="AV42" s="148"/>
      <c r="AW42" s="148">
        <f>(VLOOKUP($AC42,func,AW$384))*$AE42</f>
        <v>0</v>
      </c>
      <c r="AY42" s="193"/>
    </row>
    <row r="43" spans="1:51" ht="12.75">
      <c r="A43" s="306"/>
      <c r="B43" s="306"/>
      <c r="C43" s="236"/>
      <c r="D43" s="241" t="s">
        <v>125</v>
      </c>
      <c r="E43" s="310"/>
      <c r="F43" s="311">
        <v>6</v>
      </c>
      <c r="G43" s="241"/>
      <c r="H43" s="376">
        <v>94553.27079635685</v>
      </c>
      <c r="I43" s="219"/>
      <c r="J43" s="235">
        <f>(VLOOKUP($F43,Factors,J$384))*$H43</f>
        <v>44837.161011632415</v>
      </c>
      <c r="K43" s="373"/>
      <c r="L43" s="235">
        <f>(VLOOKUP($F43,Factors,L$384))*$H43</f>
        <v>27325.89526014713</v>
      </c>
      <c r="M43" s="373"/>
      <c r="N43" s="235">
        <f>(VLOOKUP($F43,Factors,N$384))*$H43</f>
        <v>3318.8198049521257</v>
      </c>
      <c r="O43" s="373"/>
      <c r="P43" s="235">
        <f>(VLOOKUP($F43,Factors,P$384))*$H43</f>
        <v>10022.646704413828</v>
      </c>
      <c r="Q43" s="373"/>
      <c r="R43" s="235">
        <f>(VLOOKUP($F43,Factors,R$384))*$H43</f>
        <v>2912.2407405277913</v>
      </c>
      <c r="S43" s="373"/>
      <c r="T43" s="235">
        <f>(VLOOKUP($F43,Factors,T$384))*$H43</f>
        <v>2751.5001801739845</v>
      </c>
      <c r="U43" s="373"/>
      <c r="V43" s="235">
        <f>(VLOOKUP($F43,Factors,V$384))*$H43</f>
        <v>3385.0070945095754</v>
      </c>
      <c r="W43" s="236"/>
      <c r="X43" s="236"/>
      <c r="AA43" s="241" t="s">
        <v>125</v>
      </c>
      <c r="AC43" s="280">
        <f t="shared" si="17"/>
        <v>6</v>
      </c>
      <c r="AE43" s="161">
        <f t="shared" si="18"/>
        <v>94553.27079635685</v>
      </c>
      <c r="AG43" s="148">
        <f>(VLOOKUP($AC43,func,AG$384))*$AE43</f>
        <v>48935.05249131112</v>
      </c>
      <c r="AH43" s="148"/>
      <c r="AI43" s="148">
        <f>(VLOOKUP($AC43,func,AI$384))*$AE43</f>
        <v>26229.07731890939</v>
      </c>
      <c r="AJ43" s="148"/>
      <c r="AK43" s="148">
        <f>(VLOOKUP($AC43,func,AK$384))*$AE43</f>
        <v>13256.633314807463</v>
      </c>
      <c r="AL43" s="148"/>
      <c r="AM43" s="148">
        <f>(VLOOKUP($AC43,func,AM$384))*$AE43</f>
        <v>0</v>
      </c>
      <c r="AN43" s="148"/>
      <c r="AO43" s="148">
        <f>(VLOOKUP($AC43,func,AO$384))*$AE43</f>
        <v>0</v>
      </c>
      <c r="AP43" s="148"/>
      <c r="AQ43" s="148">
        <f>(VLOOKUP($AC43,func,AQ$384))*$AE43</f>
        <v>0</v>
      </c>
      <c r="AR43" s="148"/>
      <c r="AS43" s="148">
        <f>(VLOOKUP($AC43,func,AS$384))*$AE43</f>
        <v>0</v>
      </c>
      <c r="AT43" s="148"/>
      <c r="AU43" s="148">
        <f>(VLOOKUP($AC43,func,AU$384))*$AE43</f>
        <v>2750.1953450369947</v>
      </c>
      <c r="AV43" s="148"/>
      <c r="AW43" s="148">
        <f>(VLOOKUP($AC43,func,AW$384))*$AE43</f>
        <v>3382.31232629188</v>
      </c>
      <c r="AY43" s="193"/>
    </row>
    <row r="44" spans="1:51" ht="12.75">
      <c r="A44" s="306"/>
      <c r="B44" s="306"/>
      <c r="C44" s="236"/>
      <c r="D44" s="241" t="s">
        <v>142</v>
      </c>
      <c r="E44" s="310"/>
      <c r="F44" s="311">
        <v>1</v>
      </c>
      <c r="G44" s="241"/>
      <c r="H44" s="376">
        <v>4375584</v>
      </c>
      <c r="I44" s="219"/>
      <c r="J44" s="235">
        <f>(VLOOKUP($F44,Factors,J$384))*$H44</f>
        <v>2136597.6672</v>
      </c>
      <c r="K44" s="373"/>
      <c r="L44" s="235">
        <f>(VLOOKUP($F44,Factors,L$384))*$H44</f>
        <v>1338053.5872000002</v>
      </c>
      <c r="M44" s="373"/>
      <c r="N44" s="235">
        <f>(VLOOKUP($F44,Factors,N$384))*$H44</f>
        <v>179398.94400000002</v>
      </c>
      <c r="O44" s="373"/>
      <c r="P44" s="235">
        <f>(VLOOKUP($F44,Factors,P$384))*$H44</f>
        <v>535133.9232000001</v>
      </c>
      <c r="Q44" s="373"/>
      <c r="R44" s="235">
        <f>(VLOOKUP($F44,Factors,R$384))*$H44</f>
        <v>162334.16640000002</v>
      </c>
      <c r="S44" s="373"/>
      <c r="T44" s="235">
        <f>(VLOOKUP($F44,Factors,T$384))*$H44</f>
        <v>10938.960000000001</v>
      </c>
      <c r="U44" s="373"/>
      <c r="V44" s="235">
        <f>(VLOOKUP($F44,Factors,V$384))*$H44</f>
        <v>13126.752</v>
      </c>
      <c r="W44" s="236"/>
      <c r="X44" s="236"/>
      <c r="AA44" s="241" t="s">
        <v>142</v>
      </c>
      <c r="AC44" s="280">
        <f t="shared" si="17"/>
        <v>1</v>
      </c>
      <c r="AE44" s="161">
        <f t="shared" si="18"/>
        <v>4375584</v>
      </c>
      <c r="AG44" s="148">
        <f>(VLOOKUP($AC44,func,AG$384))*$AE44</f>
        <v>4351518.288000001</v>
      </c>
      <c r="AH44" s="148"/>
      <c r="AI44" s="148">
        <f>(VLOOKUP($AC44,func,AI$384))*$AE44</f>
        <v>0</v>
      </c>
      <c r="AJ44" s="148"/>
      <c r="AK44" s="148">
        <f>(VLOOKUP($AC44,func,AK$384))*$AE44</f>
        <v>0</v>
      </c>
      <c r="AL44" s="148"/>
      <c r="AM44" s="148">
        <f>(VLOOKUP($AC44,func,AM$384))*$AE44</f>
        <v>0</v>
      </c>
      <c r="AN44" s="148"/>
      <c r="AO44" s="148">
        <f>(VLOOKUP($AC44,func,AO$384))*$AE44</f>
        <v>0</v>
      </c>
      <c r="AP44" s="148"/>
      <c r="AQ44" s="148">
        <f>(VLOOKUP($AC44,func,AQ$384))*$AE44</f>
        <v>0</v>
      </c>
      <c r="AR44" s="148"/>
      <c r="AS44" s="148">
        <f>(VLOOKUP($AC44,func,AS$384))*$AE44</f>
        <v>0</v>
      </c>
      <c r="AT44" s="148"/>
      <c r="AU44" s="148">
        <f>(VLOOKUP($AC44,func,AU$384))*$AE44</f>
        <v>10938.960000000001</v>
      </c>
      <c r="AV44" s="148"/>
      <c r="AW44" s="148">
        <f>(VLOOKUP($AC44,func,AW$384))*$AE44</f>
        <v>13126.752</v>
      </c>
      <c r="AY44" s="193"/>
    </row>
    <row r="45" spans="1:51" ht="12.75">
      <c r="A45" s="306"/>
      <c r="B45" s="306"/>
      <c r="C45" s="236"/>
      <c r="D45" s="241" t="s">
        <v>143</v>
      </c>
      <c r="E45" s="310"/>
      <c r="F45" s="311"/>
      <c r="G45" s="241"/>
      <c r="H45" s="376"/>
      <c r="I45" s="219"/>
      <c r="J45" s="162"/>
      <c r="K45" s="220"/>
      <c r="L45" s="162"/>
      <c r="M45" s="220"/>
      <c r="N45" s="162"/>
      <c r="O45" s="220"/>
      <c r="P45" s="162"/>
      <c r="Q45" s="220"/>
      <c r="R45" s="162"/>
      <c r="S45" s="220"/>
      <c r="T45" s="162"/>
      <c r="U45" s="220"/>
      <c r="V45" s="162"/>
      <c r="X45" s="193"/>
      <c r="AA45" s="241" t="s">
        <v>143</v>
      </c>
      <c r="AC45" s="280"/>
      <c r="AE45" s="161"/>
      <c r="AG45" s="148"/>
      <c r="AH45" s="148"/>
      <c r="AI45" s="148"/>
      <c r="AJ45" s="148"/>
      <c r="AK45" s="148"/>
      <c r="AL45" s="148"/>
      <c r="AM45" s="148"/>
      <c r="AN45" s="148"/>
      <c r="AO45" s="148"/>
      <c r="AP45" s="148"/>
      <c r="AQ45" s="148"/>
      <c r="AR45" s="148"/>
      <c r="AS45" s="148"/>
      <c r="AT45" s="148"/>
      <c r="AU45" s="148"/>
      <c r="AV45" s="148"/>
      <c r="AW45" s="148"/>
      <c r="AY45" s="193"/>
    </row>
    <row r="46" spans="1:51" ht="12.75">
      <c r="A46" s="306"/>
      <c r="B46" s="306"/>
      <c r="C46" s="236"/>
      <c r="D46" s="241" t="s">
        <v>124</v>
      </c>
      <c r="E46" s="310"/>
      <c r="F46" s="311">
        <v>6</v>
      </c>
      <c r="G46" s="241"/>
      <c r="H46" s="376">
        <v>0</v>
      </c>
      <c r="I46" s="219"/>
      <c r="J46" s="235">
        <f>(VLOOKUP($F46,Factors,J$384))*$H46</f>
        <v>0</v>
      </c>
      <c r="K46" s="373"/>
      <c r="L46" s="235">
        <f>(VLOOKUP($F46,Factors,L$384))*$H46</f>
        <v>0</v>
      </c>
      <c r="M46" s="373"/>
      <c r="N46" s="235">
        <f>(VLOOKUP($F46,Factors,N$384))*$H46</f>
        <v>0</v>
      </c>
      <c r="O46" s="373"/>
      <c r="P46" s="235">
        <f>(VLOOKUP($F46,Factors,P$384))*$H46</f>
        <v>0</v>
      </c>
      <c r="Q46" s="373"/>
      <c r="R46" s="235">
        <f>(VLOOKUP($F46,Factors,R$384))*$H46</f>
        <v>0</v>
      </c>
      <c r="S46" s="373"/>
      <c r="T46" s="235">
        <f>(VLOOKUP($F46,Factors,T$384))*$H46</f>
        <v>0</v>
      </c>
      <c r="U46" s="373"/>
      <c r="V46" s="235">
        <f>(VLOOKUP($F46,Factors,V$384))*$H46</f>
        <v>0</v>
      </c>
      <c r="W46" s="236"/>
      <c r="X46" s="236"/>
      <c r="AA46" s="241" t="s">
        <v>124</v>
      </c>
      <c r="AC46" s="280">
        <f t="shared" si="17"/>
        <v>6</v>
      </c>
      <c r="AE46" s="161">
        <f t="shared" si="18"/>
        <v>0</v>
      </c>
      <c r="AG46" s="148">
        <f>(VLOOKUP($AC46,func,AG$384))*$AE46</f>
        <v>0</v>
      </c>
      <c r="AH46" s="148"/>
      <c r="AI46" s="148">
        <f>(VLOOKUP($AC46,func,AI$384))*$AE46</f>
        <v>0</v>
      </c>
      <c r="AJ46" s="148"/>
      <c r="AK46" s="148">
        <f>(VLOOKUP($AC46,func,AK$384))*$AE46</f>
        <v>0</v>
      </c>
      <c r="AL46" s="148"/>
      <c r="AM46" s="148">
        <f>(VLOOKUP($AC46,func,AM$384))*$AE46</f>
        <v>0</v>
      </c>
      <c r="AN46" s="148"/>
      <c r="AO46" s="148">
        <f>(VLOOKUP($AC46,func,AO$384))*$AE46</f>
        <v>0</v>
      </c>
      <c r="AP46" s="148"/>
      <c r="AQ46" s="148">
        <f>(VLOOKUP($AC46,func,AQ$384))*$AE46</f>
        <v>0</v>
      </c>
      <c r="AR46" s="148"/>
      <c r="AS46" s="148">
        <f>(VLOOKUP($AC46,func,AS$384))*$AE46</f>
        <v>0</v>
      </c>
      <c r="AT46" s="148"/>
      <c r="AU46" s="148">
        <f>(VLOOKUP($AC46,func,AU$384))*$AE46</f>
        <v>0</v>
      </c>
      <c r="AV46" s="148"/>
      <c r="AW46" s="148">
        <f>(VLOOKUP($AC46,func,AW$384))*$AE46</f>
        <v>0</v>
      </c>
      <c r="AY46" s="193"/>
    </row>
    <row r="47" spans="1:51" ht="12.75">
      <c r="A47" s="306"/>
      <c r="B47" s="306"/>
      <c r="C47" s="236"/>
      <c r="D47" s="241" t="s">
        <v>125</v>
      </c>
      <c r="E47" s="310"/>
      <c r="F47" s="311">
        <v>6</v>
      </c>
      <c r="G47" s="241"/>
      <c r="H47" s="376">
        <v>0</v>
      </c>
      <c r="I47" s="219"/>
      <c r="J47" s="235">
        <f>(VLOOKUP($F47,Factors,J$384))*$H47</f>
        <v>0</v>
      </c>
      <c r="K47" s="373"/>
      <c r="L47" s="235">
        <f>(VLOOKUP($F47,Factors,L$384))*$H47</f>
        <v>0</v>
      </c>
      <c r="M47" s="373"/>
      <c r="N47" s="235">
        <f>(VLOOKUP($F47,Factors,N$384))*$H47</f>
        <v>0</v>
      </c>
      <c r="O47" s="373"/>
      <c r="P47" s="235">
        <f>(VLOOKUP($F47,Factors,P$384))*$H47</f>
        <v>0</v>
      </c>
      <c r="Q47" s="373"/>
      <c r="R47" s="235">
        <f>(VLOOKUP($F47,Factors,R$384))*$H47</f>
        <v>0</v>
      </c>
      <c r="S47" s="373"/>
      <c r="T47" s="235">
        <f>(VLOOKUP($F47,Factors,T$384))*$H47</f>
        <v>0</v>
      </c>
      <c r="U47" s="373"/>
      <c r="V47" s="235">
        <f>(VLOOKUP($F47,Factors,V$384))*$H47</f>
        <v>0</v>
      </c>
      <c r="W47" s="236"/>
      <c r="X47" s="236"/>
      <c r="AA47" s="241" t="s">
        <v>125</v>
      </c>
      <c r="AC47" s="280">
        <f t="shared" si="17"/>
        <v>6</v>
      </c>
      <c r="AE47" s="161">
        <f t="shared" si="18"/>
        <v>0</v>
      </c>
      <c r="AG47" s="148">
        <f>(VLOOKUP($AC47,func,AG$384))*$AE47</f>
        <v>0</v>
      </c>
      <c r="AH47" s="148"/>
      <c r="AI47" s="148">
        <f>(VLOOKUP($AC47,func,AI$384))*$AE47</f>
        <v>0</v>
      </c>
      <c r="AJ47" s="148"/>
      <c r="AK47" s="148">
        <f>(VLOOKUP($AC47,func,AK$384))*$AE47</f>
        <v>0</v>
      </c>
      <c r="AL47" s="148"/>
      <c r="AM47" s="148">
        <f>(VLOOKUP($AC47,func,AM$384))*$AE47</f>
        <v>0</v>
      </c>
      <c r="AN47" s="148"/>
      <c r="AO47" s="148">
        <f>(VLOOKUP($AC47,func,AO$384))*$AE47</f>
        <v>0</v>
      </c>
      <c r="AP47" s="148"/>
      <c r="AQ47" s="148">
        <f>(VLOOKUP($AC47,func,AQ$384))*$AE47</f>
        <v>0</v>
      </c>
      <c r="AR47" s="148"/>
      <c r="AS47" s="148">
        <f>(VLOOKUP($AC47,func,AS$384))*$AE47</f>
        <v>0</v>
      </c>
      <c r="AT47" s="148"/>
      <c r="AU47" s="148">
        <f>(VLOOKUP($AC47,func,AU$384))*$AE47</f>
        <v>0</v>
      </c>
      <c r="AV47" s="148"/>
      <c r="AW47" s="148">
        <f>(VLOOKUP($AC47,func,AW$384))*$AE47</f>
        <v>0</v>
      </c>
      <c r="AY47" s="193"/>
    </row>
    <row r="48" spans="1:51" ht="12.75">
      <c r="A48" s="306"/>
      <c r="B48" s="306"/>
      <c r="C48" s="236"/>
      <c r="D48" s="241" t="s">
        <v>144</v>
      </c>
      <c r="E48" s="310"/>
      <c r="F48" s="311">
        <v>6</v>
      </c>
      <c r="G48" s="241"/>
      <c r="H48" s="376">
        <v>0</v>
      </c>
      <c r="I48" s="219"/>
      <c r="J48" s="235">
        <f>(VLOOKUP($F48,Factors,J$384))*$H48</f>
        <v>0</v>
      </c>
      <c r="K48" s="373"/>
      <c r="L48" s="235">
        <f>(VLOOKUP($F48,Factors,L$384))*$H48</f>
        <v>0</v>
      </c>
      <c r="M48" s="373"/>
      <c r="N48" s="235">
        <f>(VLOOKUP($F48,Factors,N$384))*$H48</f>
        <v>0</v>
      </c>
      <c r="O48" s="373"/>
      <c r="P48" s="235">
        <f>(VLOOKUP($F48,Factors,P$384))*$H48</f>
        <v>0</v>
      </c>
      <c r="Q48" s="373"/>
      <c r="R48" s="235">
        <f>(VLOOKUP($F48,Factors,R$384))*$H48</f>
        <v>0</v>
      </c>
      <c r="S48" s="373"/>
      <c r="T48" s="235">
        <f>(VLOOKUP($F48,Factors,T$384))*$H48</f>
        <v>0</v>
      </c>
      <c r="U48" s="373"/>
      <c r="V48" s="235">
        <f>(VLOOKUP($F48,Factors,V$384))*$H48</f>
        <v>0</v>
      </c>
      <c r="W48" s="236"/>
      <c r="X48" s="236"/>
      <c r="AA48" s="241" t="s">
        <v>144</v>
      </c>
      <c r="AC48" s="280">
        <f t="shared" si="17"/>
        <v>6</v>
      </c>
      <c r="AE48" s="161">
        <f t="shared" si="18"/>
        <v>0</v>
      </c>
      <c r="AG48" s="148">
        <f>(VLOOKUP($AC48,func,AG$384))*$AE48</f>
        <v>0</v>
      </c>
      <c r="AH48" s="148"/>
      <c r="AI48" s="148">
        <f>(VLOOKUP($AC48,func,AI$384))*$AE48</f>
        <v>0</v>
      </c>
      <c r="AJ48" s="148"/>
      <c r="AK48" s="148">
        <f>(VLOOKUP($AC48,func,AK$384))*$AE48</f>
        <v>0</v>
      </c>
      <c r="AL48" s="148"/>
      <c r="AM48" s="148">
        <f>(VLOOKUP($AC48,func,AM$384))*$AE48</f>
        <v>0</v>
      </c>
      <c r="AN48" s="148"/>
      <c r="AO48" s="148">
        <f>(VLOOKUP($AC48,func,AO$384))*$AE48</f>
        <v>0</v>
      </c>
      <c r="AP48" s="148"/>
      <c r="AQ48" s="148">
        <f>(VLOOKUP($AC48,func,AQ$384))*$AE48</f>
        <v>0</v>
      </c>
      <c r="AR48" s="148"/>
      <c r="AS48" s="148">
        <f>(VLOOKUP($AC48,func,AS$384))*$AE48</f>
        <v>0</v>
      </c>
      <c r="AT48" s="148"/>
      <c r="AU48" s="148">
        <f>(VLOOKUP($AC48,func,AU$384))*$AE48</f>
        <v>0</v>
      </c>
      <c r="AV48" s="148"/>
      <c r="AW48" s="148">
        <f>(VLOOKUP($AC48,func,AW$384))*$AE48</f>
        <v>0</v>
      </c>
      <c r="AY48" s="193"/>
    </row>
    <row r="49" spans="1:51" s="163" customFormat="1" ht="12.75">
      <c r="A49" s="306"/>
      <c r="B49" s="306"/>
      <c r="C49" s="236"/>
      <c r="D49" s="241" t="s">
        <v>145</v>
      </c>
      <c r="E49" s="310"/>
      <c r="F49" s="311">
        <v>6</v>
      </c>
      <c r="G49" s="241"/>
      <c r="H49" s="469">
        <v>0</v>
      </c>
      <c r="I49" s="219"/>
      <c r="J49" s="468">
        <f>(VLOOKUP($F49,Factors,J$384))*$H49</f>
        <v>0</v>
      </c>
      <c r="K49" s="219"/>
      <c r="L49" s="468">
        <f>(VLOOKUP($F49,Factors,L$384))*$H49</f>
        <v>0</v>
      </c>
      <c r="M49" s="219"/>
      <c r="N49" s="468">
        <f>(VLOOKUP($F49,Factors,N$384))*$H49</f>
        <v>0</v>
      </c>
      <c r="O49" s="219"/>
      <c r="P49" s="468">
        <f>(VLOOKUP($F49,Factors,P$384))*$H49</f>
        <v>0</v>
      </c>
      <c r="Q49" s="219"/>
      <c r="R49" s="468">
        <f>(VLOOKUP($F49,Factors,R$384))*$H49</f>
        <v>0</v>
      </c>
      <c r="S49" s="219"/>
      <c r="T49" s="468">
        <f>(VLOOKUP($F49,Factors,T$384))*$H49</f>
        <v>0</v>
      </c>
      <c r="U49" s="219"/>
      <c r="V49" s="468">
        <f>(VLOOKUP($F49,Factors,V$384))*$H49</f>
        <v>0</v>
      </c>
      <c r="W49" s="236"/>
      <c r="X49" s="236"/>
      <c r="AA49" s="241" t="s">
        <v>145</v>
      </c>
      <c r="AC49" s="280">
        <f t="shared" si="17"/>
        <v>6</v>
      </c>
      <c r="AD49"/>
      <c r="AE49" s="317">
        <f t="shared" si="18"/>
        <v>0</v>
      </c>
      <c r="AF49"/>
      <c r="AG49" s="149">
        <f>(VLOOKUP($AC49,func,AG$384))*$AE49</f>
        <v>0</v>
      </c>
      <c r="AH49"/>
      <c r="AI49" s="149">
        <f>(VLOOKUP($AC49,func,AI$384))*$AE49</f>
        <v>0</v>
      </c>
      <c r="AJ49"/>
      <c r="AK49" s="149">
        <f>(VLOOKUP($AC49,func,AK$384))*$AE49</f>
        <v>0</v>
      </c>
      <c r="AL49"/>
      <c r="AM49" s="149">
        <f>(VLOOKUP($AC49,func,AM$384))*$AE49</f>
        <v>0</v>
      </c>
      <c r="AN49"/>
      <c r="AO49" s="149">
        <f>(VLOOKUP($AC49,func,AO$384))*$AE49</f>
        <v>0</v>
      </c>
      <c r="AP49"/>
      <c r="AQ49" s="149">
        <f>(VLOOKUP($AC49,func,AQ$384))*$AE49</f>
        <v>0</v>
      </c>
      <c r="AR49"/>
      <c r="AS49" s="149">
        <f>(VLOOKUP($AC49,func,AS$384))*$AE49</f>
        <v>0</v>
      </c>
      <c r="AT49"/>
      <c r="AU49" s="149">
        <f>(VLOOKUP($AC49,func,AU$384))*$AE49</f>
        <v>0</v>
      </c>
      <c r="AV49"/>
      <c r="AW49" s="149">
        <f>(VLOOKUP($AC49,func,AW$384))*$AE49</f>
        <v>0</v>
      </c>
      <c r="AX49"/>
      <c r="AY49" s="193"/>
    </row>
    <row r="50" spans="1:51" ht="12.75">
      <c r="A50" s="306"/>
      <c r="B50" s="306"/>
      <c r="C50" s="236"/>
      <c r="D50" s="241"/>
      <c r="E50" s="310"/>
      <c r="F50" s="311"/>
      <c r="G50" s="241"/>
      <c r="H50" s="376"/>
      <c r="I50" s="219"/>
      <c r="J50" s="162"/>
      <c r="K50" s="220"/>
      <c r="L50" s="162"/>
      <c r="M50" s="220"/>
      <c r="N50" s="162"/>
      <c r="O50" s="220"/>
      <c r="P50" s="162"/>
      <c r="Q50" s="220"/>
      <c r="R50" s="162"/>
      <c r="S50" s="220"/>
      <c r="T50" s="162"/>
      <c r="U50" s="220"/>
      <c r="V50" s="162"/>
      <c r="X50" s="193"/>
      <c r="AA50" s="241"/>
      <c r="AB50" s="310"/>
      <c r="AC50" s="311"/>
      <c r="AD50" s="241"/>
      <c r="AE50" s="376"/>
      <c r="AF50" s="219"/>
      <c r="AG50" s="162"/>
      <c r="AH50" s="220"/>
      <c r="AI50" s="162"/>
      <c r="AJ50" s="220"/>
      <c r="AK50" s="162"/>
      <c r="AL50" s="220"/>
      <c r="AM50" s="162"/>
      <c r="AN50" s="220"/>
      <c r="AO50" s="162"/>
      <c r="AP50" s="220"/>
      <c r="AQ50" s="162"/>
      <c r="AR50" s="220"/>
      <c r="AS50" s="162"/>
      <c r="AT50" s="220"/>
      <c r="AU50" s="162"/>
      <c r="AV50" s="220"/>
      <c r="AW50" s="162"/>
      <c r="AY50" s="193"/>
    </row>
    <row r="51" spans="1:51" ht="12.75">
      <c r="A51" s="306"/>
      <c r="B51" s="306"/>
      <c r="C51" s="236"/>
      <c r="D51" s="241" t="s">
        <v>129</v>
      </c>
      <c r="E51" s="310"/>
      <c r="F51" s="311"/>
      <c r="G51" s="241"/>
      <c r="H51" s="376">
        <f>SUM(H40:H49)</f>
        <v>4470137.270796357</v>
      </c>
      <c r="I51" s="241"/>
      <c r="J51" s="376">
        <f>SUM(J40:J49)</f>
        <v>2181434.8282116326</v>
      </c>
      <c r="K51" s="241"/>
      <c r="L51" s="376">
        <f>SUM(L40:L49)</f>
        <v>1365379.4824601472</v>
      </c>
      <c r="M51" s="241"/>
      <c r="N51" s="376">
        <f>SUM(N40:N49)</f>
        <v>182717.76380495215</v>
      </c>
      <c r="O51" s="241"/>
      <c r="P51" s="376">
        <f>SUM(P40:P49)</f>
        <v>545156.5699044139</v>
      </c>
      <c r="Q51" s="241"/>
      <c r="R51" s="376">
        <f>SUM(R40:R49)</f>
        <v>165246.4071405278</v>
      </c>
      <c r="S51" s="241"/>
      <c r="T51" s="376">
        <f>SUM(T40:T49)</f>
        <v>13690.460180173985</v>
      </c>
      <c r="U51" s="241"/>
      <c r="V51" s="376">
        <f>SUM(V40:V49)</f>
        <v>16511.759094509576</v>
      </c>
      <c r="X51" s="193"/>
      <c r="AA51" s="241" t="s">
        <v>129</v>
      </c>
      <c r="AB51" s="310"/>
      <c r="AC51" s="311"/>
      <c r="AD51" s="241"/>
      <c r="AE51" s="376">
        <f>SUM(AE40:AE49)</f>
        <v>4470137.270796357</v>
      </c>
      <c r="AF51" s="241"/>
      <c r="AG51" s="376">
        <f>SUM(AG40:AG49)</f>
        <v>4400453.340491312</v>
      </c>
      <c r="AH51" s="241"/>
      <c r="AI51" s="376">
        <f>SUM(AI40:AI49)</f>
        <v>26229.07731890939</v>
      </c>
      <c r="AJ51" s="241"/>
      <c r="AK51" s="376">
        <f>SUM(AK40:AK49)</f>
        <v>13256.633314807463</v>
      </c>
      <c r="AL51" s="241"/>
      <c r="AM51" s="376">
        <f>SUM(AM40:AM49)</f>
        <v>0</v>
      </c>
      <c r="AN51" s="241"/>
      <c r="AO51" s="376">
        <f>SUM(AO40:AO49)</f>
        <v>0</v>
      </c>
      <c r="AP51" s="241"/>
      <c r="AQ51" s="376">
        <f>SUM(AQ40:AQ49)</f>
        <v>0</v>
      </c>
      <c r="AR51" s="241"/>
      <c r="AS51" s="376">
        <f>SUM(AS40:AS49)</f>
        <v>0</v>
      </c>
      <c r="AT51" s="241"/>
      <c r="AU51" s="376">
        <f>SUM(AU40:AU49)</f>
        <v>13689.155345036996</v>
      </c>
      <c r="AV51" s="241"/>
      <c r="AW51" s="376">
        <f>SUM(AW40:AW49)</f>
        <v>16509.064326291882</v>
      </c>
      <c r="AY51" s="193"/>
    </row>
    <row r="52" spans="1:51" ht="12.75">
      <c r="A52" s="306"/>
      <c r="B52" s="306"/>
      <c r="C52" s="236"/>
      <c r="D52" s="241" t="s">
        <v>130</v>
      </c>
      <c r="E52" s="310"/>
      <c r="F52" s="311"/>
      <c r="G52" s="241"/>
      <c r="H52" s="376"/>
      <c r="I52" s="219"/>
      <c r="J52" s="162"/>
      <c r="K52" s="220"/>
      <c r="L52" s="220"/>
      <c r="M52" s="220"/>
      <c r="N52" s="220"/>
      <c r="O52" s="220"/>
      <c r="P52" s="220"/>
      <c r="Q52" s="220"/>
      <c r="R52" s="220"/>
      <c r="S52" s="220"/>
      <c r="T52" s="220"/>
      <c r="U52" s="220"/>
      <c r="V52" s="220"/>
      <c r="X52" s="193"/>
      <c r="AA52" s="241" t="s">
        <v>130</v>
      </c>
      <c r="AE52" s="163"/>
      <c r="AF52" s="163"/>
      <c r="AG52" s="163"/>
      <c r="AH52" s="163"/>
      <c r="AI52" s="163"/>
      <c r="AJ52" s="163"/>
      <c r="AK52" s="163"/>
      <c r="AL52" s="163"/>
      <c r="AM52" s="163"/>
      <c r="AN52" s="163"/>
      <c r="AO52" s="163"/>
      <c r="AP52" s="163"/>
      <c r="AQ52" s="163"/>
      <c r="AR52" s="163"/>
      <c r="AS52" s="163"/>
      <c r="AT52" s="163"/>
      <c r="AU52" s="163"/>
      <c r="AV52" s="163"/>
      <c r="AW52" s="163"/>
      <c r="AY52" s="193"/>
    </row>
    <row r="53" spans="1:51" s="137" customFormat="1" ht="12.75">
      <c r="A53" s="316"/>
      <c r="B53" s="316"/>
      <c r="C53" s="236"/>
      <c r="D53" s="241" t="s">
        <v>146</v>
      </c>
      <c r="E53" s="310"/>
      <c r="F53" s="311">
        <v>6</v>
      </c>
      <c r="G53" s="241"/>
      <c r="H53" s="376">
        <v>289277.734772496</v>
      </c>
      <c r="I53" s="219"/>
      <c r="J53" s="235">
        <f>(VLOOKUP($F53,Factors,J$384))*$H53</f>
        <v>137175.5018291176</v>
      </c>
      <c r="K53" s="373"/>
      <c r="L53" s="235">
        <f>(VLOOKUP($F53,Factors,L$384))*$H53</f>
        <v>83601.26534925133</v>
      </c>
      <c r="M53" s="373"/>
      <c r="N53" s="235">
        <f>(VLOOKUP($F53,Factors,N$384))*$H53</f>
        <v>10153.648490514608</v>
      </c>
      <c r="O53" s="373"/>
      <c r="P53" s="235">
        <f>(VLOOKUP($F53,Factors,P$384))*$H53</f>
        <v>30663.439885884578</v>
      </c>
      <c r="Q53" s="373"/>
      <c r="R53" s="235">
        <f>(VLOOKUP($F53,Factors,R$384))*$H53</f>
        <v>8909.754230992876</v>
      </c>
      <c r="S53" s="373"/>
      <c r="T53" s="235">
        <f>(VLOOKUP($F53,Factors,T$384))*$H53</f>
        <v>8417.982081879634</v>
      </c>
      <c r="U53" s="373"/>
      <c r="V53" s="235">
        <f>(VLOOKUP($F53,Factors,V$384))*$H53</f>
        <v>10356.142904855356</v>
      </c>
      <c r="W53" s="236"/>
      <c r="X53" s="236"/>
      <c r="AA53" s="241" t="s">
        <v>146</v>
      </c>
      <c r="AC53" s="280">
        <f>+F53</f>
        <v>6</v>
      </c>
      <c r="AD53"/>
      <c r="AE53" s="161">
        <f>+H53</f>
        <v>289277.734772496</v>
      </c>
      <c r="AF53"/>
      <c r="AG53" s="148">
        <f>(VLOOKUP($AC53,func,AG$384))*$AE53</f>
        <v>149712.65421529015</v>
      </c>
      <c r="AH53" s="148"/>
      <c r="AI53" s="148">
        <f>(VLOOKUP($AC53,func,AI$384))*$AE53</f>
        <v>80245.64362589039</v>
      </c>
      <c r="AJ53" s="148"/>
      <c r="AK53" s="148">
        <f>(VLOOKUP($AC53,func,AK$384))*$AE53</f>
        <v>40557.5483927613</v>
      </c>
      <c r="AL53" s="148"/>
      <c r="AM53" s="148">
        <f>(VLOOKUP($AC53,func,AM$384))*$AE53</f>
        <v>0</v>
      </c>
      <c r="AN53" s="148"/>
      <c r="AO53" s="148">
        <f>(VLOOKUP($AC53,func,AO$384))*$AE53</f>
        <v>0</v>
      </c>
      <c r="AP53" s="148"/>
      <c r="AQ53" s="148">
        <f>(VLOOKUP($AC53,func,AQ$384))*$AE53</f>
        <v>0</v>
      </c>
      <c r="AR53" s="148"/>
      <c r="AS53" s="148">
        <f>(VLOOKUP($AC53,func,AS$384))*$AE53</f>
        <v>0</v>
      </c>
      <c r="AT53" s="148"/>
      <c r="AU53" s="148">
        <f>(VLOOKUP($AC53,func,AU$384))*$AE53</f>
        <v>8413.990049139773</v>
      </c>
      <c r="AV53" s="148"/>
      <c r="AW53" s="148">
        <f>(VLOOKUP($AC53,func,AW$384))*$AE53</f>
        <v>10347.898489414341</v>
      </c>
      <c r="AX53"/>
      <c r="AY53" s="193"/>
    </row>
    <row r="54" spans="1:51" s="137" customFormat="1" ht="12.75">
      <c r="A54" s="316"/>
      <c r="B54" s="316"/>
      <c r="C54" s="236"/>
      <c r="D54" s="241" t="s">
        <v>147</v>
      </c>
      <c r="E54" s="310"/>
      <c r="F54" s="311"/>
      <c r="G54" s="241"/>
      <c r="H54" s="376"/>
      <c r="I54" s="219"/>
      <c r="J54" s="162"/>
      <c r="K54" s="220"/>
      <c r="L54" s="162"/>
      <c r="M54" s="220"/>
      <c r="N54" s="162"/>
      <c r="O54" s="220"/>
      <c r="P54" s="162"/>
      <c r="Q54" s="220"/>
      <c r="R54" s="162"/>
      <c r="S54" s="220"/>
      <c r="T54" s="162"/>
      <c r="U54" s="220"/>
      <c r="V54" s="162"/>
      <c r="X54" s="313"/>
      <c r="AA54" s="241" t="s">
        <v>147</v>
      </c>
      <c r="AC54" s="314"/>
      <c r="AE54" s="220"/>
      <c r="AF54" s="306"/>
      <c r="AG54" s="162"/>
      <c r="AH54" s="162"/>
      <c r="AI54" s="162"/>
      <c r="AJ54" s="162"/>
      <c r="AK54" s="162"/>
      <c r="AL54" s="162"/>
      <c r="AM54" s="162"/>
      <c r="AN54" s="162"/>
      <c r="AO54" s="162"/>
      <c r="AP54" s="162"/>
      <c r="AQ54" s="162"/>
      <c r="AR54" s="162"/>
      <c r="AS54" s="162"/>
      <c r="AT54" s="162"/>
      <c r="AU54" s="162"/>
      <c r="AV54" s="162"/>
      <c r="AW54" s="162"/>
      <c r="AY54" s="193"/>
    </row>
    <row r="55" spans="1:51" s="137" customFormat="1" ht="12.75">
      <c r="A55" s="316"/>
      <c r="B55" s="316"/>
      <c r="C55" s="236"/>
      <c r="D55" s="241" t="s">
        <v>124</v>
      </c>
      <c r="E55" s="310"/>
      <c r="F55" s="311">
        <v>6</v>
      </c>
      <c r="G55" s="241"/>
      <c r="H55" s="376">
        <v>0</v>
      </c>
      <c r="I55" s="219"/>
      <c r="J55" s="235">
        <f>(VLOOKUP($F55,Factors,J$384))*$H55</f>
        <v>0</v>
      </c>
      <c r="K55" s="373"/>
      <c r="L55" s="235">
        <f>(VLOOKUP($F55,Factors,L$384))*$H55</f>
        <v>0</v>
      </c>
      <c r="M55" s="373"/>
      <c r="N55" s="235">
        <f>(VLOOKUP($F55,Factors,N$384))*$H55</f>
        <v>0</v>
      </c>
      <c r="O55" s="373"/>
      <c r="P55" s="235">
        <f>(VLOOKUP($F55,Factors,P$384))*$H55</f>
        <v>0</v>
      </c>
      <c r="Q55" s="373"/>
      <c r="R55" s="235">
        <f>(VLOOKUP($F55,Factors,R$384))*$H55</f>
        <v>0</v>
      </c>
      <c r="S55" s="373"/>
      <c r="T55" s="235">
        <f>(VLOOKUP($F55,Factors,T$384))*$H55</f>
        <v>0</v>
      </c>
      <c r="U55" s="373"/>
      <c r="V55" s="235">
        <f>(VLOOKUP($F55,Factors,V$384))*$H55</f>
        <v>0</v>
      </c>
      <c r="W55" s="236"/>
      <c r="X55" s="236"/>
      <c r="AA55" s="241" t="s">
        <v>124</v>
      </c>
      <c r="AC55" s="280">
        <f>+F55</f>
        <v>6</v>
      </c>
      <c r="AD55"/>
      <c r="AE55" s="161">
        <f>+H55</f>
        <v>0</v>
      </c>
      <c r="AF55"/>
      <c r="AG55" s="148">
        <f>(VLOOKUP($AC55,func,AG$384))*$AE55</f>
        <v>0</v>
      </c>
      <c r="AH55" s="148"/>
      <c r="AI55" s="148">
        <f>(VLOOKUP($AC55,func,AI$384))*$AE55</f>
        <v>0</v>
      </c>
      <c r="AJ55" s="148"/>
      <c r="AK55" s="148">
        <f>(VLOOKUP($AC55,func,AK$384))*$AE55</f>
        <v>0</v>
      </c>
      <c r="AL55" s="148"/>
      <c r="AM55" s="148">
        <f>(VLOOKUP($AC55,func,AM$384))*$AE55</f>
        <v>0</v>
      </c>
      <c r="AN55" s="148"/>
      <c r="AO55" s="148">
        <f>(VLOOKUP($AC55,func,AO$384))*$AE55</f>
        <v>0</v>
      </c>
      <c r="AP55" s="148"/>
      <c r="AQ55" s="148">
        <f>(VLOOKUP($AC55,func,AQ$384))*$AE55</f>
        <v>0</v>
      </c>
      <c r="AR55" s="148"/>
      <c r="AS55" s="148">
        <f>(VLOOKUP($AC55,func,AS$384))*$AE55</f>
        <v>0</v>
      </c>
      <c r="AT55" s="148"/>
      <c r="AU55" s="148">
        <f>(VLOOKUP($AC55,func,AU$384))*$AE55</f>
        <v>0</v>
      </c>
      <c r="AV55" s="148"/>
      <c r="AW55" s="148">
        <f>(VLOOKUP($AC55,func,AW$384))*$AE55</f>
        <v>0</v>
      </c>
      <c r="AX55"/>
      <c r="AY55" s="193"/>
    </row>
    <row r="56" spans="1:51" s="137" customFormat="1" ht="12.75">
      <c r="A56" s="316"/>
      <c r="B56" s="316"/>
      <c r="C56" s="236"/>
      <c r="D56" s="241" t="s">
        <v>125</v>
      </c>
      <c r="E56" s="310"/>
      <c r="F56" s="311">
        <v>6</v>
      </c>
      <c r="G56" s="241"/>
      <c r="H56" s="376">
        <v>0</v>
      </c>
      <c r="I56" s="219"/>
      <c r="J56" s="235">
        <f>(VLOOKUP($F56,Factors,J$384))*$H56</f>
        <v>0</v>
      </c>
      <c r="K56" s="373"/>
      <c r="L56" s="235">
        <f>(VLOOKUP($F56,Factors,L$384))*$H56</f>
        <v>0</v>
      </c>
      <c r="M56" s="373"/>
      <c r="N56" s="235">
        <f>(VLOOKUP($F56,Factors,N$384))*$H56</f>
        <v>0</v>
      </c>
      <c r="O56" s="373"/>
      <c r="P56" s="235">
        <f>(VLOOKUP($F56,Factors,P$384))*$H56</f>
        <v>0</v>
      </c>
      <c r="Q56" s="373"/>
      <c r="R56" s="235">
        <f>(VLOOKUP($F56,Factors,R$384))*$H56</f>
        <v>0</v>
      </c>
      <c r="S56" s="373"/>
      <c r="T56" s="235">
        <f>(VLOOKUP($F56,Factors,T$384))*$H56</f>
        <v>0</v>
      </c>
      <c r="U56" s="373"/>
      <c r="V56" s="235">
        <f>(VLOOKUP($F56,Factors,V$384))*$H56</f>
        <v>0</v>
      </c>
      <c r="W56" s="236"/>
      <c r="X56" s="236"/>
      <c r="AA56" s="241" t="s">
        <v>125</v>
      </c>
      <c r="AC56" s="280">
        <f>+F56</f>
        <v>6</v>
      </c>
      <c r="AD56"/>
      <c r="AE56" s="161">
        <f>+H56</f>
        <v>0</v>
      </c>
      <c r="AF56"/>
      <c r="AG56" s="148">
        <f>(VLOOKUP($AC56,func,AG$384))*$AE56</f>
        <v>0</v>
      </c>
      <c r="AH56" s="148"/>
      <c r="AI56" s="148">
        <f>(VLOOKUP($AC56,func,AI$384))*$AE56</f>
        <v>0</v>
      </c>
      <c r="AJ56" s="148"/>
      <c r="AK56" s="148">
        <f>(VLOOKUP($AC56,func,AK$384))*$AE56</f>
        <v>0</v>
      </c>
      <c r="AL56" s="148"/>
      <c r="AM56" s="148">
        <f>(VLOOKUP($AC56,func,AM$384))*$AE56</f>
        <v>0</v>
      </c>
      <c r="AN56" s="148"/>
      <c r="AO56" s="148">
        <f>(VLOOKUP($AC56,func,AO$384))*$AE56</f>
        <v>0</v>
      </c>
      <c r="AP56" s="148"/>
      <c r="AQ56" s="148">
        <f>(VLOOKUP($AC56,func,AQ$384))*$AE56</f>
        <v>0</v>
      </c>
      <c r="AR56" s="148"/>
      <c r="AS56" s="148">
        <f>(VLOOKUP($AC56,func,AS$384))*$AE56</f>
        <v>0</v>
      </c>
      <c r="AT56" s="148"/>
      <c r="AU56" s="148">
        <f>(VLOOKUP($AC56,func,AU$384))*$AE56</f>
        <v>0</v>
      </c>
      <c r="AV56" s="148"/>
      <c r="AW56" s="148">
        <f>(VLOOKUP($AC56,func,AW$384))*$AE56</f>
        <v>0</v>
      </c>
      <c r="AX56"/>
      <c r="AY56" s="193"/>
    </row>
    <row r="57" spans="1:51" s="137" customFormat="1" ht="12.75">
      <c r="A57" s="316"/>
      <c r="B57" s="316"/>
      <c r="C57" s="236"/>
      <c r="D57" s="241" t="s">
        <v>148</v>
      </c>
      <c r="E57" s="310"/>
      <c r="F57" s="311"/>
      <c r="G57" s="241"/>
      <c r="H57" s="376"/>
      <c r="I57" s="219"/>
      <c r="J57" s="162"/>
      <c r="K57" s="220"/>
      <c r="L57" s="162"/>
      <c r="M57" s="220"/>
      <c r="N57" s="162"/>
      <c r="O57" s="220"/>
      <c r="P57" s="162"/>
      <c r="Q57" s="220"/>
      <c r="R57" s="162"/>
      <c r="S57" s="220"/>
      <c r="T57" s="162"/>
      <c r="U57" s="220"/>
      <c r="V57" s="162"/>
      <c r="X57" s="313"/>
      <c r="AA57" s="241" t="s">
        <v>148</v>
      </c>
      <c r="AC57" s="314"/>
      <c r="AE57" s="220"/>
      <c r="AF57" s="306"/>
      <c r="AG57" s="162"/>
      <c r="AH57" s="162"/>
      <c r="AI57" s="162"/>
      <c r="AJ57" s="162"/>
      <c r="AK57" s="162"/>
      <c r="AL57" s="162"/>
      <c r="AM57" s="162"/>
      <c r="AN57" s="162"/>
      <c r="AO57" s="162"/>
      <c r="AP57" s="162"/>
      <c r="AQ57" s="162"/>
      <c r="AR57" s="162"/>
      <c r="AS57" s="162"/>
      <c r="AT57" s="162"/>
      <c r="AU57" s="162"/>
      <c r="AV57" s="162"/>
      <c r="AW57" s="162"/>
      <c r="AY57" s="193"/>
    </row>
    <row r="58" spans="1:51" s="137" customFormat="1" ht="12.75">
      <c r="A58" s="316"/>
      <c r="B58" s="316"/>
      <c r="C58" s="236"/>
      <c r="D58" s="241" t="s">
        <v>124</v>
      </c>
      <c r="E58" s="310"/>
      <c r="F58" s="311">
        <v>6</v>
      </c>
      <c r="G58" s="241"/>
      <c r="H58" s="376">
        <v>0</v>
      </c>
      <c r="I58" s="219"/>
      <c r="J58" s="235">
        <f>(VLOOKUP($F58,Factors,J$384))*$H58</f>
        <v>0</v>
      </c>
      <c r="K58" s="373"/>
      <c r="L58" s="235">
        <f>(VLOOKUP($F58,Factors,L$384))*$H58</f>
        <v>0</v>
      </c>
      <c r="M58" s="373"/>
      <c r="N58" s="235">
        <f>(VLOOKUP($F58,Factors,N$384))*$H58</f>
        <v>0</v>
      </c>
      <c r="O58" s="373"/>
      <c r="P58" s="235">
        <f>(VLOOKUP($F58,Factors,P$384))*$H58</f>
        <v>0</v>
      </c>
      <c r="Q58" s="373"/>
      <c r="R58" s="235">
        <f>(VLOOKUP($F58,Factors,R$384))*$H58</f>
        <v>0</v>
      </c>
      <c r="S58" s="373"/>
      <c r="T58" s="235">
        <f>(VLOOKUP($F58,Factors,T$384))*$H58</f>
        <v>0</v>
      </c>
      <c r="U58" s="373"/>
      <c r="V58" s="235">
        <f>(VLOOKUP($F58,Factors,V$384))*$H58</f>
        <v>0</v>
      </c>
      <c r="W58" s="236"/>
      <c r="X58" s="236"/>
      <c r="AA58" s="241" t="s">
        <v>124</v>
      </c>
      <c r="AC58" s="280">
        <f>+F58</f>
        <v>6</v>
      </c>
      <c r="AD58"/>
      <c r="AE58" s="161">
        <f>+H58</f>
        <v>0</v>
      </c>
      <c r="AF58"/>
      <c r="AG58" s="148">
        <f>(VLOOKUP($AC58,func,AG$384))*$AE58</f>
        <v>0</v>
      </c>
      <c r="AH58" s="148"/>
      <c r="AI58" s="148">
        <f>(VLOOKUP($AC58,func,AI$384))*$AE58</f>
        <v>0</v>
      </c>
      <c r="AJ58" s="148"/>
      <c r="AK58" s="148">
        <f>(VLOOKUP($AC58,func,AK$384))*$AE58</f>
        <v>0</v>
      </c>
      <c r="AL58" s="148"/>
      <c r="AM58" s="148">
        <f>(VLOOKUP($AC58,func,AM$384))*$AE58</f>
        <v>0</v>
      </c>
      <c r="AN58" s="148"/>
      <c r="AO58" s="148">
        <f>(VLOOKUP($AC58,func,AO$384))*$AE58</f>
        <v>0</v>
      </c>
      <c r="AP58" s="148"/>
      <c r="AQ58" s="148">
        <f>(VLOOKUP($AC58,func,AQ$384))*$AE58</f>
        <v>0</v>
      </c>
      <c r="AR58" s="148"/>
      <c r="AS58" s="148">
        <f>(VLOOKUP($AC58,func,AS$384))*$AE58</f>
        <v>0</v>
      </c>
      <c r="AT58" s="148"/>
      <c r="AU58" s="148">
        <f>(VLOOKUP($AC58,func,AU$384))*$AE58</f>
        <v>0</v>
      </c>
      <c r="AV58" s="148"/>
      <c r="AW58" s="148">
        <f>(VLOOKUP($AC58,func,AW$384))*$AE58</f>
        <v>0</v>
      </c>
      <c r="AX58"/>
      <c r="AY58" s="193"/>
    </row>
    <row r="59" spans="1:51" s="137" customFormat="1" ht="12.75">
      <c r="A59" s="316"/>
      <c r="B59" s="316"/>
      <c r="C59" s="236"/>
      <c r="D59" s="241" t="s">
        <v>125</v>
      </c>
      <c r="E59" s="310"/>
      <c r="F59" s="311">
        <v>6</v>
      </c>
      <c r="G59" s="241"/>
      <c r="H59" s="376">
        <v>0</v>
      </c>
      <c r="I59" s="219"/>
      <c r="J59" s="235">
        <f>(VLOOKUP($F59,Factors,J$384))*$H59</f>
        <v>0</v>
      </c>
      <c r="K59" s="373"/>
      <c r="L59" s="235">
        <f>(VLOOKUP($F59,Factors,L$384))*$H59</f>
        <v>0</v>
      </c>
      <c r="M59" s="373"/>
      <c r="N59" s="235">
        <f>(VLOOKUP($F59,Factors,N$384))*$H59</f>
        <v>0</v>
      </c>
      <c r="O59" s="373"/>
      <c r="P59" s="235">
        <f>(VLOOKUP($F59,Factors,P$384))*$H59</f>
        <v>0</v>
      </c>
      <c r="Q59" s="373"/>
      <c r="R59" s="235">
        <f>(VLOOKUP($F59,Factors,R$384))*$H59</f>
        <v>0</v>
      </c>
      <c r="S59" s="373"/>
      <c r="T59" s="235">
        <f>(VLOOKUP($F59,Factors,T$384))*$H59</f>
        <v>0</v>
      </c>
      <c r="U59" s="373"/>
      <c r="V59" s="235">
        <f>(VLOOKUP($F59,Factors,V$384))*$H59</f>
        <v>0</v>
      </c>
      <c r="W59" s="236"/>
      <c r="X59" s="236"/>
      <c r="AA59" s="241" t="s">
        <v>125</v>
      </c>
      <c r="AC59" s="280">
        <f>+F59</f>
        <v>6</v>
      </c>
      <c r="AD59"/>
      <c r="AE59" s="161">
        <f>+H59</f>
        <v>0</v>
      </c>
      <c r="AF59"/>
      <c r="AG59" s="148">
        <f>(VLOOKUP($AC59,func,AG$384))*$AE59</f>
        <v>0</v>
      </c>
      <c r="AH59" s="148"/>
      <c r="AI59" s="148">
        <f>(VLOOKUP($AC59,func,AI$384))*$AE59</f>
        <v>0</v>
      </c>
      <c r="AJ59" s="148"/>
      <c r="AK59" s="148">
        <f>(VLOOKUP($AC59,func,AK$384))*$AE59</f>
        <v>0</v>
      </c>
      <c r="AL59" s="148"/>
      <c r="AM59" s="148">
        <f>(VLOOKUP($AC59,func,AM$384))*$AE59</f>
        <v>0</v>
      </c>
      <c r="AN59" s="148"/>
      <c r="AO59" s="148">
        <f>(VLOOKUP($AC59,func,AO$384))*$AE59</f>
        <v>0</v>
      </c>
      <c r="AP59" s="148"/>
      <c r="AQ59" s="148">
        <f>(VLOOKUP($AC59,func,AQ$384))*$AE59</f>
        <v>0</v>
      </c>
      <c r="AR59" s="148"/>
      <c r="AS59" s="148">
        <f>(VLOOKUP($AC59,func,AS$384))*$AE59</f>
        <v>0</v>
      </c>
      <c r="AT59" s="148"/>
      <c r="AU59" s="148">
        <f>(VLOOKUP($AC59,func,AU$384))*$AE59</f>
        <v>0</v>
      </c>
      <c r="AV59" s="148"/>
      <c r="AW59" s="148">
        <f>(VLOOKUP($AC59,func,AW$384))*$AE59</f>
        <v>0</v>
      </c>
      <c r="AX59"/>
      <c r="AY59" s="193"/>
    </row>
    <row r="60" spans="1:51" ht="12.75">
      <c r="A60" s="306"/>
      <c r="B60" s="306"/>
      <c r="C60" s="236"/>
      <c r="D60" s="241" t="s">
        <v>149</v>
      </c>
      <c r="E60" s="310"/>
      <c r="F60" s="311"/>
      <c r="G60" s="241"/>
      <c r="H60" s="376"/>
      <c r="I60" s="219"/>
      <c r="J60" s="162"/>
      <c r="K60" s="220"/>
      <c r="L60" s="162"/>
      <c r="M60" s="220"/>
      <c r="N60" s="162"/>
      <c r="O60" s="220"/>
      <c r="P60" s="162"/>
      <c r="Q60" s="220"/>
      <c r="R60" s="162"/>
      <c r="S60" s="220"/>
      <c r="T60" s="162"/>
      <c r="U60" s="220"/>
      <c r="V60" s="162"/>
      <c r="X60" s="193"/>
      <c r="AA60" s="241" t="s">
        <v>149</v>
      </c>
      <c r="AE60" s="162"/>
      <c r="AF60" s="219"/>
      <c r="AG60" s="162"/>
      <c r="AH60" s="220"/>
      <c r="AI60" s="162"/>
      <c r="AJ60" s="220"/>
      <c r="AK60" s="162"/>
      <c r="AL60" s="220"/>
      <c r="AM60" s="162"/>
      <c r="AN60" s="220"/>
      <c r="AO60" s="162"/>
      <c r="AP60" s="220"/>
      <c r="AQ60" s="162"/>
      <c r="AR60" s="220"/>
      <c r="AS60" s="162"/>
      <c r="AT60" s="220"/>
      <c r="AU60" s="162"/>
      <c r="AV60" s="220"/>
      <c r="AW60" s="162"/>
      <c r="AY60" s="193"/>
    </row>
    <row r="61" spans="1:51" ht="12.75">
      <c r="A61" s="306"/>
      <c r="B61" s="306"/>
      <c r="C61" s="236"/>
      <c r="D61" s="241" t="s">
        <v>124</v>
      </c>
      <c r="E61" s="310"/>
      <c r="F61" s="311">
        <v>6</v>
      </c>
      <c r="G61" s="241"/>
      <c r="H61" s="376">
        <v>0</v>
      </c>
      <c r="I61" s="219"/>
      <c r="J61" s="235">
        <f>(VLOOKUP($F61,Factors,J$384))*$H61</f>
        <v>0</v>
      </c>
      <c r="K61" s="373"/>
      <c r="L61" s="235">
        <f>(VLOOKUP($F61,Factors,L$384))*$H61</f>
        <v>0</v>
      </c>
      <c r="M61" s="373"/>
      <c r="N61" s="235">
        <f>(VLOOKUP($F61,Factors,N$384))*$H61</f>
        <v>0</v>
      </c>
      <c r="O61" s="373"/>
      <c r="P61" s="235">
        <f>(VLOOKUP($F61,Factors,P$384))*$H61</f>
        <v>0</v>
      </c>
      <c r="Q61" s="373"/>
      <c r="R61" s="235">
        <f>(VLOOKUP($F61,Factors,R$384))*$H61</f>
        <v>0</v>
      </c>
      <c r="S61" s="373"/>
      <c r="T61" s="235">
        <f>(VLOOKUP($F61,Factors,T$384))*$H61</f>
        <v>0</v>
      </c>
      <c r="U61" s="373"/>
      <c r="V61" s="235">
        <f>(VLOOKUP($F61,Factors,V$384))*$H61</f>
        <v>0</v>
      </c>
      <c r="W61" s="236"/>
      <c r="X61" s="236"/>
      <c r="AA61" s="241" t="s">
        <v>124</v>
      </c>
      <c r="AC61" s="280">
        <f>+F61</f>
        <v>6</v>
      </c>
      <c r="AE61" s="161">
        <f>+H61</f>
        <v>0</v>
      </c>
      <c r="AG61" s="148">
        <f>(VLOOKUP($AC61,func,AG$384))*$AE61</f>
        <v>0</v>
      </c>
      <c r="AH61" s="148"/>
      <c r="AI61" s="148">
        <f>(VLOOKUP($AC61,func,AI$384))*$AE61</f>
        <v>0</v>
      </c>
      <c r="AJ61" s="148"/>
      <c r="AK61" s="148">
        <f>(VLOOKUP($AC61,func,AK$384))*$AE61</f>
        <v>0</v>
      </c>
      <c r="AL61" s="148"/>
      <c r="AM61" s="148">
        <f>(VLOOKUP($AC61,func,AM$384))*$AE61</f>
        <v>0</v>
      </c>
      <c r="AN61" s="148"/>
      <c r="AO61" s="148">
        <f>(VLOOKUP($AC61,func,AO$384))*$AE61</f>
        <v>0</v>
      </c>
      <c r="AP61" s="148"/>
      <c r="AQ61" s="148">
        <f>(VLOOKUP($AC61,func,AQ$384))*$AE61</f>
        <v>0</v>
      </c>
      <c r="AR61" s="148"/>
      <c r="AS61" s="148">
        <f>(VLOOKUP($AC61,func,AS$384))*$AE61</f>
        <v>0</v>
      </c>
      <c r="AT61" s="148"/>
      <c r="AU61" s="148">
        <f>(VLOOKUP($AC61,func,AU$384))*$AE61</f>
        <v>0</v>
      </c>
      <c r="AV61" s="148"/>
      <c r="AW61" s="148">
        <f>(VLOOKUP($AC61,func,AW$384))*$AE61</f>
        <v>0</v>
      </c>
      <c r="AY61" s="193"/>
    </row>
    <row r="62" spans="1:51" ht="12.75">
      <c r="A62" s="306"/>
      <c r="B62" s="306"/>
      <c r="C62" s="236"/>
      <c r="D62" s="241" t="s">
        <v>125</v>
      </c>
      <c r="E62" s="310"/>
      <c r="F62" s="311">
        <v>6</v>
      </c>
      <c r="G62" s="241"/>
      <c r="H62" s="469">
        <v>0</v>
      </c>
      <c r="I62" s="162"/>
      <c r="J62" s="468">
        <f>(VLOOKUP($F62,Factors,J$384))*$H62</f>
        <v>0</v>
      </c>
      <c r="K62" s="162"/>
      <c r="L62" s="468">
        <f>(VLOOKUP($F62,Factors,L$384))*$H62</f>
        <v>0</v>
      </c>
      <c r="M62" s="162"/>
      <c r="N62" s="468">
        <f>(VLOOKUP($F62,Factors,N$384))*$H62</f>
        <v>0</v>
      </c>
      <c r="O62" s="162"/>
      <c r="P62" s="468">
        <f>(VLOOKUP($F62,Factors,P$384))*$H62</f>
        <v>0</v>
      </c>
      <c r="Q62" s="162"/>
      <c r="R62" s="468">
        <f>(VLOOKUP($F62,Factors,R$384))*$H62</f>
        <v>0</v>
      </c>
      <c r="S62" s="162"/>
      <c r="T62" s="468">
        <f>(VLOOKUP($F62,Factors,T$384))*$H62</f>
        <v>0</v>
      </c>
      <c r="U62" s="162"/>
      <c r="V62" s="468">
        <f>(VLOOKUP($F62,Factors,V$384))*$H62</f>
        <v>0</v>
      </c>
      <c r="W62" s="236"/>
      <c r="X62" s="236"/>
      <c r="AA62" s="241" t="s">
        <v>125</v>
      </c>
      <c r="AC62" s="280">
        <f>+F62</f>
        <v>6</v>
      </c>
      <c r="AE62" s="317">
        <f>+H62</f>
        <v>0</v>
      </c>
      <c r="AG62" s="149">
        <f>(VLOOKUP($AC62,func,AG$384))*$AE62</f>
        <v>0</v>
      </c>
      <c r="AI62" s="149">
        <f>(VLOOKUP($AC62,func,AI$384))*$AE62</f>
        <v>0</v>
      </c>
      <c r="AK62" s="149">
        <f>(VLOOKUP($AC62,func,AK$384))*$AE62</f>
        <v>0</v>
      </c>
      <c r="AM62" s="149">
        <f>(VLOOKUP($AC62,func,AM$384))*$AE62</f>
        <v>0</v>
      </c>
      <c r="AO62" s="149">
        <f>(VLOOKUP($AC62,func,AO$384))*$AE62</f>
        <v>0</v>
      </c>
      <c r="AQ62" s="149">
        <f>(VLOOKUP($AC62,func,AQ$384))*$AE62</f>
        <v>0</v>
      </c>
      <c r="AS62" s="149">
        <f>(VLOOKUP($AC62,func,AS$384))*$AE62</f>
        <v>0</v>
      </c>
      <c r="AU62" s="149">
        <f>(VLOOKUP($AC62,func,AU$384))*$AE62</f>
        <v>0</v>
      </c>
      <c r="AW62" s="149">
        <f>(VLOOKUP($AC62,func,AW$384))*$AE62</f>
        <v>0</v>
      </c>
      <c r="AY62" s="193"/>
    </row>
    <row r="63" spans="1:51" ht="12.75">
      <c r="A63" s="306"/>
      <c r="B63" s="306"/>
      <c r="C63" s="236"/>
      <c r="D63" s="241"/>
      <c r="E63" s="310"/>
      <c r="F63" s="311"/>
      <c r="G63" s="241"/>
      <c r="H63" s="376"/>
      <c r="I63" s="219"/>
      <c r="J63" s="162"/>
      <c r="K63" s="219"/>
      <c r="L63" s="162"/>
      <c r="M63" s="219"/>
      <c r="N63" s="162"/>
      <c r="O63" s="219"/>
      <c r="P63" s="162"/>
      <c r="Q63" s="219"/>
      <c r="R63" s="162"/>
      <c r="S63" s="219"/>
      <c r="T63" s="162"/>
      <c r="U63" s="219"/>
      <c r="V63" s="162"/>
      <c r="X63" s="193"/>
      <c r="AA63" s="241"/>
      <c r="AB63" s="310"/>
      <c r="AC63" s="311"/>
      <c r="AD63" s="241"/>
      <c r="AE63" s="376"/>
      <c r="AF63" s="219"/>
      <c r="AG63" s="162"/>
      <c r="AH63" s="219"/>
      <c r="AI63" s="162"/>
      <c r="AJ63" s="219"/>
      <c r="AK63" s="162"/>
      <c r="AL63" s="219"/>
      <c r="AM63" s="162"/>
      <c r="AN63" s="219"/>
      <c r="AO63" s="162"/>
      <c r="AP63" s="219"/>
      <c r="AQ63" s="162"/>
      <c r="AR63" s="219"/>
      <c r="AS63" s="162"/>
      <c r="AT63" s="219"/>
      <c r="AU63" s="162"/>
      <c r="AV63" s="219"/>
      <c r="AW63" s="162"/>
      <c r="AY63" s="193"/>
    </row>
    <row r="64" spans="1:51" ht="12.75">
      <c r="A64" s="306"/>
      <c r="B64" s="306"/>
      <c r="C64" s="236"/>
      <c r="D64" s="241" t="s">
        <v>138</v>
      </c>
      <c r="E64" s="310"/>
      <c r="F64" s="311"/>
      <c r="G64" s="241"/>
      <c r="H64" s="376">
        <f>SUM(H53:H62)</f>
        <v>289277.734772496</v>
      </c>
      <c r="I64" s="241"/>
      <c r="J64" s="376">
        <f>SUM(J53:J62)</f>
        <v>137175.5018291176</v>
      </c>
      <c r="K64" s="241"/>
      <c r="L64" s="376">
        <f>SUM(L53:L62)</f>
        <v>83601.26534925133</v>
      </c>
      <c r="M64" s="241"/>
      <c r="N64" s="376">
        <f>SUM(N53:N62)</f>
        <v>10153.648490514608</v>
      </c>
      <c r="O64" s="241"/>
      <c r="P64" s="376">
        <f>SUM(P53:P62)</f>
        <v>30663.439885884578</v>
      </c>
      <c r="Q64" s="241"/>
      <c r="R64" s="376">
        <f>SUM(R53:R62)</f>
        <v>8909.754230992876</v>
      </c>
      <c r="S64" s="241"/>
      <c r="T64" s="376">
        <f>SUM(T53:T62)</f>
        <v>8417.982081879634</v>
      </c>
      <c r="U64" s="241"/>
      <c r="V64" s="376">
        <f>SUM(V53:V62)</f>
        <v>10356.142904855356</v>
      </c>
      <c r="X64" s="193"/>
      <c r="AA64" s="241" t="s">
        <v>138</v>
      </c>
      <c r="AB64" s="310"/>
      <c r="AC64" s="311"/>
      <c r="AD64" s="241"/>
      <c r="AE64" s="376">
        <f>SUM(AE53:AE62)</f>
        <v>289277.734772496</v>
      </c>
      <c r="AF64" s="241"/>
      <c r="AG64" s="376">
        <f>SUM(AG53:AG62)</f>
        <v>149712.65421529015</v>
      </c>
      <c r="AH64" s="241"/>
      <c r="AI64" s="376">
        <f>SUM(AI53:AI62)</f>
        <v>80245.64362589039</v>
      </c>
      <c r="AJ64" s="241"/>
      <c r="AK64" s="376">
        <f>SUM(AK53:AK62)</f>
        <v>40557.5483927613</v>
      </c>
      <c r="AL64" s="241"/>
      <c r="AM64" s="376">
        <f>SUM(AM53:AM62)</f>
        <v>0</v>
      </c>
      <c r="AN64" s="241"/>
      <c r="AO64" s="376">
        <f>SUM(AO53:AO62)</f>
        <v>0</v>
      </c>
      <c r="AP64" s="241"/>
      <c r="AQ64" s="376">
        <f>SUM(AQ53:AQ62)</f>
        <v>0</v>
      </c>
      <c r="AR64" s="241"/>
      <c r="AS64" s="376">
        <f>SUM(AS53:AS62)</f>
        <v>0</v>
      </c>
      <c r="AT64" s="241"/>
      <c r="AU64" s="376">
        <f>SUM(AU53:AU62)</f>
        <v>8413.990049139773</v>
      </c>
      <c r="AV64" s="241"/>
      <c r="AW64" s="376">
        <f>SUM(AW53:AW62)</f>
        <v>10347.898489414341</v>
      </c>
      <c r="AY64" s="193"/>
    </row>
    <row r="65" spans="1:51" ht="12.75">
      <c r="A65" s="316"/>
      <c r="B65" s="295"/>
      <c r="C65" s="236"/>
      <c r="D65" s="241"/>
      <c r="E65" s="310"/>
      <c r="F65" s="311"/>
      <c r="G65" s="241"/>
      <c r="H65" s="376"/>
      <c r="I65" s="241"/>
      <c r="J65" s="376"/>
      <c r="K65" s="241"/>
      <c r="L65" s="376"/>
      <c r="M65" s="241"/>
      <c r="N65" s="376"/>
      <c r="O65" s="241"/>
      <c r="P65" s="376"/>
      <c r="Q65" s="241"/>
      <c r="R65" s="376"/>
      <c r="S65" s="241"/>
      <c r="T65" s="376"/>
      <c r="U65" s="241"/>
      <c r="V65" s="376"/>
      <c r="X65" s="193"/>
      <c r="AA65" s="241"/>
      <c r="AB65" s="310"/>
      <c r="AC65" s="311"/>
      <c r="AD65" s="241"/>
      <c r="AE65" s="376"/>
      <c r="AF65" s="241"/>
      <c r="AG65" s="376"/>
      <c r="AH65" s="241"/>
      <c r="AI65" s="376"/>
      <c r="AJ65" s="241"/>
      <c r="AK65" s="376"/>
      <c r="AL65" s="241"/>
      <c r="AM65" s="376"/>
      <c r="AN65" s="241"/>
      <c r="AO65" s="376"/>
      <c r="AP65" s="241"/>
      <c r="AQ65" s="376"/>
      <c r="AR65" s="241"/>
      <c r="AS65" s="376"/>
      <c r="AT65" s="241"/>
      <c r="AU65" s="376"/>
      <c r="AV65" s="241"/>
      <c r="AW65" s="376"/>
      <c r="AY65" s="193"/>
    </row>
    <row r="66" spans="1:51" ht="12.75">
      <c r="A66" s="316"/>
      <c r="B66" s="295"/>
      <c r="C66" s="236"/>
      <c r="D66" s="241" t="s">
        <v>150</v>
      </c>
      <c r="E66" s="310"/>
      <c r="F66" s="311"/>
      <c r="G66" s="241"/>
      <c r="H66" s="376">
        <f>H64+H51</f>
        <v>4759415.005568853</v>
      </c>
      <c r="I66" s="241"/>
      <c r="J66" s="376">
        <f>J64+J51</f>
        <v>2318610.33004075</v>
      </c>
      <c r="K66" s="241"/>
      <c r="L66" s="376">
        <f>L64+L51</f>
        <v>1448980.7478093985</v>
      </c>
      <c r="M66" s="241"/>
      <c r="N66" s="376">
        <f>N64+N51</f>
        <v>192871.41229546675</v>
      </c>
      <c r="O66" s="241"/>
      <c r="P66" s="376">
        <f>P64+P51</f>
        <v>575820.0097902984</v>
      </c>
      <c r="Q66" s="241"/>
      <c r="R66" s="376">
        <f>R64+R51</f>
        <v>174156.16137152066</v>
      </c>
      <c r="S66" s="241"/>
      <c r="T66" s="376">
        <f>T64+T51</f>
        <v>22108.44226205362</v>
      </c>
      <c r="U66" s="241"/>
      <c r="V66" s="376">
        <f>V64+V51</f>
        <v>26867.901999364934</v>
      </c>
      <c r="X66" s="193"/>
      <c r="AA66" s="241" t="s">
        <v>150</v>
      </c>
      <c r="AB66" s="310"/>
      <c r="AC66" s="311"/>
      <c r="AD66" s="241"/>
      <c r="AE66" s="376">
        <f>AE64+AE51</f>
        <v>4759415.005568853</v>
      </c>
      <c r="AF66" s="241"/>
      <c r="AG66" s="376">
        <f>AG64+AG51</f>
        <v>4550165.994706602</v>
      </c>
      <c r="AH66" s="241"/>
      <c r="AI66" s="376">
        <f>AI64+AI51</f>
        <v>106474.72094479977</v>
      </c>
      <c r="AJ66" s="241"/>
      <c r="AK66" s="376">
        <f>AK64+AK51</f>
        <v>53814.181707568765</v>
      </c>
      <c r="AL66" s="241"/>
      <c r="AM66" s="376">
        <f>AM64+AM51</f>
        <v>0</v>
      </c>
      <c r="AN66" s="241"/>
      <c r="AO66" s="376">
        <f>AO64+AO51</f>
        <v>0</v>
      </c>
      <c r="AP66" s="241"/>
      <c r="AQ66" s="376">
        <f>AQ64+AQ51</f>
        <v>0</v>
      </c>
      <c r="AR66" s="241"/>
      <c r="AS66" s="376">
        <f>AS64+AS51</f>
        <v>0</v>
      </c>
      <c r="AT66" s="241"/>
      <c r="AU66" s="376">
        <f>AU64+AU51</f>
        <v>22103.14539417677</v>
      </c>
      <c r="AV66" s="241"/>
      <c r="AW66" s="376">
        <f>AW64+AW51</f>
        <v>26856.962815706225</v>
      </c>
      <c r="AY66" s="193"/>
    </row>
    <row r="67" spans="1:51" ht="12.75">
      <c r="A67" s="316"/>
      <c r="B67" s="295"/>
      <c r="C67" s="236"/>
      <c r="D67" s="241"/>
      <c r="E67" s="310"/>
      <c r="F67" s="311"/>
      <c r="G67" s="241"/>
      <c r="H67" s="376"/>
      <c r="I67" s="219"/>
      <c r="J67" s="162"/>
      <c r="K67" s="220"/>
      <c r="L67" s="162"/>
      <c r="M67" s="220"/>
      <c r="N67" s="162"/>
      <c r="O67" s="220"/>
      <c r="P67" s="162"/>
      <c r="Q67" s="220"/>
      <c r="R67" s="162"/>
      <c r="S67" s="220"/>
      <c r="T67" s="162"/>
      <c r="U67" s="220"/>
      <c r="V67" s="162"/>
      <c r="X67" s="193"/>
      <c r="AA67" s="241"/>
      <c r="AC67" s="280"/>
      <c r="AE67" s="461"/>
      <c r="AF67" s="163"/>
      <c r="AG67" s="162"/>
      <c r="AH67" s="162"/>
      <c r="AI67" s="162"/>
      <c r="AJ67" s="162"/>
      <c r="AK67" s="162"/>
      <c r="AL67" s="162"/>
      <c r="AM67" s="162"/>
      <c r="AN67" s="162"/>
      <c r="AO67" s="162"/>
      <c r="AP67" s="162"/>
      <c r="AQ67" s="162"/>
      <c r="AR67" s="162"/>
      <c r="AS67" s="162"/>
      <c r="AT67" s="162"/>
      <c r="AU67" s="162"/>
      <c r="AV67" s="162"/>
      <c r="AW67" s="162"/>
      <c r="AY67" s="193"/>
    </row>
    <row r="68" spans="1:51" ht="12.75">
      <c r="A68" s="316"/>
      <c r="B68" s="295"/>
      <c r="C68" s="236"/>
      <c r="D68" s="241" t="s">
        <v>307</v>
      </c>
      <c r="E68" s="310"/>
      <c r="F68" s="311"/>
      <c r="G68" s="241"/>
      <c r="H68" s="376"/>
      <c r="I68" s="219"/>
      <c r="J68" s="162"/>
      <c r="K68" s="220"/>
      <c r="L68" s="162"/>
      <c r="M68" s="220"/>
      <c r="N68" s="162"/>
      <c r="O68" s="220"/>
      <c r="P68" s="162"/>
      <c r="Q68" s="220"/>
      <c r="R68" s="162"/>
      <c r="S68" s="220"/>
      <c r="T68" s="162"/>
      <c r="U68" s="220"/>
      <c r="V68" s="162"/>
      <c r="X68" s="193"/>
      <c r="AA68" s="241" t="s">
        <v>307</v>
      </c>
      <c r="AC68" s="280"/>
      <c r="AE68" s="461"/>
      <c r="AF68" s="163"/>
      <c r="AG68" s="162"/>
      <c r="AH68" s="162"/>
      <c r="AI68" s="162"/>
      <c r="AJ68" s="162"/>
      <c r="AK68" s="162"/>
      <c r="AL68" s="162"/>
      <c r="AM68" s="162"/>
      <c r="AN68" s="162"/>
      <c r="AO68" s="162"/>
      <c r="AP68" s="162"/>
      <c r="AQ68" s="162"/>
      <c r="AR68" s="162"/>
      <c r="AS68" s="162"/>
      <c r="AT68" s="162"/>
      <c r="AU68" s="162"/>
      <c r="AV68" s="162"/>
      <c r="AW68" s="162"/>
      <c r="AY68" s="193"/>
    </row>
    <row r="69" spans="1:51" ht="12.75">
      <c r="A69" s="316"/>
      <c r="B69" s="295"/>
      <c r="C69" s="236"/>
      <c r="D69" s="241" t="s">
        <v>121</v>
      </c>
      <c r="E69" s="310"/>
      <c r="F69" s="311"/>
      <c r="G69" s="241"/>
      <c r="H69" s="376"/>
      <c r="I69" s="219"/>
      <c r="J69" s="162"/>
      <c r="K69" s="220"/>
      <c r="L69" s="162"/>
      <c r="M69" s="220"/>
      <c r="N69" s="162"/>
      <c r="O69" s="220"/>
      <c r="P69" s="162"/>
      <c r="Q69" s="220"/>
      <c r="R69" s="162"/>
      <c r="S69" s="220"/>
      <c r="T69" s="162"/>
      <c r="U69" s="220"/>
      <c r="V69" s="162"/>
      <c r="X69" s="193"/>
      <c r="AA69" s="241" t="s">
        <v>121</v>
      </c>
      <c r="AC69" s="280"/>
      <c r="AE69" s="461"/>
      <c r="AF69" s="163"/>
      <c r="AG69" s="162"/>
      <c r="AH69" s="162"/>
      <c r="AI69" s="162"/>
      <c r="AJ69" s="162"/>
      <c r="AK69" s="162"/>
      <c r="AL69" s="162"/>
      <c r="AM69" s="162"/>
      <c r="AN69" s="162"/>
      <c r="AO69" s="162"/>
      <c r="AP69" s="162"/>
      <c r="AQ69" s="162"/>
      <c r="AR69" s="162"/>
      <c r="AS69" s="162"/>
      <c r="AT69" s="162"/>
      <c r="AU69" s="162"/>
      <c r="AV69" s="162"/>
      <c r="AW69" s="162"/>
      <c r="AY69" s="193"/>
    </row>
    <row r="70" spans="1:51" ht="12.75">
      <c r="A70" s="316"/>
      <c r="B70" s="295"/>
      <c r="C70" s="236"/>
      <c r="D70"/>
      <c r="E70" s="310"/>
      <c r="F70" s="311"/>
      <c r="G70" s="241"/>
      <c r="H70" s="376"/>
      <c r="I70" s="219"/>
      <c r="J70" s="162"/>
      <c r="K70" s="220"/>
      <c r="L70" s="162"/>
      <c r="M70" s="220"/>
      <c r="N70" s="162"/>
      <c r="O70" s="220"/>
      <c r="P70" s="162"/>
      <c r="Q70" s="220"/>
      <c r="R70" s="162"/>
      <c r="S70" s="220"/>
      <c r="T70" s="162"/>
      <c r="U70" s="220"/>
      <c r="V70" s="162"/>
      <c r="X70" s="193"/>
      <c r="AA70"/>
      <c r="AC70" s="280"/>
      <c r="AE70" s="461"/>
      <c r="AF70" s="163"/>
      <c r="AG70" s="162"/>
      <c r="AH70" s="162"/>
      <c r="AI70" s="162"/>
      <c r="AJ70" s="162"/>
      <c r="AK70" s="162"/>
      <c r="AL70" s="162"/>
      <c r="AM70" s="162"/>
      <c r="AN70" s="162"/>
      <c r="AO70" s="162"/>
      <c r="AP70" s="162"/>
      <c r="AQ70" s="162"/>
      <c r="AR70" s="162"/>
      <c r="AS70" s="162"/>
      <c r="AT70" s="162"/>
      <c r="AU70" s="162"/>
      <c r="AV70" s="162"/>
      <c r="AW70" s="162"/>
      <c r="AY70" s="193"/>
    </row>
    <row r="71" spans="1:51" ht="12.75">
      <c r="A71" s="316"/>
      <c r="B71" s="295"/>
      <c r="C71" s="236"/>
      <c r="D71" s="241" t="s">
        <v>151</v>
      </c>
      <c r="E71" s="310"/>
      <c r="F71" s="311">
        <v>2</v>
      </c>
      <c r="G71" s="241"/>
      <c r="H71" s="376">
        <v>910309.4875897459</v>
      </c>
      <c r="I71" s="219"/>
      <c r="J71" s="235">
        <f>(VLOOKUP($F71,Factors,J$384))*$H71</f>
        <v>455791.9604361857</v>
      </c>
      <c r="K71" s="373"/>
      <c r="L71" s="235">
        <f>(VLOOKUP($F71,Factors,L$384))*$H71</f>
        <v>278827.79604873917</v>
      </c>
      <c r="M71" s="373"/>
      <c r="N71" s="235">
        <f>(VLOOKUP($F71,Factors,N$384))*$H71</f>
        <v>34864.85337468727</v>
      </c>
      <c r="O71" s="373"/>
      <c r="P71" s="235">
        <f>(VLOOKUP($F71,Factors,P$384))*$H71</f>
        <v>106324.14815048232</v>
      </c>
      <c r="Q71" s="373"/>
      <c r="R71" s="235">
        <f>(VLOOKUP($F71,Factors,R$384))*$H71</f>
        <v>31496.708270605206</v>
      </c>
      <c r="S71" s="373"/>
      <c r="T71" s="235">
        <f>(VLOOKUP($F71,Factors,T$384))*$H71</f>
        <v>1365.4642313846189</v>
      </c>
      <c r="U71" s="373"/>
      <c r="V71" s="235">
        <f>(VLOOKUP($F71,Factors,V$384))*$H71</f>
        <v>1638.5570776615425</v>
      </c>
      <c r="W71" s="236"/>
      <c r="X71" s="236"/>
      <c r="AA71" s="241" t="s">
        <v>151</v>
      </c>
      <c r="AC71" s="280">
        <f>+F71</f>
        <v>2</v>
      </c>
      <c r="AE71" s="161">
        <f>+H71</f>
        <v>910309.4875897459</v>
      </c>
      <c r="AG71" s="148">
        <f>(VLOOKUP($AC71,func,AG$384))*$AE71</f>
        <v>548734.5591190988</v>
      </c>
      <c r="AH71" s="148"/>
      <c r="AI71" s="148">
        <f>(VLOOKUP($AC71,func,AI$384))*$AE71</f>
        <v>358570.9071616009</v>
      </c>
      <c r="AJ71" s="148"/>
      <c r="AK71" s="148">
        <f>(VLOOKUP($AC71,func,AK$384))*$AE71</f>
        <v>0</v>
      </c>
      <c r="AL71" s="148"/>
      <c r="AM71" s="148">
        <f>(VLOOKUP($AC71,func,AM$384))*$AE71</f>
        <v>0</v>
      </c>
      <c r="AN71" s="148"/>
      <c r="AO71" s="148">
        <f>(VLOOKUP($AC71,func,AO$384))*$AE71</f>
        <v>0</v>
      </c>
      <c r="AP71" s="148"/>
      <c r="AQ71" s="148">
        <f>(VLOOKUP($AC71,func,AQ$384))*$AE71</f>
        <v>0</v>
      </c>
      <c r="AR71" s="148"/>
      <c r="AS71" s="148">
        <f>(VLOOKUP($AC71,func,AS$384))*$AE71</f>
        <v>0</v>
      </c>
      <c r="AT71" s="148"/>
      <c r="AU71" s="148">
        <f>(VLOOKUP($AC71,func,AU$384))*$AE71</f>
        <v>1365.4642313846189</v>
      </c>
      <c r="AV71" s="148"/>
      <c r="AW71" s="148">
        <f>(VLOOKUP($AC71,func,AW$384))*$AE71</f>
        <v>1638.5570776615425</v>
      </c>
      <c r="AY71" s="193"/>
    </row>
    <row r="72" spans="1:51" ht="12.75">
      <c r="A72" s="316"/>
      <c r="B72" s="295"/>
      <c r="C72" s="236"/>
      <c r="D72" s="241" t="s">
        <v>152</v>
      </c>
      <c r="E72" s="310"/>
      <c r="F72" s="311">
        <v>1</v>
      </c>
      <c r="G72" s="241"/>
      <c r="H72" s="376">
        <v>1772730</v>
      </c>
      <c r="I72" s="219"/>
      <c r="J72" s="235">
        <f>(VLOOKUP($F72,Factors,J$384))*$H72</f>
        <v>865624.059</v>
      </c>
      <c r="K72" s="373"/>
      <c r="L72" s="235">
        <f>(VLOOKUP($F72,Factors,L$384))*$H72</f>
        <v>542100.834</v>
      </c>
      <c r="M72" s="373"/>
      <c r="N72" s="235">
        <f>(VLOOKUP($F72,Factors,N$384))*$H72</f>
        <v>72681.93000000001</v>
      </c>
      <c r="O72" s="373"/>
      <c r="P72" s="235">
        <f>(VLOOKUP($F72,Factors,P$384))*$H72</f>
        <v>216804.87900000002</v>
      </c>
      <c r="Q72" s="373"/>
      <c r="R72" s="235">
        <f>(VLOOKUP($F72,Factors,R$384))*$H72</f>
        <v>65768.283</v>
      </c>
      <c r="S72" s="373"/>
      <c r="T72" s="235">
        <f>(VLOOKUP($F72,Factors,T$384))*$H72</f>
        <v>4431.825</v>
      </c>
      <c r="U72" s="373"/>
      <c r="V72" s="235">
        <f>(VLOOKUP($F72,Factors,V$384))*$H72</f>
        <v>5318.1900000000005</v>
      </c>
      <c r="W72" s="236"/>
      <c r="X72" s="236"/>
      <c r="AA72" s="241" t="s">
        <v>152</v>
      </c>
      <c r="AC72" s="280">
        <f>+F72</f>
        <v>1</v>
      </c>
      <c r="AE72" s="161">
        <f>+H72</f>
        <v>1772730</v>
      </c>
      <c r="AG72" s="148">
        <f>(VLOOKUP($AC72,func,AG$384))*$AE72</f>
        <v>1762979.985</v>
      </c>
      <c r="AH72" s="148"/>
      <c r="AI72" s="148">
        <f>(VLOOKUP($AC72,func,AI$384))*$AE72</f>
        <v>0</v>
      </c>
      <c r="AJ72" s="148"/>
      <c r="AK72" s="148">
        <f>(VLOOKUP($AC72,func,AK$384))*$AE72</f>
        <v>0</v>
      </c>
      <c r="AL72" s="148"/>
      <c r="AM72" s="148">
        <f>(VLOOKUP($AC72,func,AM$384))*$AE72</f>
        <v>0</v>
      </c>
      <c r="AN72" s="148"/>
      <c r="AO72" s="148">
        <f>(VLOOKUP($AC72,func,AO$384))*$AE72</f>
        <v>0</v>
      </c>
      <c r="AP72" s="148"/>
      <c r="AQ72" s="148">
        <f>(VLOOKUP($AC72,func,AQ$384))*$AE72</f>
        <v>0</v>
      </c>
      <c r="AR72" s="148"/>
      <c r="AS72" s="148">
        <f>(VLOOKUP($AC72,func,AS$384))*$AE72</f>
        <v>0</v>
      </c>
      <c r="AT72" s="148"/>
      <c r="AU72" s="148">
        <f>(VLOOKUP($AC72,func,AU$384))*$AE72</f>
        <v>4431.825</v>
      </c>
      <c r="AV72" s="148"/>
      <c r="AW72" s="148">
        <f>(VLOOKUP($AC72,func,AW$384))*$AE72</f>
        <v>5318.1900000000005</v>
      </c>
      <c r="AY72" s="193"/>
    </row>
    <row r="73" spans="1:51" ht="12.75">
      <c r="A73" s="316"/>
      <c r="B73" s="295"/>
      <c r="C73" s="236"/>
      <c r="D73" s="241" t="s">
        <v>153</v>
      </c>
      <c r="E73" s="310"/>
      <c r="F73" s="311"/>
      <c r="G73" s="241"/>
      <c r="H73" s="376"/>
      <c r="I73" s="162"/>
      <c r="J73" s="162"/>
      <c r="K73" s="162"/>
      <c r="L73" s="162"/>
      <c r="M73" s="162"/>
      <c r="N73" s="162"/>
      <c r="O73" s="162"/>
      <c r="P73" s="162"/>
      <c r="Q73" s="162"/>
      <c r="R73" s="162"/>
      <c r="S73" s="162"/>
      <c r="T73" s="162"/>
      <c r="U73" s="162"/>
      <c r="V73" s="162"/>
      <c r="X73" s="193"/>
      <c r="AA73" s="241" t="s">
        <v>153</v>
      </c>
      <c r="AE73" s="162"/>
      <c r="AF73" s="162"/>
      <c r="AG73" s="162"/>
      <c r="AH73" s="162"/>
      <c r="AI73" s="162"/>
      <c r="AJ73" s="162"/>
      <c r="AK73" s="162"/>
      <c r="AL73" s="162"/>
      <c r="AM73" s="162"/>
      <c r="AN73" s="162"/>
      <c r="AO73" s="162"/>
      <c r="AP73" s="162"/>
      <c r="AQ73" s="162"/>
      <c r="AR73" s="162"/>
      <c r="AS73" s="162"/>
      <c r="AT73" s="162"/>
      <c r="AU73" s="162"/>
      <c r="AV73" s="162"/>
      <c r="AW73" s="162"/>
      <c r="AY73" s="193"/>
    </row>
    <row r="74" spans="1:51" ht="12.75">
      <c r="A74" s="316"/>
      <c r="B74" s="295"/>
      <c r="C74" s="236"/>
      <c r="D74" s="241" t="s">
        <v>124</v>
      </c>
      <c r="E74" s="310"/>
      <c r="F74" s="311">
        <v>2</v>
      </c>
      <c r="G74" s="241"/>
      <c r="H74" s="376">
        <v>180304</v>
      </c>
      <c r="I74" s="219"/>
      <c r="J74" s="235">
        <f>(VLOOKUP($F74,Factors,J$384))*$H74</f>
        <v>90278.21279999998</v>
      </c>
      <c r="K74" s="373"/>
      <c r="L74" s="235">
        <f>(VLOOKUP($F74,Factors,L$384))*$H74</f>
        <v>55227.1152</v>
      </c>
      <c r="M74" s="373"/>
      <c r="N74" s="235">
        <f>(VLOOKUP($F74,Factors,N$384))*$H74</f>
        <v>6905.6432</v>
      </c>
      <c r="O74" s="373"/>
      <c r="P74" s="235">
        <f>(VLOOKUP($F74,Factors,P$384))*$H74</f>
        <v>21059.5072</v>
      </c>
      <c r="Q74" s="373"/>
      <c r="R74" s="235">
        <f>(VLOOKUP($F74,Factors,R$384))*$H74</f>
        <v>6238.5184</v>
      </c>
      <c r="S74" s="373"/>
      <c r="T74" s="235">
        <f>(VLOOKUP($F74,Factors,T$384))*$H74</f>
        <v>270.456</v>
      </c>
      <c r="U74" s="373"/>
      <c r="V74" s="235">
        <f>(VLOOKUP($F74,Factors,V$384))*$H74</f>
        <v>324.5472</v>
      </c>
      <c r="W74" s="236"/>
      <c r="X74" s="236"/>
      <c r="AA74" s="241" t="s">
        <v>124</v>
      </c>
      <c r="AC74" s="280">
        <f>+F74</f>
        <v>2</v>
      </c>
      <c r="AE74" s="161">
        <f>+H74</f>
        <v>180304</v>
      </c>
      <c r="AG74" s="148">
        <f>(VLOOKUP($AC74,func,AG$384))*$AE74</f>
        <v>108687.2512</v>
      </c>
      <c r="AH74" s="148"/>
      <c r="AI74" s="148">
        <f>(VLOOKUP($AC74,func,AI$384))*$AE74</f>
        <v>71021.7456</v>
      </c>
      <c r="AJ74" s="148"/>
      <c r="AK74" s="148">
        <f>(VLOOKUP($AC74,func,AK$384))*$AE74</f>
        <v>0</v>
      </c>
      <c r="AL74" s="148"/>
      <c r="AM74" s="148">
        <f>(VLOOKUP($AC74,func,AM$384))*$AE74</f>
        <v>0</v>
      </c>
      <c r="AN74" s="148"/>
      <c r="AO74" s="148">
        <f>(VLOOKUP($AC74,func,AO$384))*$AE74</f>
        <v>0</v>
      </c>
      <c r="AP74" s="148"/>
      <c r="AQ74" s="148">
        <f>(VLOOKUP($AC74,func,AQ$384))*$AE74</f>
        <v>0</v>
      </c>
      <c r="AR74" s="148"/>
      <c r="AS74" s="148">
        <f>(VLOOKUP($AC74,func,AS$384))*$AE74</f>
        <v>0</v>
      </c>
      <c r="AT74" s="148"/>
      <c r="AU74" s="148">
        <f>(VLOOKUP($AC74,func,AU$384))*$AE74</f>
        <v>270.456</v>
      </c>
      <c r="AV74" s="148"/>
      <c r="AW74" s="148">
        <f>(VLOOKUP($AC74,func,AW$384))*$AE74</f>
        <v>324.5472</v>
      </c>
      <c r="AY74" s="193"/>
    </row>
    <row r="75" spans="1:51" ht="12.75">
      <c r="A75" s="316"/>
      <c r="B75" s="295"/>
      <c r="C75" s="236"/>
      <c r="D75" s="241" t="s">
        <v>125</v>
      </c>
      <c r="E75" s="310"/>
      <c r="F75" s="311">
        <v>2</v>
      </c>
      <c r="G75" s="241"/>
      <c r="H75" s="376">
        <v>1473757.8427460035</v>
      </c>
      <c r="I75" s="219"/>
      <c r="J75" s="235">
        <f>(VLOOKUP($F75,Factors,J$384))*$H75</f>
        <v>737910.5518629239</v>
      </c>
      <c r="K75" s="373"/>
      <c r="L75" s="235">
        <f>(VLOOKUP($F75,Factors,L$384))*$H75</f>
        <v>451412.0272331009</v>
      </c>
      <c r="M75" s="373"/>
      <c r="N75" s="235">
        <f>(VLOOKUP($F75,Factors,N$384))*$H75</f>
        <v>56444.92537717194</v>
      </c>
      <c r="O75" s="373"/>
      <c r="P75" s="235">
        <f>(VLOOKUP($F75,Factors,P$384))*$H75</f>
        <v>172134.91603273322</v>
      </c>
      <c r="Q75" s="373"/>
      <c r="R75" s="235">
        <f>(VLOOKUP($F75,Factors,R$384))*$H75</f>
        <v>50992.02135901172</v>
      </c>
      <c r="S75" s="373"/>
      <c r="T75" s="235">
        <f>(VLOOKUP($F75,Factors,T$384))*$H75</f>
        <v>2210.6367641190054</v>
      </c>
      <c r="U75" s="373"/>
      <c r="V75" s="235">
        <f>(VLOOKUP($F75,Factors,V$384))*$H75</f>
        <v>2652.764116942806</v>
      </c>
      <c r="W75" s="236"/>
      <c r="X75" s="236"/>
      <c r="AA75" s="241" t="s">
        <v>125</v>
      </c>
      <c r="AC75" s="280">
        <f>+F75</f>
        <v>2</v>
      </c>
      <c r="AE75" s="161">
        <f>+H75</f>
        <v>1473757.8427460035</v>
      </c>
      <c r="AG75" s="148">
        <f>(VLOOKUP($AC75,func,AG$384))*$AE75</f>
        <v>888381.227607291</v>
      </c>
      <c r="AH75" s="148"/>
      <c r="AI75" s="148">
        <f>(VLOOKUP($AC75,func,AI$384))*$AE75</f>
        <v>580513.2142576508</v>
      </c>
      <c r="AJ75" s="148"/>
      <c r="AK75" s="148">
        <f>(VLOOKUP($AC75,func,AK$384))*$AE75</f>
        <v>0</v>
      </c>
      <c r="AL75" s="148"/>
      <c r="AM75" s="148">
        <f>(VLOOKUP($AC75,func,AM$384))*$AE75</f>
        <v>0</v>
      </c>
      <c r="AN75" s="148"/>
      <c r="AO75" s="148">
        <f>(VLOOKUP($AC75,func,AO$384))*$AE75</f>
        <v>0</v>
      </c>
      <c r="AP75" s="148"/>
      <c r="AQ75" s="148">
        <f>(VLOOKUP($AC75,func,AQ$384))*$AE75</f>
        <v>0</v>
      </c>
      <c r="AR75" s="148"/>
      <c r="AS75" s="148">
        <f>(VLOOKUP($AC75,func,AS$384))*$AE75</f>
        <v>0</v>
      </c>
      <c r="AT75" s="148"/>
      <c r="AU75" s="148">
        <f>(VLOOKUP($AC75,func,AU$384))*$AE75</f>
        <v>2210.6367641190054</v>
      </c>
      <c r="AV75" s="148"/>
      <c r="AW75" s="148">
        <f>(VLOOKUP($AC75,func,AW$384))*$AE75</f>
        <v>2652.764116942806</v>
      </c>
      <c r="AY75" s="193"/>
    </row>
    <row r="76" spans="1:51" ht="12.75">
      <c r="A76" s="316"/>
      <c r="B76" s="295"/>
      <c r="C76" s="236"/>
      <c r="D76" s="241" t="s">
        <v>154</v>
      </c>
      <c r="E76" s="310"/>
      <c r="F76" s="311"/>
      <c r="G76" s="241"/>
      <c r="H76" s="376"/>
      <c r="I76" s="219"/>
      <c r="J76" s="162"/>
      <c r="K76" s="220"/>
      <c r="L76" s="162"/>
      <c r="M76" s="220"/>
      <c r="N76" s="162"/>
      <c r="O76" s="220"/>
      <c r="P76" s="162"/>
      <c r="Q76" s="220"/>
      <c r="R76" s="162"/>
      <c r="S76" s="220"/>
      <c r="T76" s="162"/>
      <c r="U76" s="220"/>
      <c r="V76" s="162"/>
      <c r="X76" s="193"/>
      <c r="AA76" s="241" t="s">
        <v>154</v>
      </c>
      <c r="AC76" s="280"/>
      <c r="AE76" s="461"/>
      <c r="AF76" s="163"/>
      <c r="AG76" s="162"/>
      <c r="AH76" s="162"/>
      <c r="AI76" s="162"/>
      <c r="AJ76" s="162"/>
      <c r="AK76" s="162"/>
      <c r="AL76" s="162"/>
      <c r="AM76" s="162"/>
      <c r="AN76" s="162"/>
      <c r="AO76" s="162"/>
      <c r="AP76" s="162"/>
      <c r="AQ76" s="162"/>
      <c r="AR76" s="162"/>
      <c r="AS76" s="162"/>
      <c r="AT76" s="162"/>
      <c r="AU76" s="162"/>
      <c r="AV76" s="162"/>
      <c r="AW76" s="162"/>
      <c r="AY76" s="193"/>
    </row>
    <row r="77" spans="1:51" ht="12.75">
      <c r="A77" s="316"/>
      <c r="B77" s="295"/>
      <c r="C77" s="236"/>
      <c r="D77" s="241" t="s">
        <v>155</v>
      </c>
      <c r="E77" s="310"/>
      <c r="F77" s="311">
        <v>2</v>
      </c>
      <c r="G77" s="241"/>
      <c r="H77" s="376">
        <v>119635</v>
      </c>
      <c r="I77" s="219"/>
      <c r="J77" s="235">
        <f>(VLOOKUP($F77,Factors,J$384))*$H77</f>
        <v>59901.24449999999</v>
      </c>
      <c r="K77" s="373"/>
      <c r="L77" s="235">
        <f>(VLOOKUP($F77,Factors,L$384))*$H77</f>
        <v>36644.2005</v>
      </c>
      <c r="M77" s="373"/>
      <c r="N77" s="235">
        <f>(VLOOKUP($F77,Factors,N$384))*$H77</f>
        <v>4582.0205000000005</v>
      </c>
      <c r="O77" s="373"/>
      <c r="P77" s="235">
        <f>(VLOOKUP($F77,Factors,P$384))*$H77</f>
        <v>13973.368</v>
      </c>
      <c r="Q77" s="373"/>
      <c r="R77" s="235">
        <f>(VLOOKUP($F77,Factors,R$384))*$H77</f>
        <v>4139.371</v>
      </c>
      <c r="S77" s="373"/>
      <c r="T77" s="235">
        <f>(VLOOKUP($F77,Factors,T$384))*$H77</f>
        <v>179.45250000000001</v>
      </c>
      <c r="U77" s="373"/>
      <c r="V77" s="235">
        <f>(VLOOKUP($F77,Factors,V$384))*$H77</f>
        <v>215.343</v>
      </c>
      <c r="W77" s="236"/>
      <c r="X77" s="236"/>
      <c r="AA77" s="241" t="s">
        <v>155</v>
      </c>
      <c r="AC77" s="280">
        <f>+F77</f>
        <v>2</v>
      </c>
      <c r="AE77" s="161">
        <f>+H77</f>
        <v>119635</v>
      </c>
      <c r="AG77" s="148">
        <f>(VLOOKUP($AC77,func,AG$384))*$AE77</f>
        <v>72115.978</v>
      </c>
      <c r="AH77" s="148"/>
      <c r="AI77" s="148">
        <f>(VLOOKUP($AC77,func,AI$384))*$AE77</f>
        <v>47124.2265</v>
      </c>
      <c r="AJ77" s="148"/>
      <c r="AK77" s="148">
        <f>(VLOOKUP($AC77,func,AK$384))*$AE77</f>
        <v>0</v>
      </c>
      <c r="AL77" s="148"/>
      <c r="AM77" s="148">
        <f>(VLOOKUP($AC77,func,AM$384))*$AE77</f>
        <v>0</v>
      </c>
      <c r="AN77" s="148"/>
      <c r="AO77" s="148">
        <f>(VLOOKUP($AC77,func,AO$384))*$AE77</f>
        <v>0</v>
      </c>
      <c r="AP77" s="148"/>
      <c r="AQ77" s="148">
        <f>(VLOOKUP($AC77,func,AQ$384))*$AE77</f>
        <v>0</v>
      </c>
      <c r="AR77" s="148"/>
      <c r="AS77" s="148">
        <f>(VLOOKUP($AC77,func,AS$384))*$AE77</f>
        <v>0</v>
      </c>
      <c r="AT77" s="148"/>
      <c r="AU77" s="148">
        <f>(VLOOKUP($AC77,func,AU$384))*$AE77</f>
        <v>179.45250000000001</v>
      </c>
      <c r="AV77" s="148"/>
      <c r="AW77" s="148">
        <f>(VLOOKUP($AC77,func,AW$384))*$AE77</f>
        <v>215.343</v>
      </c>
      <c r="AY77" s="193"/>
    </row>
    <row r="78" spans="1:51" ht="12.75">
      <c r="A78" s="316"/>
      <c r="B78" s="295"/>
      <c r="C78" s="236"/>
      <c r="D78" s="241" t="s">
        <v>156</v>
      </c>
      <c r="E78" s="310"/>
      <c r="F78" s="311">
        <v>1</v>
      </c>
      <c r="G78" s="241"/>
      <c r="H78" s="376">
        <v>340226.2722095833</v>
      </c>
      <c r="I78" s="219"/>
      <c r="J78" s="235">
        <f>(VLOOKUP($F78,Factors,J$384))*$H78</f>
        <v>166132.48871993955</v>
      </c>
      <c r="K78" s="373"/>
      <c r="L78" s="235">
        <f>(VLOOKUP($F78,Factors,L$384))*$H78</f>
        <v>104041.19404169059</v>
      </c>
      <c r="M78" s="373"/>
      <c r="N78" s="235">
        <f>(VLOOKUP($F78,Factors,N$384))*$H78</f>
        <v>13949.277160592917</v>
      </c>
      <c r="O78" s="373"/>
      <c r="P78" s="235">
        <f>(VLOOKUP($F78,Factors,P$384))*$H78</f>
        <v>41609.67309123204</v>
      </c>
      <c r="Q78" s="373"/>
      <c r="R78" s="235">
        <f>(VLOOKUP($F78,Factors,R$384))*$H78</f>
        <v>12622.394698975542</v>
      </c>
      <c r="S78" s="373"/>
      <c r="T78" s="235">
        <f>(VLOOKUP($F78,Factors,T$384))*$H78</f>
        <v>850.5656805239583</v>
      </c>
      <c r="U78" s="373"/>
      <c r="V78" s="235">
        <f>(VLOOKUP($F78,Factors,V$384))*$H78</f>
        <v>1020.6788166287499</v>
      </c>
      <c r="W78" s="236"/>
      <c r="X78" s="236"/>
      <c r="AA78" s="241" t="s">
        <v>156</v>
      </c>
      <c r="AC78" s="280">
        <f>+F78</f>
        <v>1</v>
      </c>
      <c r="AE78" s="161">
        <f>+H78</f>
        <v>340226.2722095833</v>
      </c>
      <c r="AG78" s="148">
        <f>(VLOOKUP($AC78,func,AG$384))*$AE78</f>
        <v>338355.02771243063</v>
      </c>
      <c r="AH78" s="148"/>
      <c r="AI78" s="148">
        <f>(VLOOKUP($AC78,func,AI$384))*$AE78</f>
        <v>0</v>
      </c>
      <c r="AJ78" s="148"/>
      <c r="AK78" s="148">
        <f>(VLOOKUP($AC78,func,AK$384))*$AE78</f>
        <v>0</v>
      </c>
      <c r="AL78" s="148"/>
      <c r="AM78" s="148">
        <f>(VLOOKUP($AC78,func,AM$384))*$AE78</f>
        <v>0</v>
      </c>
      <c r="AN78" s="148"/>
      <c r="AO78" s="148">
        <f>(VLOOKUP($AC78,func,AO$384))*$AE78</f>
        <v>0</v>
      </c>
      <c r="AP78" s="148"/>
      <c r="AQ78" s="148">
        <f>(VLOOKUP($AC78,func,AQ$384))*$AE78</f>
        <v>0</v>
      </c>
      <c r="AR78" s="148"/>
      <c r="AS78" s="148">
        <f>(VLOOKUP($AC78,func,AS$384))*$AE78</f>
        <v>0</v>
      </c>
      <c r="AT78" s="148"/>
      <c r="AU78" s="148">
        <f>(VLOOKUP($AC78,func,AU$384))*$AE78</f>
        <v>850.5656805239583</v>
      </c>
      <c r="AV78" s="148"/>
      <c r="AW78" s="148">
        <f>(VLOOKUP($AC78,func,AW$384))*$AE78</f>
        <v>1020.6788166287499</v>
      </c>
      <c r="AY78" s="193"/>
    </row>
    <row r="79" spans="1:51" ht="12.75">
      <c r="A79" s="316"/>
      <c r="B79" s="295"/>
      <c r="C79" s="236"/>
      <c r="D79" s="241" t="s">
        <v>125</v>
      </c>
      <c r="E79" s="310"/>
      <c r="F79" s="311">
        <v>2</v>
      </c>
      <c r="G79" s="241"/>
      <c r="H79" s="376">
        <v>0</v>
      </c>
      <c r="I79" s="219"/>
      <c r="J79" s="235">
        <f>(VLOOKUP($F79,Factors,J$384))*$H79</f>
        <v>0</v>
      </c>
      <c r="K79" s="373"/>
      <c r="L79" s="235">
        <f>(VLOOKUP($F79,Factors,L$384))*$H79</f>
        <v>0</v>
      </c>
      <c r="M79" s="373"/>
      <c r="N79" s="235">
        <f>(VLOOKUP($F79,Factors,N$384))*$H79</f>
        <v>0</v>
      </c>
      <c r="O79" s="373"/>
      <c r="P79" s="235">
        <f>(VLOOKUP($F79,Factors,P$384))*$H79</f>
        <v>0</v>
      </c>
      <c r="Q79" s="373"/>
      <c r="R79" s="235">
        <f>(VLOOKUP($F79,Factors,R$384))*$H79</f>
        <v>0</v>
      </c>
      <c r="S79" s="373"/>
      <c r="T79" s="235">
        <f>(VLOOKUP($F79,Factors,T$384))*$H79</f>
        <v>0</v>
      </c>
      <c r="U79" s="373"/>
      <c r="V79" s="235">
        <f>(VLOOKUP($F79,Factors,V$384))*$H79</f>
        <v>0</v>
      </c>
      <c r="W79" s="236"/>
      <c r="X79" s="236"/>
      <c r="AA79" s="241" t="s">
        <v>125</v>
      </c>
      <c r="AC79" s="280">
        <f>+F79</f>
        <v>2</v>
      </c>
      <c r="AE79" s="161">
        <f>+H79</f>
        <v>0</v>
      </c>
      <c r="AG79" s="148">
        <f>(VLOOKUP($AC79,func,AG$384))*$AE79</f>
        <v>0</v>
      </c>
      <c r="AH79" s="148"/>
      <c r="AI79" s="148">
        <f>(VLOOKUP($AC79,func,AI$384))*$AE79</f>
        <v>0</v>
      </c>
      <c r="AJ79" s="148"/>
      <c r="AK79" s="148">
        <f>(VLOOKUP($AC79,func,AK$384))*$AE79</f>
        <v>0</v>
      </c>
      <c r="AL79" s="148"/>
      <c r="AM79" s="148">
        <f>(VLOOKUP($AC79,func,AM$384))*$AE79</f>
        <v>0</v>
      </c>
      <c r="AN79" s="148"/>
      <c r="AO79" s="148">
        <f>(VLOOKUP($AC79,func,AO$384))*$AE79</f>
        <v>0</v>
      </c>
      <c r="AP79" s="148"/>
      <c r="AQ79" s="148">
        <f>(VLOOKUP($AC79,func,AQ$384))*$AE79</f>
        <v>0</v>
      </c>
      <c r="AR79" s="148"/>
      <c r="AS79" s="148">
        <f>(VLOOKUP($AC79,func,AS$384))*$AE79</f>
        <v>0</v>
      </c>
      <c r="AT79" s="148"/>
      <c r="AU79" s="148">
        <f>(VLOOKUP($AC79,func,AU$384))*$AE79</f>
        <v>0</v>
      </c>
      <c r="AV79" s="148"/>
      <c r="AW79" s="148">
        <f>(VLOOKUP($AC79,func,AW$384))*$AE79</f>
        <v>0</v>
      </c>
      <c r="AY79" s="193"/>
    </row>
    <row r="80" spans="1:51" ht="12.75">
      <c r="A80" s="306"/>
      <c r="B80" s="306"/>
      <c r="C80" s="236"/>
      <c r="D80" s="241" t="s">
        <v>157</v>
      </c>
      <c r="E80" s="310"/>
      <c r="F80" s="311">
        <v>2</v>
      </c>
      <c r="G80" s="241"/>
      <c r="H80" s="469">
        <v>0</v>
      </c>
      <c r="I80" s="162"/>
      <c r="J80" s="468">
        <f>(VLOOKUP($F80,Factors,J$384))*$H80</f>
        <v>0</v>
      </c>
      <c r="K80" s="162"/>
      <c r="L80" s="468">
        <f>(VLOOKUP($F80,Factors,L$384))*$H80</f>
        <v>0</v>
      </c>
      <c r="M80" s="162"/>
      <c r="N80" s="468">
        <f>(VLOOKUP($F80,Factors,N$384))*$H80</f>
        <v>0</v>
      </c>
      <c r="O80" s="162"/>
      <c r="P80" s="468">
        <f>(VLOOKUP($F80,Factors,P$384))*$H80</f>
        <v>0</v>
      </c>
      <c r="Q80" s="162"/>
      <c r="R80" s="468">
        <f>(VLOOKUP($F80,Factors,R$384))*$H80</f>
        <v>0</v>
      </c>
      <c r="S80" s="162"/>
      <c r="T80" s="468">
        <f>(VLOOKUP($F80,Factors,T$384))*$H80</f>
        <v>0</v>
      </c>
      <c r="U80" s="162"/>
      <c r="V80" s="468">
        <f>(VLOOKUP($F80,Factors,V$384))*$H80</f>
        <v>0</v>
      </c>
      <c r="W80" s="236"/>
      <c r="X80" s="236"/>
      <c r="AA80" s="241" t="s">
        <v>157</v>
      </c>
      <c r="AC80" s="280">
        <f>+F80</f>
        <v>2</v>
      </c>
      <c r="AE80" s="317">
        <f>+H80</f>
        <v>0</v>
      </c>
      <c r="AG80" s="149">
        <f>(VLOOKUP($AC80,func,AG$384))*$AE80</f>
        <v>0</v>
      </c>
      <c r="AH80" s="148"/>
      <c r="AI80" s="149">
        <f>(VLOOKUP($AC80,func,AI$384))*$AE80</f>
        <v>0</v>
      </c>
      <c r="AJ80" s="148"/>
      <c r="AK80" s="149">
        <f>(VLOOKUP($AC80,func,AK$384))*$AE80</f>
        <v>0</v>
      </c>
      <c r="AL80" s="148"/>
      <c r="AM80" s="149">
        <f>(VLOOKUP($AC80,func,AM$384))*$AE80</f>
        <v>0</v>
      </c>
      <c r="AN80" s="148"/>
      <c r="AO80" s="149">
        <f>(VLOOKUP($AC80,func,AO$384))*$AE80</f>
        <v>0</v>
      </c>
      <c r="AP80" s="148"/>
      <c r="AQ80" s="149">
        <f>(VLOOKUP($AC80,func,AQ$384))*$AE80</f>
        <v>0</v>
      </c>
      <c r="AR80" s="148"/>
      <c r="AS80" s="149">
        <f>(VLOOKUP($AC80,func,AS$384))*$AE80</f>
        <v>0</v>
      </c>
      <c r="AT80" s="148"/>
      <c r="AU80" s="149">
        <f>(VLOOKUP($AC80,func,AU$384))*$AE80</f>
        <v>0</v>
      </c>
      <c r="AV80" s="148"/>
      <c r="AW80" s="149">
        <f>(VLOOKUP($AC80,func,AW$384))*$AE80</f>
        <v>0</v>
      </c>
      <c r="AY80" s="193"/>
    </row>
    <row r="81" spans="1:51" ht="12.75">
      <c r="A81" s="306"/>
      <c r="B81" s="306"/>
      <c r="C81" s="236"/>
      <c r="D81" s="241"/>
      <c r="E81" s="310"/>
      <c r="F81" s="311"/>
      <c r="G81" s="241"/>
      <c r="H81" s="376"/>
      <c r="I81" s="162"/>
      <c r="J81" s="162"/>
      <c r="K81" s="162"/>
      <c r="L81" s="162"/>
      <c r="M81" s="162"/>
      <c r="N81" s="162"/>
      <c r="O81" s="162"/>
      <c r="P81" s="162"/>
      <c r="Q81" s="162"/>
      <c r="R81" s="162"/>
      <c r="S81" s="162"/>
      <c r="T81" s="162"/>
      <c r="U81" s="162"/>
      <c r="V81" s="162"/>
      <c r="X81" s="193"/>
      <c r="AA81" s="241"/>
      <c r="AE81" s="163"/>
      <c r="AF81" s="163"/>
      <c r="AG81" s="163"/>
      <c r="AH81" s="163"/>
      <c r="AI81" s="163"/>
      <c r="AJ81" s="163"/>
      <c r="AK81" s="163"/>
      <c r="AL81" s="163"/>
      <c r="AM81" s="163"/>
      <c r="AN81" s="163"/>
      <c r="AO81" s="163"/>
      <c r="AP81" s="163"/>
      <c r="AQ81" s="163"/>
      <c r="AR81" s="163"/>
      <c r="AS81" s="163"/>
      <c r="AT81" s="163"/>
      <c r="AU81" s="163"/>
      <c r="AV81" s="163"/>
      <c r="AW81" s="163"/>
      <c r="AY81" s="193"/>
    </row>
    <row r="82" spans="1:51" ht="12.75">
      <c r="A82" s="306"/>
      <c r="B82" s="306"/>
      <c r="C82" s="236"/>
      <c r="D82" s="241" t="s">
        <v>129</v>
      </c>
      <c r="E82" s="310"/>
      <c r="F82" s="311"/>
      <c r="G82" s="241"/>
      <c r="H82" s="376">
        <f>SUM(H71:H81)</f>
        <v>4796962.602545332</v>
      </c>
      <c r="I82" s="241"/>
      <c r="J82" s="376">
        <f>SUM(J71:J81)</f>
        <v>2375638.517319049</v>
      </c>
      <c r="K82" s="241"/>
      <c r="L82" s="376">
        <f>SUM(L71:L81)</f>
        <v>1468253.1670235307</v>
      </c>
      <c r="M82" s="241"/>
      <c r="N82" s="376">
        <f>SUM(N71:N81)</f>
        <v>189428.64961245217</v>
      </c>
      <c r="O82" s="241"/>
      <c r="P82" s="376">
        <f>SUM(P71:P81)</f>
        <v>571906.4914744477</v>
      </c>
      <c r="Q82" s="241"/>
      <c r="R82" s="376">
        <f>SUM(R71:R81)</f>
        <v>171257.29672859248</v>
      </c>
      <c r="S82" s="241"/>
      <c r="T82" s="376">
        <f>SUM(T71:T81)</f>
        <v>9308.40017602758</v>
      </c>
      <c r="U82" s="241"/>
      <c r="V82" s="376">
        <f>SUM(V71:V81)</f>
        <v>11170.080211233098</v>
      </c>
      <c r="X82" s="193"/>
      <c r="AA82" s="241" t="s">
        <v>129</v>
      </c>
      <c r="AB82" s="310"/>
      <c r="AC82" s="311"/>
      <c r="AD82" s="241"/>
      <c r="AE82" s="376">
        <f>SUM(AE71:AE81)</f>
        <v>4796962.602545332</v>
      </c>
      <c r="AF82" s="241"/>
      <c r="AG82" s="376">
        <f>SUM(AG71:AG81)</f>
        <v>3719254.028638821</v>
      </c>
      <c r="AH82" s="241"/>
      <c r="AI82" s="376">
        <f>SUM(AI71:AI81)</f>
        <v>1057230.0935192518</v>
      </c>
      <c r="AJ82" s="241"/>
      <c r="AK82" s="376">
        <f>SUM(AK71:AK81)</f>
        <v>0</v>
      </c>
      <c r="AL82" s="241"/>
      <c r="AM82" s="376">
        <f>SUM(AM71:AM81)</f>
        <v>0</v>
      </c>
      <c r="AN82" s="241"/>
      <c r="AO82" s="376">
        <f>SUM(AO71:AO81)</f>
        <v>0</v>
      </c>
      <c r="AP82" s="241"/>
      <c r="AQ82" s="376">
        <f>SUM(AQ71:AQ81)</f>
        <v>0</v>
      </c>
      <c r="AR82" s="241"/>
      <c r="AS82" s="376">
        <f>SUM(AS71:AS81)</f>
        <v>0</v>
      </c>
      <c r="AT82" s="241"/>
      <c r="AU82" s="376">
        <f>SUM(AU71:AU81)</f>
        <v>9308.40017602758</v>
      </c>
      <c r="AV82" s="241"/>
      <c r="AW82" s="376">
        <f>SUM(AW71:AW81)</f>
        <v>11170.080211233098</v>
      </c>
      <c r="AY82" s="193"/>
    </row>
    <row r="83" spans="1:51" ht="12.75">
      <c r="A83" s="306"/>
      <c r="B83" s="306"/>
      <c r="C83" s="236"/>
      <c r="D83" s="241"/>
      <c r="E83" s="310"/>
      <c r="F83" s="311"/>
      <c r="G83" s="241"/>
      <c r="H83" s="376"/>
      <c r="I83" s="219"/>
      <c r="J83" s="162"/>
      <c r="K83" s="220"/>
      <c r="L83" s="220"/>
      <c r="M83" s="220"/>
      <c r="N83" s="220"/>
      <c r="O83" s="220"/>
      <c r="P83" s="220"/>
      <c r="Q83" s="220"/>
      <c r="R83" s="220"/>
      <c r="S83" s="220"/>
      <c r="T83" s="220"/>
      <c r="U83" s="220"/>
      <c r="V83" s="220"/>
      <c r="X83" s="193"/>
      <c r="AA83" s="241"/>
      <c r="AE83" s="163"/>
      <c r="AF83" s="163"/>
      <c r="AG83" s="163"/>
      <c r="AH83" s="163"/>
      <c r="AI83" s="163"/>
      <c r="AJ83" s="163"/>
      <c r="AK83" s="163"/>
      <c r="AL83" s="163"/>
      <c r="AM83" s="163"/>
      <c r="AN83" s="163"/>
      <c r="AO83" s="163"/>
      <c r="AP83" s="163"/>
      <c r="AQ83" s="163"/>
      <c r="AR83" s="163"/>
      <c r="AS83" s="163"/>
      <c r="AT83" s="163"/>
      <c r="AU83" s="163"/>
      <c r="AV83" s="163"/>
      <c r="AW83" s="163"/>
      <c r="AY83" s="193"/>
    </row>
    <row r="84" spans="1:51" ht="12.75">
      <c r="A84" s="306"/>
      <c r="B84" s="306"/>
      <c r="C84" s="236"/>
      <c r="D84" s="241" t="s">
        <v>130</v>
      </c>
      <c r="E84" s="310"/>
      <c r="F84" s="311"/>
      <c r="G84" s="241"/>
      <c r="H84" s="376"/>
      <c r="I84" s="219"/>
      <c r="J84" s="162"/>
      <c r="K84" s="220"/>
      <c r="L84" s="220"/>
      <c r="M84" s="220"/>
      <c r="N84" s="220"/>
      <c r="O84" s="220"/>
      <c r="P84" s="220"/>
      <c r="Q84" s="220"/>
      <c r="R84" s="220"/>
      <c r="S84" s="220"/>
      <c r="T84" s="220"/>
      <c r="U84" s="220"/>
      <c r="V84" s="220"/>
      <c r="X84" s="193"/>
      <c r="AA84" s="241" t="s">
        <v>130</v>
      </c>
      <c r="AE84" s="163"/>
      <c r="AF84" s="163"/>
      <c r="AG84" s="163"/>
      <c r="AH84" s="163"/>
      <c r="AI84" s="163"/>
      <c r="AJ84" s="163"/>
      <c r="AK84" s="163"/>
      <c r="AL84" s="163"/>
      <c r="AM84" s="163"/>
      <c r="AN84" s="163"/>
      <c r="AO84" s="163"/>
      <c r="AP84" s="163"/>
      <c r="AQ84" s="163"/>
      <c r="AR84" s="163"/>
      <c r="AS84" s="163"/>
      <c r="AT84" s="163"/>
      <c r="AU84" s="163"/>
      <c r="AV84" s="163"/>
      <c r="AW84" s="163"/>
      <c r="AY84" s="193"/>
    </row>
    <row r="85" spans="1:51" ht="12.75">
      <c r="A85" s="306"/>
      <c r="B85" s="306"/>
      <c r="C85" s="236"/>
      <c r="D85" s="241" t="s">
        <v>158</v>
      </c>
      <c r="E85" s="310"/>
      <c r="F85" s="311">
        <v>2</v>
      </c>
      <c r="G85" s="241"/>
      <c r="H85" s="376">
        <v>0</v>
      </c>
      <c r="I85" s="219"/>
      <c r="J85" s="235">
        <f>(VLOOKUP($F85,Factors,J$384))*$H85</f>
        <v>0</v>
      </c>
      <c r="K85" s="373"/>
      <c r="L85" s="235">
        <f>(VLOOKUP($F85,Factors,L$384))*$H85</f>
        <v>0</v>
      </c>
      <c r="M85" s="373"/>
      <c r="N85" s="235">
        <f>(VLOOKUP($F85,Factors,N$384))*$H85</f>
        <v>0</v>
      </c>
      <c r="O85" s="373"/>
      <c r="P85" s="235">
        <f>(VLOOKUP($F85,Factors,P$384))*$H85</f>
        <v>0</v>
      </c>
      <c r="Q85" s="373"/>
      <c r="R85" s="235">
        <f>(VLOOKUP($F85,Factors,R$384))*$H85</f>
        <v>0</v>
      </c>
      <c r="S85" s="373"/>
      <c r="T85" s="235">
        <f>(VLOOKUP($F85,Factors,T$384))*$H85</f>
        <v>0</v>
      </c>
      <c r="U85" s="373"/>
      <c r="V85" s="235">
        <f>(VLOOKUP($F85,Factors,V$384))*$H85</f>
        <v>0</v>
      </c>
      <c r="W85" s="236"/>
      <c r="X85" s="236"/>
      <c r="AA85" s="241" t="s">
        <v>158</v>
      </c>
      <c r="AC85" s="280">
        <f>+F85</f>
        <v>2</v>
      </c>
      <c r="AE85" s="161">
        <f>+H85</f>
        <v>0</v>
      </c>
      <c r="AG85" s="148">
        <f>(VLOOKUP($AC85,func,AG$384))*$AE85</f>
        <v>0</v>
      </c>
      <c r="AH85" s="148"/>
      <c r="AI85" s="148">
        <f>(VLOOKUP($AC85,func,AI$384))*$AE85</f>
        <v>0</v>
      </c>
      <c r="AJ85" s="148"/>
      <c r="AK85" s="148">
        <f>(VLOOKUP($AC85,func,AK$384))*$AE85</f>
        <v>0</v>
      </c>
      <c r="AL85" s="148"/>
      <c r="AM85" s="148">
        <f>(VLOOKUP($AC85,func,AM$384))*$AE85</f>
        <v>0</v>
      </c>
      <c r="AN85" s="148"/>
      <c r="AO85" s="148">
        <f>(VLOOKUP($AC85,func,AO$384))*$AE85</f>
        <v>0</v>
      </c>
      <c r="AP85" s="148"/>
      <c r="AQ85" s="148">
        <f>(VLOOKUP($AC85,func,AQ$384))*$AE85</f>
        <v>0</v>
      </c>
      <c r="AR85" s="148"/>
      <c r="AS85" s="148">
        <f>(VLOOKUP($AC85,func,AS$384))*$AE85</f>
        <v>0</v>
      </c>
      <c r="AT85" s="148"/>
      <c r="AU85" s="148">
        <f>(VLOOKUP($AC85,func,AU$384))*$AE85</f>
        <v>0</v>
      </c>
      <c r="AV85" s="148"/>
      <c r="AW85" s="148">
        <f>(VLOOKUP($AC85,func,AW$384))*$AE85</f>
        <v>0</v>
      </c>
      <c r="AY85" s="193"/>
    </row>
    <row r="86" spans="1:51" ht="12.75">
      <c r="A86" s="306"/>
      <c r="B86" s="306"/>
      <c r="C86" s="236"/>
      <c r="D86" s="241" t="s">
        <v>159</v>
      </c>
      <c r="E86" s="310"/>
      <c r="F86" s="311"/>
      <c r="G86" s="241"/>
      <c r="H86" s="376"/>
      <c r="I86" s="219"/>
      <c r="J86" s="162"/>
      <c r="K86" s="220"/>
      <c r="L86" s="162"/>
      <c r="M86" s="220"/>
      <c r="N86" s="162"/>
      <c r="O86" s="220"/>
      <c r="P86" s="162"/>
      <c r="Q86" s="220"/>
      <c r="R86" s="162"/>
      <c r="S86" s="220"/>
      <c r="T86" s="162"/>
      <c r="U86" s="220"/>
      <c r="V86" s="162"/>
      <c r="X86" s="193"/>
      <c r="AA86" s="241" t="s">
        <v>159</v>
      </c>
      <c r="AC86" s="280"/>
      <c r="AE86" s="461"/>
      <c r="AF86" s="163"/>
      <c r="AG86" s="162"/>
      <c r="AH86" s="162"/>
      <c r="AI86" s="162"/>
      <c r="AJ86" s="162"/>
      <c r="AK86" s="162"/>
      <c r="AL86" s="162"/>
      <c r="AM86" s="162"/>
      <c r="AN86" s="162"/>
      <c r="AO86" s="162"/>
      <c r="AP86" s="162"/>
      <c r="AQ86" s="162"/>
      <c r="AR86" s="162"/>
      <c r="AS86" s="162"/>
      <c r="AT86" s="162"/>
      <c r="AU86" s="162"/>
      <c r="AV86" s="162"/>
      <c r="AW86" s="162"/>
      <c r="AY86" s="193"/>
    </row>
    <row r="87" spans="1:51" ht="12.75">
      <c r="A87" s="306"/>
      <c r="B87" s="306"/>
      <c r="C87" s="236"/>
      <c r="D87" s="241" t="s">
        <v>124</v>
      </c>
      <c r="E87" s="310"/>
      <c r="F87" s="311">
        <v>2</v>
      </c>
      <c r="G87" s="241"/>
      <c r="H87" s="376">
        <v>269777.7833333333</v>
      </c>
      <c r="I87" s="219"/>
      <c r="J87" s="235">
        <f>(VLOOKUP($F87,Factors,J$384))*$H87</f>
        <v>135077.73611499998</v>
      </c>
      <c r="K87" s="373"/>
      <c r="L87" s="235">
        <f>(VLOOKUP($F87,Factors,L$384))*$H87</f>
        <v>82632.935035</v>
      </c>
      <c r="M87" s="373"/>
      <c r="N87" s="235">
        <f>(VLOOKUP($F87,Factors,N$384))*$H87</f>
        <v>10332.489101666666</v>
      </c>
      <c r="O87" s="373"/>
      <c r="P87" s="235">
        <f>(VLOOKUP($F87,Factors,P$384))*$H87</f>
        <v>31510.045093333334</v>
      </c>
      <c r="Q87" s="373"/>
      <c r="R87" s="235">
        <f>(VLOOKUP($F87,Factors,R$384))*$H87</f>
        <v>9334.311303333332</v>
      </c>
      <c r="S87" s="373"/>
      <c r="T87" s="235">
        <f>(VLOOKUP($F87,Factors,T$384))*$H87</f>
        <v>404.666675</v>
      </c>
      <c r="U87" s="373"/>
      <c r="V87" s="235">
        <f>(VLOOKUP($F87,Factors,V$384))*$H87</f>
        <v>485.60001</v>
      </c>
      <c r="W87" s="236"/>
      <c r="X87" s="236"/>
      <c r="AA87" s="241" t="s">
        <v>124</v>
      </c>
      <c r="AC87" s="280">
        <f>+F87</f>
        <v>2</v>
      </c>
      <c r="AE87" s="161">
        <f>+H87</f>
        <v>269777.7833333333</v>
      </c>
      <c r="AG87" s="148">
        <f>(VLOOKUP($AC87,func,AG$384))*$AE87</f>
        <v>162622.04779333333</v>
      </c>
      <c r="AH87" s="148"/>
      <c r="AI87" s="148">
        <f>(VLOOKUP($AC87,func,AI$384))*$AE87</f>
        <v>106265.46885499998</v>
      </c>
      <c r="AJ87" s="148"/>
      <c r="AK87" s="148">
        <f>(VLOOKUP($AC87,func,AK$384))*$AE87</f>
        <v>0</v>
      </c>
      <c r="AL87" s="148"/>
      <c r="AM87" s="148">
        <f>(VLOOKUP($AC87,func,AM$384))*$AE87</f>
        <v>0</v>
      </c>
      <c r="AN87" s="148"/>
      <c r="AO87" s="148">
        <f>(VLOOKUP($AC87,func,AO$384))*$AE87</f>
        <v>0</v>
      </c>
      <c r="AP87" s="148"/>
      <c r="AQ87" s="148">
        <f>(VLOOKUP($AC87,func,AQ$384))*$AE87</f>
        <v>0</v>
      </c>
      <c r="AR87" s="148"/>
      <c r="AS87" s="148">
        <f>(VLOOKUP($AC87,func,AS$384))*$AE87</f>
        <v>0</v>
      </c>
      <c r="AT87" s="148"/>
      <c r="AU87" s="148">
        <f>(VLOOKUP($AC87,func,AU$384))*$AE87</f>
        <v>404.666675</v>
      </c>
      <c r="AV87" s="148"/>
      <c r="AW87" s="148">
        <f>(VLOOKUP($AC87,func,AW$384))*$AE87</f>
        <v>485.60001</v>
      </c>
      <c r="AY87" s="193"/>
    </row>
    <row r="88" spans="1:51" ht="12.75">
      <c r="A88" s="306"/>
      <c r="B88" s="306"/>
      <c r="C88" s="236"/>
      <c r="D88" s="241" t="s">
        <v>125</v>
      </c>
      <c r="E88" s="310"/>
      <c r="F88" s="311">
        <v>2</v>
      </c>
      <c r="G88" s="241"/>
      <c r="H88" s="376">
        <v>0</v>
      </c>
      <c r="I88" s="219"/>
      <c r="J88" s="235">
        <f>(VLOOKUP($F88,Factors,J$384))*$H88</f>
        <v>0</v>
      </c>
      <c r="K88" s="373"/>
      <c r="L88" s="235">
        <f>(VLOOKUP($F88,Factors,L$384))*$H88</f>
        <v>0</v>
      </c>
      <c r="M88" s="373"/>
      <c r="N88" s="235">
        <f>(VLOOKUP($F88,Factors,N$384))*$H88</f>
        <v>0</v>
      </c>
      <c r="O88" s="373"/>
      <c r="P88" s="235">
        <f>(VLOOKUP($F88,Factors,P$384))*$H88</f>
        <v>0</v>
      </c>
      <c r="Q88" s="373"/>
      <c r="R88" s="235">
        <f>(VLOOKUP($F88,Factors,R$384))*$H88</f>
        <v>0</v>
      </c>
      <c r="S88" s="373"/>
      <c r="T88" s="235">
        <f>(VLOOKUP($F88,Factors,T$384))*$H88</f>
        <v>0</v>
      </c>
      <c r="U88" s="373"/>
      <c r="V88" s="235">
        <f>(VLOOKUP($F88,Factors,V$384))*$H88</f>
        <v>0</v>
      </c>
      <c r="W88" s="236"/>
      <c r="X88" s="236"/>
      <c r="AA88" s="241" t="s">
        <v>125</v>
      </c>
      <c r="AC88" s="280">
        <f>+F88</f>
        <v>2</v>
      </c>
      <c r="AE88" s="161">
        <f>+H88</f>
        <v>0</v>
      </c>
      <c r="AG88" s="148">
        <f>(VLOOKUP($AC88,func,AG$384))*$AE88</f>
        <v>0</v>
      </c>
      <c r="AH88" s="148"/>
      <c r="AI88" s="148">
        <f>(VLOOKUP($AC88,func,AI$384))*$AE88</f>
        <v>0</v>
      </c>
      <c r="AJ88" s="148"/>
      <c r="AK88" s="148">
        <f>(VLOOKUP($AC88,func,AK$384))*$AE88</f>
        <v>0</v>
      </c>
      <c r="AL88" s="148"/>
      <c r="AM88" s="148">
        <f>(VLOOKUP($AC88,func,AM$384))*$AE88</f>
        <v>0</v>
      </c>
      <c r="AN88" s="148"/>
      <c r="AO88" s="148">
        <f>(VLOOKUP($AC88,func,AO$384))*$AE88</f>
        <v>0</v>
      </c>
      <c r="AP88" s="148"/>
      <c r="AQ88" s="148">
        <f>(VLOOKUP($AC88,func,AQ$384))*$AE88</f>
        <v>0</v>
      </c>
      <c r="AR88" s="148"/>
      <c r="AS88" s="148">
        <f>(VLOOKUP($AC88,func,AS$384))*$AE88</f>
        <v>0</v>
      </c>
      <c r="AT88" s="148"/>
      <c r="AU88" s="148">
        <f>(VLOOKUP($AC88,func,AU$384))*$AE88</f>
        <v>0</v>
      </c>
      <c r="AV88" s="148"/>
      <c r="AW88" s="148">
        <f>(VLOOKUP($AC88,func,AW$384))*$AE88</f>
        <v>0</v>
      </c>
      <c r="AY88" s="193"/>
    </row>
    <row r="89" spans="1:51" ht="12.75">
      <c r="A89" s="306"/>
      <c r="B89" s="306"/>
      <c r="C89" s="236"/>
      <c r="D89" s="241" t="s">
        <v>160</v>
      </c>
      <c r="E89" s="310"/>
      <c r="F89" s="311"/>
      <c r="G89" s="241"/>
      <c r="H89" s="376"/>
      <c r="I89" s="219"/>
      <c r="J89" s="162"/>
      <c r="K89" s="220"/>
      <c r="L89" s="162"/>
      <c r="M89" s="220"/>
      <c r="N89" s="162"/>
      <c r="O89" s="220"/>
      <c r="P89" s="162"/>
      <c r="Q89" s="220"/>
      <c r="R89" s="162"/>
      <c r="S89" s="220"/>
      <c r="T89" s="162"/>
      <c r="U89" s="220"/>
      <c r="V89" s="162"/>
      <c r="X89" s="193"/>
      <c r="AA89" s="241" t="s">
        <v>160</v>
      </c>
      <c r="AC89" s="280"/>
      <c r="AE89" s="461"/>
      <c r="AF89" s="163"/>
      <c r="AG89" s="162"/>
      <c r="AH89" s="162"/>
      <c r="AI89" s="162"/>
      <c r="AJ89" s="162"/>
      <c r="AK89" s="162"/>
      <c r="AL89" s="162"/>
      <c r="AM89" s="162"/>
      <c r="AN89" s="162"/>
      <c r="AO89" s="162"/>
      <c r="AP89" s="162"/>
      <c r="AQ89" s="162"/>
      <c r="AR89" s="162"/>
      <c r="AS89" s="162"/>
      <c r="AT89" s="162"/>
      <c r="AU89" s="162"/>
      <c r="AV89" s="162"/>
      <c r="AW89" s="162"/>
      <c r="AY89" s="193"/>
    </row>
    <row r="90" spans="1:51" ht="12.75">
      <c r="A90" s="306"/>
      <c r="B90" s="306"/>
      <c r="C90" s="236"/>
      <c r="D90" s="241" t="s">
        <v>124</v>
      </c>
      <c r="E90" s="310"/>
      <c r="F90" s="311">
        <v>2</v>
      </c>
      <c r="G90" s="241"/>
      <c r="H90" s="376">
        <v>17813</v>
      </c>
      <c r="I90" s="219"/>
      <c r="J90" s="235">
        <f>(VLOOKUP($F90,Factors,J$384))*$H90</f>
        <v>8918.969099999998</v>
      </c>
      <c r="K90" s="373"/>
      <c r="L90" s="235">
        <f>(VLOOKUP($F90,Factors,L$384))*$H90</f>
        <v>5456.1219</v>
      </c>
      <c r="M90" s="373"/>
      <c r="N90" s="235">
        <f>(VLOOKUP($F90,Factors,N$384))*$H90</f>
        <v>682.2379</v>
      </c>
      <c r="O90" s="373"/>
      <c r="P90" s="235">
        <f>(VLOOKUP($F90,Factors,P$384))*$H90</f>
        <v>2080.5584</v>
      </c>
      <c r="Q90" s="373"/>
      <c r="R90" s="235">
        <f>(VLOOKUP($F90,Factors,R$384))*$H90</f>
        <v>616.3298</v>
      </c>
      <c r="S90" s="373"/>
      <c r="T90" s="235">
        <f>(VLOOKUP($F90,Factors,T$384))*$H90</f>
        <v>26.7195</v>
      </c>
      <c r="U90" s="373"/>
      <c r="V90" s="235">
        <f>(VLOOKUP($F90,Factors,V$384))*$H90</f>
        <v>32.0634</v>
      </c>
      <c r="W90" s="236"/>
      <c r="X90" s="236"/>
      <c r="AA90" s="241" t="s">
        <v>124</v>
      </c>
      <c r="AC90" s="280">
        <f>+F90</f>
        <v>2</v>
      </c>
      <c r="AE90" s="161">
        <f>+H90</f>
        <v>17813</v>
      </c>
      <c r="AG90" s="148">
        <f>(VLOOKUP($AC90,func,AG$384))*$AE90</f>
        <v>10737.6764</v>
      </c>
      <c r="AH90" s="148"/>
      <c r="AI90" s="148">
        <f>(VLOOKUP($AC90,func,AI$384))*$AE90</f>
        <v>7016.5407</v>
      </c>
      <c r="AJ90" s="148"/>
      <c r="AK90" s="148">
        <f>(VLOOKUP($AC90,func,AK$384))*$AE90</f>
        <v>0</v>
      </c>
      <c r="AL90" s="148"/>
      <c r="AM90" s="148">
        <f>(VLOOKUP($AC90,func,AM$384))*$AE90</f>
        <v>0</v>
      </c>
      <c r="AN90" s="148"/>
      <c r="AO90" s="148">
        <f>(VLOOKUP($AC90,func,AO$384))*$AE90</f>
        <v>0</v>
      </c>
      <c r="AP90" s="148"/>
      <c r="AQ90" s="148">
        <f>(VLOOKUP($AC90,func,AQ$384))*$AE90</f>
        <v>0</v>
      </c>
      <c r="AR90" s="148"/>
      <c r="AS90" s="148">
        <f>(VLOOKUP($AC90,func,AS$384))*$AE90</f>
        <v>0</v>
      </c>
      <c r="AT90" s="148"/>
      <c r="AU90" s="148">
        <f>(VLOOKUP($AC90,func,AU$384))*$AE90</f>
        <v>26.7195</v>
      </c>
      <c r="AV90" s="148"/>
      <c r="AW90" s="148">
        <f>(VLOOKUP($AC90,func,AW$384))*$AE90</f>
        <v>32.0634</v>
      </c>
      <c r="AY90" s="193"/>
    </row>
    <row r="91" spans="1:51" ht="12.75">
      <c r="A91" s="306"/>
      <c r="B91" s="306"/>
      <c r="C91" s="236"/>
      <c r="D91" s="241" t="s">
        <v>125</v>
      </c>
      <c r="E91" s="310"/>
      <c r="F91" s="311">
        <v>2</v>
      </c>
      <c r="G91" s="241"/>
      <c r="H91" s="469">
        <v>0</v>
      </c>
      <c r="I91" s="219"/>
      <c r="J91" s="468">
        <f>(VLOOKUP($F91,Factors,J$384))*$H91</f>
        <v>0</v>
      </c>
      <c r="K91" s="219"/>
      <c r="L91" s="468">
        <f>(VLOOKUP($F91,Factors,L$384))*$H91</f>
        <v>0</v>
      </c>
      <c r="M91" s="219"/>
      <c r="N91" s="468">
        <f>(VLOOKUP($F91,Factors,N$384))*$H91</f>
        <v>0</v>
      </c>
      <c r="O91" s="219"/>
      <c r="P91" s="468">
        <f>(VLOOKUP($F91,Factors,P$384))*$H91</f>
        <v>0</v>
      </c>
      <c r="Q91" s="219"/>
      <c r="R91" s="468">
        <f>(VLOOKUP($F91,Factors,R$384))*$H91</f>
        <v>0</v>
      </c>
      <c r="S91" s="219"/>
      <c r="T91" s="468">
        <f>(VLOOKUP($F91,Factors,T$384))*$H91</f>
        <v>0</v>
      </c>
      <c r="U91" s="219"/>
      <c r="V91" s="468">
        <f>(VLOOKUP($F91,Factors,V$384))*$H91</f>
        <v>0</v>
      </c>
      <c r="W91" s="236"/>
      <c r="X91" s="236"/>
      <c r="AA91" s="241" t="s">
        <v>125</v>
      </c>
      <c r="AC91" s="280">
        <f>+F91</f>
        <v>2</v>
      </c>
      <c r="AE91" s="317">
        <f>+H91</f>
        <v>0</v>
      </c>
      <c r="AG91" s="149">
        <f>(VLOOKUP($AC91,func,AG$384))*$AE91</f>
        <v>0</v>
      </c>
      <c r="AI91" s="149">
        <f>(VLOOKUP($AC91,func,AI$384))*$AE91</f>
        <v>0</v>
      </c>
      <c r="AK91" s="149">
        <f>(VLOOKUP($AC91,func,AK$384))*$AE91</f>
        <v>0</v>
      </c>
      <c r="AM91" s="149">
        <f>(VLOOKUP($AC91,func,AM$384))*$AE91</f>
        <v>0</v>
      </c>
      <c r="AO91" s="149">
        <f>(VLOOKUP($AC91,func,AO$384))*$AE91</f>
        <v>0</v>
      </c>
      <c r="AQ91" s="149">
        <f>(VLOOKUP($AC91,func,AQ$384))*$AE91</f>
        <v>0</v>
      </c>
      <c r="AS91" s="149">
        <f>(VLOOKUP($AC91,func,AS$384))*$AE91</f>
        <v>0</v>
      </c>
      <c r="AU91" s="149">
        <f>(VLOOKUP($AC91,func,AU$384))*$AE91</f>
        <v>0</v>
      </c>
      <c r="AW91" s="149">
        <f>(VLOOKUP($AC91,func,AW$384))*$AE91</f>
        <v>0</v>
      </c>
      <c r="AY91" s="193"/>
    </row>
    <row r="92" spans="1:51" ht="12.75">
      <c r="A92" s="306"/>
      <c r="B92" s="306"/>
      <c r="C92" s="236"/>
      <c r="D92" s="241"/>
      <c r="E92" s="310"/>
      <c r="F92" s="311"/>
      <c r="G92" s="241"/>
      <c r="H92" s="376"/>
      <c r="I92" s="219"/>
      <c r="J92" s="162"/>
      <c r="K92" s="219"/>
      <c r="L92" s="162"/>
      <c r="M92" s="219"/>
      <c r="N92" s="162"/>
      <c r="O92" s="219"/>
      <c r="P92" s="162"/>
      <c r="Q92" s="219"/>
      <c r="R92" s="162"/>
      <c r="S92" s="219"/>
      <c r="T92" s="162"/>
      <c r="U92" s="219"/>
      <c r="V92" s="162"/>
      <c r="X92" s="193"/>
      <c r="AA92" s="241"/>
      <c r="AC92" s="280"/>
      <c r="AE92" s="461"/>
      <c r="AF92" s="163"/>
      <c r="AG92" s="162"/>
      <c r="AH92" s="162"/>
      <c r="AI92" s="162"/>
      <c r="AJ92" s="162"/>
      <c r="AK92" s="162"/>
      <c r="AL92" s="162"/>
      <c r="AM92" s="162"/>
      <c r="AN92" s="162"/>
      <c r="AO92" s="162"/>
      <c r="AP92" s="162"/>
      <c r="AQ92" s="162"/>
      <c r="AR92" s="162"/>
      <c r="AS92" s="162"/>
      <c r="AT92" s="162"/>
      <c r="AU92" s="162"/>
      <c r="AV92" s="162"/>
      <c r="AW92" s="162"/>
      <c r="AY92" s="193"/>
    </row>
    <row r="93" spans="1:51" ht="12.75">
      <c r="A93" s="306"/>
      <c r="B93" s="306"/>
      <c r="C93" s="236"/>
      <c r="D93" s="241" t="s">
        <v>138</v>
      </c>
      <c r="E93" s="310"/>
      <c r="F93" s="311"/>
      <c r="G93" s="241"/>
      <c r="H93" s="376">
        <f>SUM(H85:H92)</f>
        <v>287590.7833333333</v>
      </c>
      <c r="I93" s="241"/>
      <c r="J93" s="376">
        <f>SUM(J85:J92)</f>
        <v>143996.70521499997</v>
      </c>
      <c r="K93" s="241"/>
      <c r="L93" s="376">
        <f>SUM(L85:L92)</f>
        <v>88089.056935</v>
      </c>
      <c r="M93" s="241"/>
      <c r="N93" s="376">
        <f>SUM(N85:N92)</f>
        <v>11014.727001666666</v>
      </c>
      <c r="O93" s="241"/>
      <c r="P93" s="376">
        <f>SUM(P85:P92)</f>
        <v>33590.603493333336</v>
      </c>
      <c r="Q93" s="241"/>
      <c r="R93" s="376">
        <f>SUM(R85:R92)</f>
        <v>9950.641103333332</v>
      </c>
      <c r="S93" s="241"/>
      <c r="T93" s="376">
        <f>SUM(T85:T92)</f>
        <v>431.386175</v>
      </c>
      <c r="U93" s="241"/>
      <c r="V93" s="376">
        <f>SUM(V85:V92)</f>
        <v>517.66341</v>
      </c>
      <c r="X93" s="193"/>
      <c r="AA93" s="241" t="s">
        <v>138</v>
      </c>
      <c r="AB93" s="310"/>
      <c r="AC93" s="311"/>
      <c r="AD93" s="241"/>
      <c r="AE93" s="376">
        <f>SUM(AE85:AE92)</f>
        <v>287590.7833333333</v>
      </c>
      <c r="AF93" s="241"/>
      <c r="AG93" s="376">
        <f>SUM(AG85:AG92)</f>
        <v>173359.72419333333</v>
      </c>
      <c r="AH93" s="241"/>
      <c r="AI93" s="376">
        <f>SUM(AI85:AI92)</f>
        <v>113282.00955499998</v>
      </c>
      <c r="AJ93" s="241"/>
      <c r="AK93" s="376">
        <f>SUM(AK85:AK92)</f>
        <v>0</v>
      </c>
      <c r="AL93" s="241"/>
      <c r="AM93" s="376">
        <f>SUM(AM85:AM92)</f>
        <v>0</v>
      </c>
      <c r="AN93" s="241"/>
      <c r="AO93" s="376">
        <f>SUM(AO85:AO92)</f>
        <v>0</v>
      </c>
      <c r="AP93" s="241"/>
      <c r="AQ93" s="376">
        <f>SUM(AQ85:AQ92)</f>
        <v>0</v>
      </c>
      <c r="AR93" s="241"/>
      <c r="AS93" s="376">
        <f>SUM(AS85:AS92)</f>
        <v>0</v>
      </c>
      <c r="AT93" s="241"/>
      <c r="AU93" s="376">
        <f>SUM(AU85:AU92)</f>
        <v>431.386175</v>
      </c>
      <c r="AV93" s="241"/>
      <c r="AW93" s="376">
        <f>SUM(AW85:AW92)</f>
        <v>517.66341</v>
      </c>
      <c r="AY93" s="193"/>
    </row>
    <row r="94" spans="1:51" ht="12.75">
      <c r="A94" s="306"/>
      <c r="B94" s="306"/>
      <c r="C94" s="236"/>
      <c r="D94" s="241"/>
      <c r="E94" s="310"/>
      <c r="F94" s="311"/>
      <c r="G94" s="241"/>
      <c r="H94" s="376"/>
      <c r="I94" s="241"/>
      <c r="J94" s="376"/>
      <c r="K94" s="241"/>
      <c r="L94" s="376"/>
      <c r="M94" s="241"/>
      <c r="N94" s="376"/>
      <c r="O94" s="241"/>
      <c r="P94" s="376"/>
      <c r="Q94" s="241"/>
      <c r="R94" s="376"/>
      <c r="S94" s="241"/>
      <c r="T94" s="376"/>
      <c r="U94" s="241"/>
      <c r="V94" s="376"/>
      <c r="X94" s="193"/>
      <c r="AA94" s="241"/>
      <c r="AC94" s="280"/>
      <c r="AE94" s="461"/>
      <c r="AF94" s="163"/>
      <c r="AG94" s="162"/>
      <c r="AH94" s="162"/>
      <c r="AI94" s="162"/>
      <c r="AJ94" s="162"/>
      <c r="AK94" s="162"/>
      <c r="AL94" s="162"/>
      <c r="AM94" s="162"/>
      <c r="AN94" s="162"/>
      <c r="AO94" s="162"/>
      <c r="AP94" s="162"/>
      <c r="AQ94" s="162"/>
      <c r="AR94" s="162"/>
      <c r="AS94" s="162"/>
      <c r="AT94" s="162"/>
      <c r="AU94" s="162"/>
      <c r="AV94" s="162"/>
      <c r="AW94" s="162"/>
      <c r="AY94" s="193"/>
    </row>
    <row r="95" spans="1:51" ht="12.75">
      <c r="A95" s="306"/>
      <c r="B95" s="306"/>
      <c r="C95" s="236"/>
      <c r="D95" s="241" t="s">
        <v>161</v>
      </c>
      <c r="E95" s="310"/>
      <c r="F95" s="311"/>
      <c r="G95" s="241"/>
      <c r="H95" s="376">
        <f>H82+H93</f>
        <v>5084553.385878665</v>
      </c>
      <c r="I95" s="241"/>
      <c r="J95" s="376">
        <f>J82+J93</f>
        <v>2519635.2225340493</v>
      </c>
      <c r="K95" s="241"/>
      <c r="L95" s="376">
        <f>L82+L93</f>
        <v>1556342.2239585307</v>
      </c>
      <c r="M95" s="241"/>
      <c r="N95" s="376">
        <f>N82+N93</f>
        <v>200443.37661411884</v>
      </c>
      <c r="O95" s="241"/>
      <c r="P95" s="376">
        <f>P82+P93</f>
        <v>605497.094967781</v>
      </c>
      <c r="Q95" s="241"/>
      <c r="R95" s="376">
        <f>R82+R93</f>
        <v>181207.9378319258</v>
      </c>
      <c r="S95" s="241"/>
      <c r="T95" s="376">
        <f>T82+T93</f>
        <v>9739.78635102758</v>
      </c>
      <c r="U95" s="241"/>
      <c r="V95" s="376">
        <f>V82+V93</f>
        <v>11687.743621233098</v>
      </c>
      <c r="X95" s="193"/>
      <c r="AA95" s="241" t="s">
        <v>161</v>
      </c>
      <c r="AC95" s="280"/>
      <c r="AE95" s="461">
        <f>+AE93+AE82</f>
        <v>5084553.385878665</v>
      </c>
      <c r="AG95" s="461">
        <f>+AG93+AG82</f>
        <v>3892613.7528321543</v>
      </c>
      <c r="AI95" s="461">
        <f>+AI93+AI82</f>
        <v>1170512.1030742517</v>
      </c>
      <c r="AK95" s="461">
        <f>+AK93+AK82</f>
        <v>0</v>
      </c>
      <c r="AM95" s="461">
        <f>+AM93+AM82</f>
        <v>0</v>
      </c>
      <c r="AO95" s="461">
        <f>+AO93+AO82</f>
        <v>0</v>
      </c>
      <c r="AQ95" s="461">
        <f>+AQ93+AQ82</f>
        <v>0</v>
      </c>
      <c r="AS95" s="461">
        <f>+AS93+AS82</f>
        <v>0</v>
      </c>
      <c r="AU95" s="461">
        <f>+AU93+AU82</f>
        <v>9739.78635102758</v>
      </c>
      <c r="AW95" s="461">
        <f>+AW93+AW82</f>
        <v>11687.743621233098</v>
      </c>
      <c r="AY95" s="193"/>
    </row>
    <row r="96" spans="1:51" ht="12.75">
      <c r="A96" s="306"/>
      <c r="B96" s="306"/>
      <c r="C96" s="236"/>
      <c r="D96" s="241" t="s">
        <v>306</v>
      </c>
      <c r="E96" s="310"/>
      <c r="F96" s="311"/>
      <c r="G96" s="241"/>
      <c r="H96" s="376"/>
      <c r="I96" s="219"/>
      <c r="J96" s="162"/>
      <c r="K96" s="220"/>
      <c r="L96" s="162"/>
      <c r="M96" s="220"/>
      <c r="N96" s="162"/>
      <c r="O96" s="220"/>
      <c r="P96" s="162"/>
      <c r="Q96" s="220"/>
      <c r="R96" s="162"/>
      <c r="S96" s="220"/>
      <c r="T96" s="162"/>
      <c r="U96" s="220"/>
      <c r="V96" s="162"/>
      <c r="X96" s="193"/>
      <c r="AA96" s="241" t="s">
        <v>306</v>
      </c>
      <c r="AC96" s="280"/>
      <c r="AE96" s="461"/>
      <c r="AF96" s="163"/>
      <c r="AG96" s="162"/>
      <c r="AH96" s="162"/>
      <c r="AI96" s="162"/>
      <c r="AJ96" s="162"/>
      <c r="AK96" s="162"/>
      <c r="AL96" s="162"/>
      <c r="AM96" s="162"/>
      <c r="AN96" s="162"/>
      <c r="AO96" s="162"/>
      <c r="AP96" s="162"/>
      <c r="AQ96" s="162"/>
      <c r="AR96" s="162"/>
      <c r="AS96" s="162"/>
      <c r="AT96" s="162"/>
      <c r="AU96" s="162"/>
      <c r="AV96" s="162"/>
      <c r="AW96" s="162"/>
      <c r="AY96" s="193"/>
    </row>
    <row r="97" spans="1:51" ht="12.75">
      <c r="A97" s="306"/>
      <c r="B97" s="306"/>
      <c r="C97" s="236"/>
      <c r="D97" s="241" t="s">
        <v>121</v>
      </c>
      <c r="E97" s="310"/>
      <c r="F97" s="311"/>
      <c r="G97" s="241"/>
      <c r="H97" s="376"/>
      <c r="I97" s="219"/>
      <c r="J97" s="162"/>
      <c r="K97" s="220"/>
      <c r="L97" s="162"/>
      <c r="M97" s="220"/>
      <c r="N97" s="162"/>
      <c r="O97" s="220"/>
      <c r="P97" s="162"/>
      <c r="Q97" s="220"/>
      <c r="R97" s="162"/>
      <c r="S97" s="220"/>
      <c r="T97" s="162"/>
      <c r="U97" s="220"/>
      <c r="V97" s="162"/>
      <c r="X97" s="193"/>
      <c r="AA97" s="241" t="s">
        <v>121</v>
      </c>
      <c r="AC97" s="280"/>
      <c r="AE97" s="461"/>
      <c r="AF97" s="163"/>
      <c r="AG97" s="162"/>
      <c r="AH97" s="162"/>
      <c r="AI97" s="162"/>
      <c r="AJ97" s="162"/>
      <c r="AK97" s="162"/>
      <c r="AL97" s="162"/>
      <c r="AM97" s="162"/>
      <c r="AN97" s="162"/>
      <c r="AO97" s="162"/>
      <c r="AP97" s="162"/>
      <c r="AQ97" s="162"/>
      <c r="AR97" s="162"/>
      <c r="AS97" s="162"/>
      <c r="AT97" s="162"/>
      <c r="AU97" s="162"/>
      <c r="AV97" s="162"/>
      <c r="AW97" s="162"/>
      <c r="AY97" s="193"/>
    </row>
    <row r="98" spans="1:51" ht="12.75">
      <c r="A98" s="306"/>
      <c r="B98" s="306"/>
      <c r="C98" s="236"/>
      <c r="D98"/>
      <c r="E98" s="310"/>
      <c r="F98" s="311"/>
      <c r="G98" s="241"/>
      <c r="H98" s="376"/>
      <c r="I98" s="460"/>
      <c r="J98" s="460"/>
      <c r="K98" s="460"/>
      <c r="L98" s="460"/>
      <c r="M98" s="460"/>
      <c r="N98" s="460"/>
      <c r="O98" s="460"/>
      <c r="P98" s="460"/>
      <c r="Q98" s="460"/>
      <c r="R98" s="460"/>
      <c r="S98" s="460"/>
      <c r="T98" s="460"/>
      <c r="U98" s="460"/>
      <c r="V98" s="460"/>
      <c r="X98" s="193"/>
      <c r="AA98"/>
      <c r="AE98" s="460"/>
      <c r="AF98" s="460"/>
      <c r="AG98" s="460"/>
      <c r="AH98" s="460"/>
      <c r="AI98" s="460"/>
      <c r="AJ98" s="460"/>
      <c r="AK98" s="460"/>
      <c r="AL98" s="460"/>
      <c r="AM98" s="460"/>
      <c r="AN98" s="460"/>
      <c r="AO98" s="460"/>
      <c r="AP98" s="460"/>
      <c r="AQ98" s="460"/>
      <c r="AR98" s="460"/>
      <c r="AS98" s="460"/>
      <c r="AT98" s="460"/>
      <c r="AU98" s="460"/>
      <c r="AV98" s="460"/>
      <c r="AW98" s="460"/>
      <c r="AY98" s="193"/>
    </row>
    <row r="99" spans="1:51" ht="12.75">
      <c r="A99" s="306"/>
      <c r="B99" s="306"/>
      <c r="C99" s="236"/>
      <c r="D99" s="241" t="s">
        <v>162</v>
      </c>
      <c r="E99" s="310"/>
      <c r="F99" s="311">
        <v>11</v>
      </c>
      <c r="G99" s="241"/>
      <c r="H99" s="376">
        <v>724023.4724884179</v>
      </c>
      <c r="I99" s="459"/>
      <c r="J99" s="235">
        <f>(VLOOKUP($F99,Factors,J$384))*$H99</f>
        <v>327620.6213010091</v>
      </c>
      <c r="K99" s="373"/>
      <c r="L99" s="235">
        <f>(VLOOKUP($F99,Factors,L$384))*$H99</f>
        <v>198454.83380907535</v>
      </c>
      <c r="M99" s="373"/>
      <c r="N99" s="235">
        <f>(VLOOKUP($F99,Factors,N$384))*$H99</f>
        <v>22589.532341638638</v>
      </c>
      <c r="O99" s="373"/>
      <c r="P99" s="235">
        <f>(VLOOKUP($F99,Factors,P$384))*$H99</f>
        <v>66754.96416343213</v>
      </c>
      <c r="Q99" s="373"/>
      <c r="R99" s="235">
        <f>(VLOOKUP($F99,Factors,R$384))*$H99</f>
        <v>18752.20793745002</v>
      </c>
      <c r="S99" s="373"/>
      <c r="T99" s="235">
        <f>(VLOOKUP($F99,Factors,T$384))*$H99</f>
        <v>40328.10741760488</v>
      </c>
      <c r="U99" s="373"/>
      <c r="V99" s="235">
        <f>(VLOOKUP($F99,Factors,V$384))*$H99</f>
        <v>49523.20551820778</v>
      </c>
      <c r="W99" s="236"/>
      <c r="X99" s="236"/>
      <c r="AA99" s="241" t="s">
        <v>162</v>
      </c>
      <c r="AC99" s="280">
        <f>+F99</f>
        <v>11</v>
      </c>
      <c r="AE99" s="161">
        <f>+H99</f>
        <v>724023.4724884179</v>
      </c>
      <c r="AG99" s="148">
        <f>(VLOOKUP($AC99,func,AG$384))*$AE99</f>
        <v>281934.74018698995</v>
      </c>
      <c r="AH99" s="148"/>
      <c r="AI99" s="148">
        <f>(VLOOKUP($AC99,func,AI$384))*$AE99</f>
        <v>55822.20972885702</v>
      </c>
      <c r="AJ99" s="148"/>
      <c r="AK99" s="148">
        <f>(VLOOKUP($AC99,func,AK$384))*$AE99</f>
        <v>296415.20963675826</v>
      </c>
      <c r="AL99" s="148"/>
      <c r="AM99" s="148">
        <f>(VLOOKUP($AC99,func,AM$384))*$AE99</f>
        <v>0</v>
      </c>
      <c r="AN99" s="148"/>
      <c r="AO99" s="148">
        <f>(VLOOKUP($AC99,func,AO$384))*$AE99</f>
        <v>0</v>
      </c>
      <c r="AP99" s="148"/>
      <c r="AQ99" s="148">
        <f>(VLOOKUP($AC99,func,AQ$384))*$AE99</f>
        <v>0</v>
      </c>
      <c r="AR99" s="148"/>
      <c r="AS99" s="148">
        <f>(VLOOKUP($AC99,func,AS$384))*$AE99</f>
        <v>0</v>
      </c>
      <c r="AT99" s="148"/>
      <c r="AU99" s="148">
        <f>(VLOOKUP($AC99,func,AU$384))*$AE99</f>
        <v>40328.10741760488</v>
      </c>
      <c r="AV99" s="148"/>
      <c r="AW99" s="148">
        <f>(VLOOKUP($AC99,func,AW$384))*$AE99</f>
        <v>49523.20551820778</v>
      </c>
      <c r="AY99" s="193"/>
    </row>
    <row r="100" spans="1:51" ht="12.75">
      <c r="A100" s="306"/>
      <c r="B100" s="306"/>
      <c r="C100" s="236"/>
      <c r="D100" s="241" t="s">
        <v>163</v>
      </c>
      <c r="E100" s="310"/>
      <c r="F100" s="311">
        <v>5</v>
      </c>
      <c r="G100" s="241"/>
      <c r="H100" s="376">
        <v>0</v>
      </c>
      <c r="I100" s="219"/>
      <c r="J100" s="235">
        <f>(VLOOKUP($F100,Factors,J$384))*$H100</f>
        <v>0</v>
      </c>
      <c r="K100" s="373"/>
      <c r="L100" s="235">
        <f>(VLOOKUP($F100,Factors,L$384))*$H100</f>
        <v>0</v>
      </c>
      <c r="M100" s="373"/>
      <c r="N100" s="235">
        <f>(VLOOKUP($F100,Factors,N$384))*$H100</f>
        <v>0</v>
      </c>
      <c r="O100" s="373"/>
      <c r="P100" s="235">
        <f>(VLOOKUP($F100,Factors,P$384))*$H100</f>
        <v>0</v>
      </c>
      <c r="Q100" s="373"/>
      <c r="R100" s="235">
        <f>(VLOOKUP($F100,Factors,R$384))*$H100</f>
        <v>0</v>
      </c>
      <c r="S100" s="373"/>
      <c r="T100" s="235">
        <f>(VLOOKUP($F100,Factors,T$384))*$H100</f>
        <v>0</v>
      </c>
      <c r="U100" s="373"/>
      <c r="V100" s="235">
        <f>(VLOOKUP($F100,Factors,V$384))*$H100</f>
        <v>0</v>
      </c>
      <c r="W100" s="236"/>
      <c r="X100" s="236"/>
      <c r="AA100" s="241" t="s">
        <v>163</v>
      </c>
      <c r="AC100" s="280">
        <f>+F100</f>
        <v>5</v>
      </c>
      <c r="AE100" s="161">
        <f>+H100</f>
        <v>0</v>
      </c>
      <c r="AG100" s="148">
        <f>(VLOOKUP($AC100,func,AG$384))*$AE100</f>
        <v>0</v>
      </c>
      <c r="AH100" s="148"/>
      <c r="AI100" s="148">
        <f>(VLOOKUP($AC100,func,AI$384))*$AE100</f>
        <v>0</v>
      </c>
      <c r="AJ100" s="148"/>
      <c r="AK100" s="148">
        <f>(VLOOKUP($AC100,func,AK$384))*$AE100</f>
        <v>0</v>
      </c>
      <c r="AL100" s="148"/>
      <c r="AM100" s="148">
        <f>(VLOOKUP($AC100,func,AM$384))*$AE100</f>
        <v>0</v>
      </c>
      <c r="AN100" s="148"/>
      <c r="AO100" s="148">
        <f>(VLOOKUP($AC100,func,AO$384))*$AE100</f>
        <v>0</v>
      </c>
      <c r="AP100" s="148"/>
      <c r="AQ100" s="148">
        <f>(VLOOKUP($AC100,func,AQ$384))*$AE100</f>
        <v>0</v>
      </c>
      <c r="AR100" s="148"/>
      <c r="AS100" s="148">
        <f>(VLOOKUP($AC100,func,AS$384))*$AE100</f>
        <v>0</v>
      </c>
      <c r="AT100" s="148"/>
      <c r="AU100" s="148">
        <f>(VLOOKUP($AC100,func,AU$384))*$AE100</f>
        <v>0</v>
      </c>
      <c r="AV100" s="148"/>
      <c r="AW100" s="148">
        <f>(VLOOKUP($AC100,func,AW$384))*$AE100</f>
        <v>0</v>
      </c>
      <c r="AY100" s="193"/>
    </row>
    <row r="101" spans="1:51" ht="12.75">
      <c r="A101" s="306"/>
      <c r="B101" s="306"/>
      <c r="C101" s="236"/>
      <c r="D101" s="241" t="s">
        <v>164</v>
      </c>
      <c r="E101" s="310"/>
      <c r="F101" s="311"/>
      <c r="G101" s="241"/>
      <c r="H101" s="376"/>
      <c r="I101" s="219"/>
      <c r="J101" s="162"/>
      <c r="K101" s="220"/>
      <c r="L101" s="162"/>
      <c r="M101" s="220"/>
      <c r="N101" s="162"/>
      <c r="O101" s="220"/>
      <c r="P101" s="162"/>
      <c r="Q101" s="220"/>
      <c r="R101" s="162"/>
      <c r="S101" s="220"/>
      <c r="T101" s="162"/>
      <c r="U101" s="220"/>
      <c r="V101" s="162"/>
      <c r="X101" s="193"/>
      <c r="AA101" s="241" t="s">
        <v>164</v>
      </c>
      <c r="AC101" s="280"/>
      <c r="AE101" s="461"/>
      <c r="AF101" s="163"/>
      <c r="AG101" s="162"/>
      <c r="AH101" s="162"/>
      <c r="AI101" s="162"/>
      <c r="AJ101" s="162"/>
      <c r="AK101" s="162"/>
      <c r="AL101" s="162"/>
      <c r="AM101" s="162"/>
      <c r="AN101" s="162"/>
      <c r="AO101" s="162"/>
      <c r="AP101" s="162"/>
      <c r="AQ101" s="162"/>
      <c r="AR101" s="162"/>
      <c r="AS101" s="162"/>
      <c r="AT101" s="162"/>
      <c r="AU101" s="162"/>
      <c r="AV101" s="162"/>
      <c r="AW101" s="162"/>
      <c r="AY101" s="193"/>
    </row>
    <row r="102" spans="1:51" ht="12.75">
      <c r="A102" s="306"/>
      <c r="B102" s="306"/>
      <c r="C102" s="236"/>
      <c r="D102" s="241" t="s">
        <v>124</v>
      </c>
      <c r="E102" s="310"/>
      <c r="F102" s="311">
        <v>7</v>
      </c>
      <c r="G102" s="241"/>
      <c r="H102" s="376">
        <v>31503</v>
      </c>
      <c r="I102" s="219"/>
      <c r="J102" s="235">
        <f>(VLOOKUP($F102,Factors,J$384))*$H102</f>
        <v>14258.2578</v>
      </c>
      <c r="K102" s="373"/>
      <c r="L102" s="235">
        <f>(VLOOKUP($F102,Factors,L$384))*$H102</f>
        <v>8631.822</v>
      </c>
      <c r="M102" s="373"/>
      <c r="N102" s="235">
        <f>(VLOOKUP($F102,Factors,N$384))*$H102</f>
        <v>982.8936</v>
      </c>
      <c r="O102" s="373"/>
      <c r="P102" s="235">
        <f>(VLOOKUP($F102,Factors,P$384))*$H102</f>
        <v>2904.5766000000003</v>
      </c>
      <c r="Q102" s="373"/>
      <c r="R102" s="235">
        <f>(VLOOKUP($F102,Factors,R$384))*$H102</f>
        <v>815.9277</v>
      </c>
      <c r="S102" s="373"/>
      <c r="T102" s="235">
        <f>(VLOOKUP($F102,Factors,T$384))*$H102</f>
        <v>1754.7171</v>
      </c>
      <c r="U102" s="373"/>
      <c r="V102" s="235">
        <f>(VLOOKUP($F102,Factors,V$384))*$H102</f>
        <v>2154.8052000000002</v>
      </c>
      <c r="W102" s="236"/>
      <c r="X102" s="236"/>
      <c r="AA102" s="241" t="s">
        <v>124</v>
      </c>
      <c r="AC102" s="280">
        <f aca="true" t="shared" si="19" ref="AC102:AC117">+F102</f>
        <v>7</v>
      </c>
      <c r="AE102" s="161">
        <f>+H102</f>
        <v>31503</v>
      </c>
      <c r="AG102" s="148">
        <f>(VLOOKUP($AC102,func,AG$384))*$AE102</f>
        <v>12267.268199999999</v>
      </c>
      <c r="AH102" s="148"/>
      <c r="AI102" s="148">
        <f>(VLOOKUP($AC102,func,AI$384))*$AE102</f>
        <v>2428.8813</v>
      </c>
      <c r="AJ102" s="148"/>
      <c r="AK102" s="148">
        <f>(VLOOKUP($AC102,func,AK$384))*$AE102</f>
        <v>12897.3282</v>
      </c>
      <c r="AL102" s="148"/>
      <c r="AM102" s="148">
        <f>(VLOOKUP($AC102,func,AM$384))*$AE102</f>
        <v>0</v>
      </c>
      <c r="AN102" s="148"/>
      <c r="AO102" s="148">
        <f>(VLOOKUP($AC102,func,AO$384))*$AE102</f>
        <v>0</v>
      </c>
      <c r="AP102" s="148"/>
      <c r="AQ102" s="148">
        <f>(VLOOKUP($AC102,func,AQ$384))*$AE102</f>
        <v>0</v>
      </c>
      <c r="AR102" s="148"/>
      <c r="AS102" s="148">
        <f>(VLOOKUP($AC102,func,AS$384))*$AE102</f>
        <v>0</v>
      </c>
      <c r="AT102" s="148"/>
      <c r="AU102" s="148">
        <f>(VLOOKUP($AC102,func,AU$384))*$AE102</f>
        <v>1754.7171</v>
      </c>
      <c r="AV102" s="148"/>
      <c r="AW102" s="148">
        <f>(VLOOKUP($AC102,func,AW$384))*$AE102</f>
        <v>2154.8052000000002</v>
      </c>
      <c r="AY102" s="193"/>
    </row>
    <row r="103" spans="1:51" ht="12.75">
      <c r="A103" s="306"/>
      <c r="B103" s="306"/>
      <c r="C103" s="236"/>
      <c r="D103" s="241" t="s">
        <v>125</v>
      </c>
      <c r="E103" s="310"/>
      <c r="F103" s="311">
        <v>7</v>
      </c>
      <c r="G103" s="241"/>
      <c r="H103" s="376">
        <v>969565.9745063346</v>
      </c>
      <c r="I103" s="219"/>
      <c r="J103" s="235">
        <f>(VLOOKUP($F103,Factors,J$384))*$H103</f>
        <v>438825.56006156706</v>
      </c>
      <c r="K103" s="373"/>
      <c r="L103" s="235">
        <f>(VLOOKUP($F103,Factors,L$384))*$H103</f>
        <v>265661.0770147357</v>
      </c>
      <c r="M103" s="373"/>
      <c r="N103" s="235">
        <f>(VLOOKUP($F103,Factors,N$384))*$H103</f>
        <v>30250.45840459764</v>
      </c>
      <c r="O103" s="373"/>
      <c r="P103" s="235">
        <f>(VLOOKUP($F103,Factors,P$384))*$H103</f>
        <v>89393.98284948406</v>
      </c>
      <c r="Q103" s="373"/>
      <c r="R103" s="235">
        <f>(VLOOKUP($F103,Factors,R$384))*$H103</f>
        <v>25111.758739714067</v>
      </c>
      <c r="S103" s="373"/>
      <c r="T103" s="235">
        <f>(VLOOKUP($F103,Factors,T$384))*$H103</f>
        <v>54004.82478000284</v>
      </c>
      <c r="U103" s="373"/>
      <c r="V103" s="235">
        <f>(VLOOKUP($F103,Factors,V$384))*$H103</f>
        <v>66318.31265623329</v>
      </c>
      <c r="W103" s="236"/>
      <c r="X103" s="236"/>
      <c r="AA103" s="241" t="s">
        <v>125</v>
      </c>
      <c r="AC103" s="280">
        <f t="shared" si="19"/>
        <v>7</v>
      </c>
      <c r="AE103" s="161">
        <f>+H103</f>
        <v>969565.9745063346</v>
      </c>
      <c r="AG103" s="148">
        <f>(VLOOKUP($AC103,func,AG$384))*$AE103</f>
        <v>377548.9904727667</v>
      </c>
      <c r="AH103" s="148"/>
      <c r="AI103" s="148">
        <f>(VLOOKUP($AC103,func,AI$384))*$AE103</f>
        <v>74753.53663443841</v>
      </c>
      <c r="AJ103" s="148"/>
      <c r="AK103" s="148">
        <f>(VLOOKUP($AC103,func,AK$384))*$AE103</f>
        <v>396940.30996289337</v>
      </c>
      <c r="AL103" s="148"/>
      <c r="AM103" s="148">
        <f>(VLOOKUP($AC103,func,AM$384))*$AE103</f>
        <v>0</v>
      </c>
      <c r="AN103" s="148"/>
      <c r="AO103" s="148">
        <f>(VLOOKUP($AC103,func,AO$384))*$AE103</f>
        <v>0</v>
      </c>
      <c r="AP103" s="148"/>
      <c r="AQ103" s="148">
        <f>(VLOOKUP($AC103,func,AQ$384))*$AE103</f>
        <v>0</v>
      </c>
      <c r="AR103" s="148"/>
      <c r="AS103" s="148">
        <f>(VLOOKUP($AC103,func,AS$384))*$AE103</f>
        <v>0</v>
      </c>
      <c r="AT103" s="148"/>
      <c r="AU103" s="148">
        <f>(VLOOKUP($AC103,func,AU$384))*$AE103</f>
        <v>54004.82478000284</v>
      </c>
      <c r="AV103" s="148"/>
      <c r="AW103" s="148">
        <f>(VLOOKUP($AC103,func,AW$384))*$AE103</f>
        <v>66318.31265623329</v>
      </c>
      <c r="AY103" s="193"/>
    </row>
    <row r="104" spans="1:51" ht="12.75">
      <c r="A104" s="306"/>
      <c r="B104" s="306"/>
      <c r="C104" s="236"/>
      <c r="D104" s="241" t="s">
        <v>165</v>
      </c>
      <c r="E104" s="310"/>
      <c r="F104" s="311"/>
      <c r="G104" s="241"/>
      <c r="H104" s="376"/>
      <c r="I104" s="219"/>
      <c r="J104" s="162"/>
      <c r="K104" s="220"/>
      <c r="L104" s="162"/>
      <c r="M104" s="220"/>
      <c r="N104" s="162"/>
      <c r="O104" s="220"/>
      <c r="P104" s="162"/>
      <c r="Q104" s="220"/>
      <c r="R104" s="162"/>
      <c r="S104" s="220"/>
      <c r="T104" s="162"/>
      <c r="U104" s="220"/>
      <c r="V104" s="162"/>
      <c r="X104" s="193"/>
      <c r="AA104" s="241" t="s">
        <v>165</v>
      </c>
      <c r="AC104" s="280"/>
      <c r="AE104" s="461"/>
      <c r="AF104" s="163"/>
      <c r="AG104" s="162"/>
      <c r="AH104" s="162"/>
      <c r="AI104" s="162"/>
      <c r="AJ104" s="162"/>
      <c r="AK104" s="162"/>
      <c r="AL104" s="162"/>
      <c r="AM104" s="162"/>
      <c r="AN104" s="162"/>
      <c r="AO104" s="162"/>
      <c r="AP104" s="162"/>
      <c r="AQ104" s="162"/>
      <c r="AR104" s="162"/>
      <c r="AS104" s="162"/>
      <c r="AT104" s="162"/>
      <c r="AU104" s="162"/>
      <c r="AV104" s="162"/>
      <c r="AW104" s="162"/>
      <c r="AY104" s="193"/>
    </row>
    <row r="105" spans="1:51" ht="12.75">
      <c r="A105" s="306"/>
      <c r="B105" s="306"/>
      <c r="C105" s="236"/>
      <c r="D105" s="241" t="s">
        <v>124</v>
      </c>
      <c r="E105" s="310"/>
      <c r="F105" s="311">
        <v>9</v>
      </c>
      <c r="G105" s="241"/>
      <c r="H105" s="376">
        <v>0</v>
      </c>
      <c r="I105" s="219"/>
      <c r="J105" s="235">
        <f>(VLOOKUP($F105,Factors,J$384))*$H105</f>
        <v>0</v>
      </c>
      <c r="K105" s="373"/>
      <c r="L105" s="235">
        <f>(VLOOKUP($F105,Factors,L$384))*$H105</f>
        <v>0</v>
      </c>
      <c r="M105" s="373"/>
      <c r="N105" s="235">
        <f>(VLOOKUP($F105,Factors,N$384))*$H105</f>
        <v>0</v>
      </c>
      <c r="O105" s="373"/>
      <c r="P105" s="235">
        <f>(VLOOKUP($F105,Factors,P$384))*$H105</f>
        <v>0</v>
      </c>
      <c r="Q105" s="373"/>
      <c r="R105" s="235">
        <f>(VLOOKUP($F105,Factors,R$384))*$H105</f>
        <v>0</v>
      </c>
      <c r="S105" s="373"/>
      <c r="T105" s="235">
        <f>(VLOOKUP($F105,Factors,T$384))*$H105</f>
        <v>0</v>
      </c>
      <c r="U105" s="373"/>
      <c r="V105" s="235">
        <f>(VLOOKUP($F105,Factors,V$384))*$H105</f>
        <v>0</v>
      </c>
      <c r="W105" s="236"/>
      <c r="X105" s="236"/>
      <c r="AA105" s="241" t="s">
        <v>124</v>
      </c>
      <c r="AC105" s="280">
        <f t="shared" si="19"/>
        <v>9</v>
      </c>
      <c r="AE105" s="161">
        <f>+H105</f>
        <v>0</v>
      </c>
      <c r="AG105" s="148">
        <f>(VLOOKUP($AC105,func,AG$384))*$AE105</f>
        <v>0</v>
      </c>
      <c r="AH105" s="148"/>
      <c r="AI105" s="148">
        <f>(VLOOKUP($AC105,func,AI$384))*$AE105</f>
        <v>0</v>
      </c>
      <c r="AJ105" s="148"/>
      <c r="AK105" s="148">
        <f>(VLOOKUP($AC105,func,AK$384))*$AE105</f>
        <v>0</v>
      </c>
      <c r="AL105" s="148"/>
      <c r="AM105" s="148">
        <f>(VLOOKUP($AC105,func,AM$384))*$AE105</f>
        <v>0</v>
      </c>
      <c r="AN105" s="148"/>
      <c r="AO105" s="148">
        <f>(VLOOKUP($AC105,func,AO$384))*$AE105</f>
        <v>0</v>
      </c>
      <c r="AP105" s="148"/>
      <c r="AQ105" s="148">
        <f>(VLOOKUP($AC105,func,AQ$384))*$AE105</f>
        <v>0</v>
      </c>
      <c r="AR105" s="148"/>
      <c r="AS105" s="148">
        <f>(VLOOKUP($AC105,func,AS$384))*$AE105</f>
        <v>0</v>
      </c>
      <c r="AT105" s="148"/>
      <c r="AU105" s="148">
        <f>(VLOOKUP($AC105,func,AU$384))*$AE105</f>
        <v>0</v>
      </c>
      <c r="AV105" s="148"/>
      <c r="AW105" s="148">
        <f>(VLOOKUP($AC105,func,AW$384))*$AE105</f>
        <v>0</v>
      </c>
      <c r="AY105" s="193"/>
    </row>
    <row r="106" spans="1:51" ht="12.75">
      <c r="A106" s="306"/>
      <c r="B106" s="306"/>
      <c r="C106" s="236"/>
      <c r="D106" s="241" t="s">
        <v>125</v>
      </c>
      <c r="E106" s="310"/>
      <c r="F106" s="311">
        <v>9</v>
      </c>
      <c r="G106" s="241"/>
      <c r="H106" s="376">
        <v>0</v>
      </c>
      <c r="I106" s="219"/>
      <c r="J106" s="235">
        <f>(VLOOKUP($F106,Factors,J$384))*$H106</f>
        <v>0</v>
      </c>
      <c r="K106" s="373"/>
      <c r="L106" s="235">
        <f>(VLOOKUP($F106,Factors,L$384))*$H106</f>
        <v>0</v>
      </c>
      <c r="M106" s="373"/>
      <c r="N106" s="235">
        <f>(VLOOKUP($F106,Factors,N$384))*$H106</f>
        <v>0</v>
      </c>
      <c r="O106" s="373"/>
      <c r="P106" s="235">
        <f>(VLOOKUP($F106,Factors,P$384))*$H106</f>
        <v>0</v>
      </c>
      <c r="Q106" s="373"/>
      <c r="R106" s="235">
        <f>(VLOOKUP($F106,Factors,R$384))*$H106</f>
        <v>0</v>
      </c>
      <c r="S106" s="373"/>
      <c r="T106" s="235">
        <f>(VLOOKUP($F106,Factors,T$384))*$H106</f>
        <v>0</v>
      </c>
      <c r="U106" s="373"/>
      <c r="V106" s="235">
        <f>(VLOOKUP($F106,Factors,V$384))*$H106</f>
        <v>0</v>
      </c>
      <c r="W106" s="236"/>
      <c r="X106" s="236"/>
      <c r="AA106" s="241" t="s">
        <v>125</v>
      </c>
      <c r="AC106" s="280">
        <f t="shared" si="19"/>
        <v>9</v>
      </c>
      <c r="AE106" s="161">
        <f>+H106</f>
        <v>0</v>
      </c>
      <c r="AG106" s="148">
        <f>(VLOOKUP($AC106,func,AG$384))*$AE106</f>
        <v>0</v>
      </c>
      <c r="AH106" s="148"/>
      <c r="AI106" s="148">
        <f>(VLOOKUP($AC106,func,AI$384))*$AE106</f>
        <v>0</v>
      </c>
      <c r="AJ106" s="148"/>
      <c r="AK106" s="148">
        <f>(VLOOKUP($AC106,func,AK$384))*$AE106</f>
        <v>0</v>
      </c>
      <c r="AL106" s="148"/>
      <c r="AM106" s="148">
        <f>(VLOOKUP($AC106,func,AM$384))*$AE106</f>
        <v>0</v>
      </c>
      <c r="AN106" s="148"/>
      <c r="AO106" s="148">
        <f>(VLOOKUP($AC106,func,AO$384))*$AE106</f>
        <v>0</v>
      </c>
      <c r="AP106" s="148"/>
      <c r="AQ106" s="148">
        <f>(VLOOKUP($AC106,func,AQ$384))*$AE106</f>
        <v>0</v>
      </c>
      <c r="AR106" s="148"/>
      <c r="AS106" s="148">
        <f>(VLOOKUP($AC106,func,AS$384))*$AE106</f>
        <v>0</v>
      </c>
      <c r="AT106" s="148"/>
      <c r="AU106" s="148">
        <f>(VLOOKUP($AC106,func,AU$384))*$AE106</f>
        <v>0</v>
      </c>
      <c r="AV106" s="148"/>
      <c r="AW106" s="148">
        <f>(VLOOKUP($AC106,func,AW$384))*$AE106</f>
        <v>0</v>
      </c>
      <c r="AY106" s="193"/>
    </row>
    <row r="107" spans="1:51" ht="12.75">
      <c r="A107" s="306"/>
      <c r="B107" s="306"/>
      <c r="C107" s="236"/>
      <c r="D107" s="241" t="s">
        <v>166</v>
      </c>
      <c r="E107" s="310"/>
      <c r="F107" s="311"/>
      <c r="G107" s="241"/>
      <c r="H107" s="376"/>
      <c r="I107" s="459"/>
      <c r="J107" s="460"/>
      <c r="K107" s="461"/>
      <c r="L107" s="460"/>
      <c r="M107" s="461"/>
      <c r="N107" s="460"/>
      <c r="O107" s="461"/>
      <c r="P107" s="460"/>
      <c r="Q107" s="461"/>
      <c r="R107" s="460"/>
      <c r="S107" s="461"/>
      <c r="T107" s="460"/>
      <c r="U107" s="461"/>
      <c r="V107" s="460"/>
      <c r="W107" s="311">
        <v>9</v>
      </c>
      <c r="X107" s="241"/>
      <c r="AA107" s="241" t="s">
        <v>166</v>
      </c>
      <c r="AC107" s="280"/>
      <c r="AE107" s="461"/>
      <c r="AF107" s="163"/>
      <c r="AG107" s="460"/>
      <c r="AH107" s="460"/>
      <c r="AI107" s="460"/>
      <c r="AJ107" s="460"/>
      <c r="AK107" s="460"/>
      <c r="AL107" s="460"/>
      <c r="AM107" s="460"/>
      <c r="AN107" s="460"/>
      <c r="AO107" s="460"/>
      <c r="AP107" s="460"/>
      <c r="AQ107" s="460"/>
      <c r="AR107" s="460"/>
      <c r="AS107" s="460"/>
      <c r="AT107" s="460"/>
      <c r="AU107" s="460"/>
      <c r="AV107" s="460"/>
      <c r="AW107" s="460"/>
      <c r="AY107" s="193"/>
    </row>
    <row r="108" spans="1:51" ht="12.75">
      <c r="A108" s="306"/>
      <c r="B108" s="306"/>
      <c r="C108" s="236"/>
      <c r="D108" s="241" t="s">
        <v>124</v>
      </c>
      <c r="E108" s="310"/>
      <c r="F108" s="311">
        <v>10</v>
      </c>
      <c r="G108" s="241"/>
      <c r="H108" s="376">
        <v>0</v>
      </c>
      <c r="I108" s="219"/>
      <c r="J108" s="235">
        <f>(VLOOKUP($F108,Factors,J$384))*$H108</f>
        <v>0</v>
      </c>
      <c r="K108" s="373"/>
      <c r="L108" s="235">
        <f>(VLOOKUP($F108,Factors,L$384))*$H108</f>
        <v>0</v>
      </c>
      <c r="M108" s="373"/>
      <c r="N108" s="235">
        <f>(VLOOKUP($F108,Factors,N$384))*$H108</f>
        <v>0</v>
      </c>
      <c r="O108" s="373"/>
      <c r="P108" s="235">
        <f>(VLOOKUP($F108,Factors,P$384))*$H108</f>
        <v>0</v>
      </c>
      <c r="Q108" s="373"/>
      <c r="R108" s="235">
        <f>(VLOOKUP($F108,Factors,R$384))*$H108</f>
        <v>0</v>
      </c>
      <c r="S108" s="373"/>
      <c r="T108" s="235">
        <f>(VLOOKUP($F108,Factors,T$384))*$H108</f>
        <v>0</v>
      </c>
      <c r="U108" s="373"/>
      <c r="V108" s="235">
        <f>(VLOOKUP($F108,Factors,V$384))*$H108</f>
        <v>0</v>
      </c>
      <c r="W108" s="236"/>
      <c r="X108" s="236"/>
      <c r="AA108" s="241" t="s">
        <v>124</v>
      </c>
      <c r="AC108" s="280">
        <f>+F108</f>
        <v>10</v>
      </c>
      <c r="AE108" s="161">
        <f>+H108</f>
        <v>0</v>
      </c>
      <c r="AG108" s="148">
        <f>(VLOOKUP($AC108,func,AG$384))*$AE108</f>
        <v>0</v>
      </c>
      <c r="AH108" s="148"/>
      <c r="AI108" s="148">
        <f>(VLOOKUP($AC108,func,AI$384))*$AE108</f>
        <v>0</v>
      </c>
      <c r="AJ108" s="148"/>
      <c r="AK108" s="148">
        <f>(VLOOKUP($AC108,func,AK$384))*$AE108</f>
        <v>0</v>
      </c>
      <c r="AL108" s="148"/>
      <c r="AM108" s="148">
        <f>(VLOOKUP($AC108,func,AM$384))*$AE108</f>
        <v>0</v>
      </c>
      <c r="AN108" s="148"/>
      <c r="AO108" s="148">
        <f>(VLOOKUP($AC108,func,AO$384))*$AE108</f>
        <v>0</v>
      </c>
      <c r="AP108" s="148"/>
      <c r="AQ108" s="148">
        <f>(VLOOKUP($AC108,func,AQ$384))*$AE108</f>
        <v>0</v>
      </c>
      <c r="AR108" s="148"/>
      <c r="AS108" s="148">
        <f>(VLOOKUP($AC108,func,AS$384))*$AE108</f>
        <v>0</v>
      </c>
      <c r="AT108" s="148"/>
      <c r="AU108" s="148">
        <f>(VLOOKUP($AC108,func,AU$384))*$AE108</f>
        <v>0</v>
      </c>
      <c r="AV108" s="148"/>
      <c r="AW108" s="148">
        <f>(VLOOKUP($AC108,func,AW$384))*$AE108</f>
        <v>0</v>
      </c>
      <c r="AY108" s="193"/>
    </row>
    <row r="109" spans="1:51" ht="12.75">
      <c r="A109" s="306"/>
      <c r="B109" s="306"/>
      <c r="C109" s="236"/>
      <c r="D109" s="241" t="s">
        <v>125</v>
      </c>
      <c r="E109" s="310"/>
      <c r="F109" s="311">
        <v>10</v>
      </c>
      <c r="G109" s="241"/>
      <c r="H109" s="376">
        <v>0</v>
      </c>
      <c r="I109" s="219"/>
      <c r="J109" s="235">
        <f>(VLOOKUP($F109,Factors,J$384))*$H109</f>
        <v>0</v>
      </c>
      <c r="K109" s="373"/>
      <c r="L109" s="235">
        <f>(VLOOKUP($F109,Factors,L$384))*$H109</f>
        <v>0</v>
      </c>
      <c r="M109" s="373"/>
      <c r="N109" s="235">
        <f>(VLOOKUP($F109,Factors,N$384))*$H109</f>
        <v>0</v>
      </c>
      <c r="O109" s="373"/>
      <c r="P109" s="235">
        <f>(VLOOKUP($F109,Factors,P$384))*$H109</f>
        <v>0</v>
      </c>
      <c r="Q109" s="373"/>
      <c r="R109" s="235">
        <f>(VLOOKUP($F109,Factors,R$384))*$H109</f>
        <v>0</v>
      </c>
      <c r="S109" s="373"/>
      <c r="T109" s="235">
        <f>(VLOOKUP($F109,Factors,T$384))*$H109</f>
        <v>0</v>
      </c>
      <c r="U109" s="373"/>
      <c r="V109" s="235">
        <f>(VLOOKUP($F109,Factors,V$384))*$H109</f>
        <v>0</v>
      </c>
      <c r="W109" s="236"/>
      <c r="X109" s="236"/>
      <c r="AA109" s="241" t="s">
        <v>125</v>
      </c>
      <c r="AC109" s="280">
        <f>+F109</f>
        <v>10</v>
      </c>
      <c r="AE109" s="161">
        <f>+H109</f>
        <v>0</v>
      </c>
      <c r="AG109" s="148">
        <f>(VLOOKUP($AC109,func,AG$384))*$AE109</f>
        <v>0</v>
      </c>
      <c r="AH109" s="148"/>
      <c r="AI109" s="148">
        <f>(VLOOKUP($AC109,func,AI$384))*$AE109</f>
        <v>0</v>
      </c>
      <c r="AJ109" s="148"/>
      <c r="AK109" s="148">
        <f>(VLOOKUP($AC109,func,AK$384))*$AE109</f>
        <v>0</v>
      </c>
      <c r="AL109" s="148"/>
      <c r="AM109" s="148">
        <f>(VLOOKUP($AC109,func,AM$384))*$AE109</f>
        <v>0</v>
      </c>
      <c r="AN109" s="148"/>
      <c r="AO109" s="148">
        <f>(VLOOKUP($AC109,func,AO$384))*$AE109</f>
        <v>0</v>
      </c>
      <c r="AP109" s="148"/>
      <c r="AQ109" s="148">
        <f>(VLOOKUP($AC109,func,AQ$384))*$AE109</f>
        <v>0</v>
      </c>
      <c r="AR109" s="148"/>
      <c r="AS109" s="148">
        <f>(VLOOKUP($AC109,func,AS$384))*$AE109</f>
        <v>0</v>
      </c>
      <c r="AT109" s="148"/>
      <c r="AU109" s="148">
        <f>(VLOOKUP($AC109,func,AU$384))*$AE109</f>
        <v>0</v>
      </c>
      <c r="AV109" s="148"/>
      <c r="AW109" s="148">
        <f>(VLOOKUP($AC109,func,AW$384))*$AE109</f>
        <v>0</v>
      </c>
      <c r="AY109" s="193"/>
    </row>
    <row r="110" spans="1:51" ht="12.75">
      <c r="A110" s="306"/>
      <c r="B110" s="306"/>
      <c r="C110" s="236"/>
      <c r="D110" s="241" t="s">
        <v>167</v>
      </c>
      <c r="E110" s="310"/>
      <c r="F110" s="311"/>
      <c r="G110" s="241"/>
      <c r="H110" s="376"/>
      <c r="I110" s="219"/>
      <c r="J110" s="162"/>
      <c r="K110" s="220"/>
      <c r="L110" s="162"/>
      <c r="M110" s="220"/>
      <c r="N110" s="162"/>
      <c r="O110" s="220"/>
      <c r="P110" s="162"/>
      <c r="Q110" s="220"/>
      <c r="R110" s="162"/>
      <c r="S110" s="220"/>
      <c r="T110" s="162"/>
      <c r="U110" s="220"/>
      <c r="V110" s="162"/>
      <c r="X110" s="193"/>
      <c r="AA110" s="241" t="s">
        <v>167</v>
      </c>
      <c r="AC110" s="280"/>
      <c r="AE110" s="461"/>
      <c r="AF110" s="163"/>
      <c r="AG110" s="162"/>
      <c r="AH110" s="162"/>
      <c r="AI110" s="162"/>
      <c r="AJ110" s="162"/>
      <c r="AK110" s="162"/>
      <c r="AL110" s="162"/>
      <c r="AM110" s="162"/>
      <c r="AN110" s="162"/>
      <c r="AO110" s="162"/>
      <c r="AP110" s="162"/>
      <c r="AQ110" s="162"/>
      <c r="AR110" s="162"/>
      <c r="AS110" s="162"/>
      <c r="AT110" s="162"/>
      <c r="AU110" s="162"/>
      <c r="AV110" s="162"/>
      <c r="AW110" s="162"/>
      <c r="AY110" s="193"/>
    </row>
    <row r="111" spans="1:51" ht="12.75">
      <c r="A111" s="306"/>
      <c r="B111" s="306"/>
      <c r="C111" s="236"/>
      <c r="D111" s="241" t="s">
        <v>124</v>
      </c>
      <c r="E111" s="310"/>
      <c r="F111" s="311">
        <v>11</v>
      </c>
      <c r="G111" s="241"/>
      <c r="H111" s="376">
        <v>0</v>
      </c>
      <c r="I111" s="219"/>
      <c r="J111" s="235">
        <f>(VLOOKUP($F111,Factors,J$384))*$H111</f>
        <v>0</v>
      </c>
      <c r="K111" s="373"/>
      <c r="L111" s="235">
        <f>(VLOOKUP($F111,Factors,L$384))*$H111</f>
        <v>0</v>
      </c>
      <c r="M111" s="373"/>
      <c r="N111" s="235">
        <f>(VLOOKUP($F111,Factors,N$384))*$H111</f>
        <v>0</v>
      </c>
      <c r="O111" s="373"/>
      <c r="P111" s="235">
        <f>(VLOOKUP($F111,Factors,P$384))*$H111</f>
        <v>0</v>
      </c>
      <c r="Q111" s="373"/>
      <c r="R111" s="235">
        <f>(VLOOKUP($F111,Factors,R$384))*$H111</f>
        <v>0</v>
      </c>
      <c r="S111" s="373"/>
      <c r="T111" s="235">
        <f>(VLOOKUP($F111,Factors,T$384))*$H111</f>
        <v>0</v>
      </c>
      <c r="U111" s="373"/>
      <c r="V111" s="235">
        <f>(VLOOKUP($F111,Factors,V$384))*$H111</f>
        <v>0</v>
      </c>
      <c r="W111" s="236"/>
      <c r="X111" s="236"/>
      <c r="AA111" s="241" t="s">
        <v>124</v>
      </c>
      <c r="AC111" s="280">
        <f t="shared" si="19"/>
        <v>11</v>
      </c>
      <c r="AE111" s="161">
        <f>+H111</f>
        <v>0</v>
      </c>
      <c r="AG111" s="148">
        <f>(VLOOKUP($AC111,func,AG$384))*$AE111</f>
        <v>0</v>
      </c>
      <c r="AH111" s="148"/>
      <c r="AI111" s="148">
        <f>(VLOOKUP($AC111,func,AI$384))*$AE111</f>
        <v>0</v>
      </c>
      <c r="AJ111" s="148"/>
      <c r="AK111" s="148">
        <f>(VLOOKUP($AC111,func,AK$384))*$AE111</f>
        <v>0</v>
      </c>
      <c r="AL111" s="148"/>
      <c r="AM111" s="148">
        <f>(VLOOKUP($AC111,func,AM$384))*$AE111</f>
        <v>0</v>
      </c>
      <c r="AN111" s="148"/>
      <c r="AO111" s="148">
        <f>(VLOOKUP($AC111,func,AO$384))*$AE111</f>
        <v>0</v>
      </c>
      <c r="AP111" s="148"/>
      <c r="AQ111" s="148">
        <f>(VLOOKUP($AC111,func,AQ$384))*$AE111</f>
        <v>0</v>
      </c>
      <c r="AR111" s="148"/>
      <c r="AS111" s="148">
        <f>(VLOOKUP($AC111,func,AS$384))*$AE111</f>
        <v>0</v>
      </c>
      <c r="AT111" s="148"/>
      <c r="AU111" s="148">
        <f>(VLOOKUP($AC111,func,AU$384))*$AE111</f>
        <v>0</v>
      </c>
      <c r="AV111" s="148"/>
      <c r="AW111" s="148">
        <f>(VLOOKUP($AC111,func,AW$384))*$AE111</f>
        <v>0</v>
      </c>
      <c r="AY111" s="193"/>
    </row>
    <row r="112" spans="1:51" ht="12.75">
      <c r="A112" s="306"/>
      <c r="B112" s="306"/>
      <c r="C112" s="236"/>
      <c r="D112" s="241" t="s">
        <v>125</v>
      </c>
      <c r="E112" s="310"/>
      <c r="F112" s="311">
        <v>11</v>
      </c>
      <c r="G112" s="241"/>
      <c r="H112" s="376">
        <v>37516.45811329893</v>
      </c>
      <c r="I112" s="219"/>
      <c r="J112" s="235">
        <f>(VLOOKUP($F112,Factors,J$384))*$H112</f>
        <v>16976.19729626777</v>
      </c>
      <c r="K112" s="373"/>
      <c r="L112" s="235">
        <f>(VLOOKUP($F112,Factors,L$384))*$H112</f>
        <v>10283.261168855239</v>
      </c>
      <c r="M112" s="373"/>
      <c r="N112" s="235">
        <f>(VLOOKUP($F112,Factors,N$384))*$H112</f>
        <v>1170.5134931349266</v>
      </c>
      <c r="O112" s="373"/>
      <c r="P112" s="235">
        <f>(VLOOKUP($F112,Factors,P$384))*$H112</f>
        <v>3459.0174380461617</v>
      </c>
      <c r="Q112" s="373"/>
      <c r="R112" s="235">
        <f>(VLOOKUP($F112,Factors,R$384))*$H112</f>
        <v>971.6762651344424</v>
      </c>
      <c r="S112" s="373"/>
      <c r="T112" s="235">
        <f>(VLOOKUP($F112,Factors,T$384))*$H112</f>
        <v>2089.6667169107504</v>
      </c>
      <c r="U112" s="373"/>
      <c r="V112" s="235">
        <f>(VLOOKUP($F112,Factors,V$384))*$H112</f>
        <v>2566.1257349496473</v>
      </c>
      <c r="W112" s="236"/>
      <c r="X112" s="236"/>
      <c r="AA112" s="241" t="s">
        <v>125</v>
      </c>
      <c r="AC112" s="280">
        <f t="shared" si="19"/>
        <v>11</v>
      </c>
      <c r="AE112" s="161">
        <f>+H112</f>
        <v>37516.45811329893</v>
      </c>
      <c r="AG112" s="148">
        <f>(VLOOKUP($AC112,func,AG$384))*$AE112</f>
        <v>14608.908789318606</v>
      </c>
      <c r="AH112" s="148"/>
      <c r="AI112" s="148">
        <f>(VLOOKUP($AC112,func,AI$384))*$AE112</f>
        <v>2892.5189205353477</v>
      </c>
      <c r="AJ112" s="148"/>
      <c r="AK112" s="148">
        <f>(VLOOKUP($AC112,func,AK$384))*$AE112</f>
        <v>15359.237951584582</v>
      </c>
      <c r="AL112" s="148"/>
      <c r="AM112" s="148">
        <f>(VLOOKUP($AC112,func,AM$384))*$AE112</f>
        <v>0</v>
      </c>
      <c r="AN112" s="148"/>
      <c r="AO112" s="148">
        <f>(VLOOKUP($AC112,func,AO$384))*$AE112</f>
        <v>0</v>
      </c>
      <c r="AP112" s="148"/>
      <c r="AQ112" s="148">
        <f>(VLOOKUP($AC112,func,AQ$384))*$AE112</f>
        <v>0</v>
      </c>
      <c r="AR112" s="148"/>
      <c r="AS112" s="148">
        <f>(VLOOKUP($AC112,func,AS$384))*$AE112</f>
        <v>0</v>
      </c>
      <c r="AT112" s="148"/>
      <c r="AU112" s="148">
        <f>(VLOOKUP($AC112,func,AU$384))*$AE112</f>
        <v>2089.6667169107504</v>
      </c>
      <c r="AV112" s="148"/>
      <c r="AW112" s="148">
        <f>(VLOOKUP($AC112,func,AW$384))*$AE112</f>
        <v>2566.1257349496473</v>
      </c>
      <c r="AY112" s="193"/>
    </row>
    <row r="113" spans="1:51" ht="12.75">
      <c r="A113" s="306"/>
      <c r="B113" s="306"/>
      <c r="C113" s="236"/>
      <c r="D113" s="241" t="s">
        <v>168</v>
      </c>
      <c r="E113" s="310"/>
      <c r="F113" s="311"/>
      <c r="G113" s="241"/>
      <c r="H113" s="376"/>
      <c r="I113" s="219"/>
      <c r="J113" s="162"/>
      <c r="K113" s="220"/>
      <c r="L113" s="162"/>
      <c r="M113" s="220"/>
      <c r="N113" s="162"/>
      <c r="O113" s="220"/>
      <c r="P113" s="162"/>
      <c r="Q113" s="220"/>
      <c r="R113" s="162"/>
      <c r="S113" s="220"/>
      <c r="T113" s="162"/>
      <c r="U113" s="220"/>
      <c r="V113" s="162"/>
      <c r="X113" s="193"/>
      <c r="AA113" s="241" t="s">
        <v>168</v>
      </c>
      <c r="AC113" s="280"/>
      <c r="AE113" s="461"/>
      <c r="AF113" s="163"/>
      <c r="AG113" s="162"/>
      <c r="AH113" s="162"/>
      <c r="AI113" s="162"/>
      <c r="AJ113" s="162"/>
      <c r="AK113" s="162"/>
      <c r="AL113" s="162"/>
      <c r="AM113" s="162"/>
      <c r="AN113" s="162"/>
      <c r="AO113" s="162"/>
      <c r="AP113" s="162"/>
      <c r="AQ113" s="162"/>
      <c r="AR113" s="162"/>
      <c r="AS113" s="162"/>
      <c r="AT113" s="162"/>
      <c r="AU113" s="162"/>
      <c r="AV113" s="162"/>
      <c r="AW113" s="162"/>
      <c r="AY113" s="193"/>
    </row>
    <row r="114" spans="1:51" ht="12.75">
      <c r="A114" s="306"/>
      <c r="B114" s="306"/>
      <c r="C114" s="236"/>
      <c r="D114" s="241" t="s">
        <v>169</v>
      </c>
      <c r="E114" s="310"/>
      <c r="F114" s="311">
        <v>11</v>
      </c>
      <c r="G114" s="241"/>
      <c r="H114" s="376">
        <v>329764</v>
      </c>
      <c r="I114" s="219"/>
      <c r="J114" s="235">
        <f>(VLOOKUP($F114,Factors,J$384))*$H114</f>
        <v>149218.21</v>
      </c>
      <c r="K114" s="373"/>
      <c r="L114" s="235">
        <f>(VLOOKUP($F114,Factors,L$384))*$H114</f>
        <v>90388.31240000001</v>
      </c>
      <c r="M114" s="373"/>
      <c r="N114" s="235">
        <f>(VLOOKUP($F114,Factors,N$384))*$H114</f>
        <v>10288.6368</v>
      </c>
      <c r="O114" s="373"/>
      <c r="P114" s="235">
        <f>(VLOOKUP($F114,Factors,P$384))*$H114</f>
        <v>30404.2408</v>
      </c>
      <c r="Q114" s="373"/>
      <c r="R114" s="235">
        <f>(VLOOKUP($F114,Factors,R$384))*$H114</f>
        <v>8540.8876</v>
      </c>
      <c r="S114" s="373"/>
      <c r="T114" s="235">
        <f>(VLOOKUP($F114,Factors,T$384))*$H114</f>
        <v>18367.8548</v>
      </c>
      <c r="U114" s="373"/>
      <c r="V114" s="235">
        <f>(VLOOKUP($F114,Factors,V$384))*$H114</f>
        <v>22555.8576</v>
      </c>
      <c r="W114" s="236"/>
      <c r="X114" s="236"/>
      <c r="AA114" s="241" t="s">
        <v>169</v>
      </c>
      <c r="AC114" s="280">
        <f t="shared" si="19"/>
        <v>11</v>
      </c>
      <c r="AE114" s="161">
        <f>+H114</f>
        <v>329764</v>
      </c>
      <c r="AG114" s="148">
        <f>(VLOOKUP($AC114,func,AG$384))*$AE114</f>
        <v>128410.10160000001</v>
      </c>
      <c r="AH114" s="148"/>
      <c r="AI114" s="148">
        <f>(VLOOKUP($AC114,func,AI$384))*$AE114</f>
        <v>25424.8044</v>
      </c>
      <c r="AJ114" s="148"/>
      <c r="AK114" s="148">
        <f>(VLOOKUP($AC114,func,AK$384))*$AE114</f>
        <v>135005.3816</v>
      </c>
      <c r="AL114" s="148"/>
      <c r="AM114" s="148">
        <f>(VLOOKUP($AC114,func,AM$384))*$AE114</f>
        <v>0</v>
      </c>
      <c r="AN114" s="148"/>
      <c r="AO114" s="148">
        <f>(VLOOKUP($AC114,func,AO$384))*$AE114</f>
        <v>0</v>
      </c>
      <c r="AP114" s="148"/>
      <c r="AQ114" s="148">
        <f>(VLOOKUP($AC114,func,AQ$384))*$AE114</f>
        <v>0</v>
      </c>
      <c r="AR114" s="148"/>
      <c r="AS114" s="148">
        <f>(VLOOKUP($AC114,func,AS$384))*$AE114</f>
        <v>0</v>
      </c>
      <c r="AT114" s="148"/>
      <c r="AU114" s="148">
        <f>(VLOOKUP($AC114,func,AU$384))*$AE114</f>
        <v>18367.8548</v>
      </c>
      <c r="AV114" s="148"/>
      <c r="AW114" s="148">
        <f>(VLOOKUP($AC114,func,AW$384))*$AE114</f>
        <v>22555.8576</v>
      </c>
      <c r="AY114" s="193"/>
    </row>
    <row r="115" spans="1:51" ht="12.75">
      <c r="A115" s="463"/>
      <c r="B115" s="463"/>
      <c r="C115" s="236"/>
      <c r="D115" s="241" t="s">
        <v>170</v>
      </c>
      <c r="E115" s="310"/>
      <c r="F115" s="311">
        <v>5</v>
      </c>
      <c r="G115" s="241"/>
      <c r="H115" s="376">
        <v>0</v>
      </c>
      <c r="I115" s="219"/>
      <c r="J115" s="235">
        <f>(VLOOKUP($F115,Factors,J$384))*$H115</f>
        <v>0</v>
      </c>
      <c r="K115" s="373"/>
      <c r="L115" s="235">
        <f>(VLOOKUP($F115,Factors,L$384))*$H115</f>
        <v>0</v>
      </c>
      <c r="M115" s="373"/>
      <c r="N115" s="235">
        <f>(VLOOKUP($F115,Factors,N$384))*$H115</f>
        <v>0</v>
      </c>
      <c r="O115" s="373"/>
      <c r="P115" s="235">
        <f>(VLOOKUP($F115,Factors,P$384))*$H115</f>
        <v>0</v>
      </c>
      <c r="Q115" s="373"/>
      <c r="R115" s="235">
        <f>(VLOOKUP($F115,Factors,R$384))*$H115</f>
        <v>0</v>
      </c>
      <c r="S115" s="373"/>
      <c r="T115" s="235">
        <f>(VLOOKUP($F115,Factors,T$384))*$H115</f>
        <v>0</v>
      </c>
      <c r="U115" s="373"/>
      <c r="V115" s="235">
        <f>(VLOOKUP($F115,Factors,V$384))*$H115</f>
        <v>0</v>
      </c>
      <c r="W115" s="236"/>
      <c r="X115" s="236"/>
      <c r="AA115" s="241" t="s">
        <v>170</v>
      </c>
      <c r="AC115" s="280">
        <f t="shared" si="19"/>
        <v>5</v>
      </c>
      <c r="AE115" s="161">
        <f>+H115</f>
        <v>0</v>
      </c>
      <c r="AG115" s="148">
        <f>(VLOOKUP($AC115,func,AG$384))*$AE115</f>
        <v>0</v>
      </c>
      <c r="AH115" s="148"/>
      <c r="AI115" s="148">
        <f>(VLOOKUP($AC115,func,AI$384))*$AE115</f>
        <v>0</v>
      </c>
      <c r="AJ115" s="148"/>
      <c r="AK115" s="148">
        <f>(VLOOKUP($AC115,func,AK$384))*$AE115</f>
        <v>0</v>
      </c>
      <c r="AL115" s="148"/>
      <c r="AM115" s="148">
        <f>(VLOOKUP($AC115,func,AM$384))*$AE115</f>
        <v>0</v>
      </c>
      <c r="AN115" s="148"/>
      <c r="AO115" s="148">
        <f>(VLOOKUP($AC115,func,AO$384))*$AE115</f>
        <v>0</v>
      </c>
      <c r="AP115" s="148"/>
      <c r="AQ115" s="148">
        <f>(VLOOKUP($AC115,func,AQ$384))*$AE115</f>
        <v>0</v>
      </c>
      <c r="AR115" s="148"/>
      <c r="AS115" s="148">
        <f>(VLOOKUP($AC115,func,AS$384))*$AE115</f>
        <v>0</v>
      </c>
      <c r="AT115" s="148"/>
      <c r="AU115" s="148">
        <f>(VLOOKUP($AC115,func,AU$384))*$AE115</f>
        <v>0</v>
      </c>
      <c r="AV115" s="148"/>
      <c r="AW115" s="148">
        <f>(VLOOKUP($AC115,func,AW$384))*$AE115</f>
        <v>0</v>
      </c>
      <c r="AY115" s="193"/>
    </row>
    <row r="116" spans="1:51" ht="12.75">
      <c r="A116" s="463"/>
      <c r="B116" s="463"/>
      <c r="C116" s="236"/>
      <c r="D116" s="241" t="s">
        <v>125</v>
      </c>
      <c r="E116" s="310"/>
      <c r="F116" s="311">
        <v>11</v>
      </c>
      <c r="G116" s="241"/>
      <c r="H116" s="376">
        <v>0</v>
      </c>
      <c r="I116" s="219"/>
      <c r="J116" s="235">
        <f>(VLOOKUP($F116,Factors,J$384))*$H116</f>
        <v>0</v>
      </c>
      <c r="K116" s="373"/>
      <c r="L116" s="235">
        <f>(VLOOKUP($F116,Factors,L$384))*$H116</f>
        <v>0</v>
      </c>
      <c r="M116" s="373"/>
      <c r="N116" s="235">
        <f>(VLOOKUP($F116,Factors,N$384))*$H116</f>
        <v>0</v>
      </c>
      <c r="O116" s="373"/>
      <c r="P116" s="235">
        <f>(VLOOKUP($F116,Factors,P$384))*$H116</f>
        <v>0</v>
      </c>
      <c r="Q116" s="373"/>
      <c r="R116" s="235">
        <f>(VLOOKUP($F116,Factors,R$384))*$H116</f>
        <v>0</v>
      </c>
      <c r="S116" s="373"/>
      <c r="T116" s="235">
        <f>(VLOOKUP($F116,Factors,T$384))*$H116</f>
        <v>0</v>
      </c>
      <c r="U116" s="373"/>
      <c r="V116" s="235">
        <f>(VLOOKUP($F116,Factors,V$384))*$H116</f>
        <v>0</v>
      </c>
      <c r="W116" s="236"/>
      <c r="X116" s="236"/>
      <c r="AA116" s="241" t="s">
        <v>125</v>
      </c>
      <c r="AC116" s="280">
        <f t="shared" si="19"/>
        <v>11</v>
      </c>
      <c r="AE116" s="161">
        <f>+H116</f>
        <v>0</v>
      </c>
      <c r="AG116" s="148">
        <f>(VLOOKUP($AC116,func,AG$384))*$AE116</f>
        <v>0</v>
      </c>
      <c r="AH116" s="148"/>
      <c r="AI116" s="148">
        <f>(VLOOKUP($AC116,func,AI$384))*$AE116</f>
        <v>0</v>
      </c>
      <c r="AJ116" s="148"/>
      <c r="AK116" s="148">
        <f>(VLOOKUP($AC116,func,AK$384))*$AE116</f>
        <v>0</v>
      </c>
      <c r="AL116" s="148"/>
      <c r="AM116" s="148">
        <f>(VLOOKUP($AC116,func,AM$384))*$AE116</f>
        <v>0</v>
      </c>
      <c r="AN116" s="148"/>
      <c r="AO116" s="148">
        <f>(VLOOKUP($AC116,func,AO$384))*$AE116</f>
        <v>0</v>
      </c>
      <c r="AP116" s="148"/>
      <c r="AQ116" s="148">
        <f>(VLOOKUP($AC116,func,AQ$384))*$AE116</f>
        <v>0</v>
      </c>
      <c r="AR116" s="148"/>
      <c r="AS116" s="148">
        <f>(VLOOKUP($AC116,func,AS$384))*$AE116</f>
        <v>0</v>
      </c>
      <c r="AT116" s="148"/>
      <c r="AU116" s="148">
        <f>(VLOOKUP($AC116,func,AU$384))*$AE116</f>
        <v>0</v>
      </c>
      <c r="AV116" s="148"/>
      <c r="AW116" s="148">
        <f>(VLOOKUP($AC116,func,AW$384))*$AE116</f>
        <v>0</v>
      </c>
      <c r="AY116" s="193"/>
    </row>
    <row r="117" spans="1:51" ht="12.75">
      <c r="A117" s="463"/>
      <c r="B117" s="463"/>
      <c r="C117" s="236"/>
      <c r="D117" s="241" t="s">
        <v>171</v>
      </c>
      <c r="E117" s="310"/>
      <c r="F117" s="311">
        <v>11</v>
      </c>
      <c r="G117" s="241"/>
      <c r="H117" s="469">
        <v>7926</v>
      </c>
      <c r="I117" s="219"/>
      <c r="J117" s="468">
        <f>(VLOOKUP($F117,Factors,J$384))*$H117</f>
        <v>3586.5150000000003</v>
      </c>
      <c r="K117" s="219"/>
      <c r="L117" s="468">
        <f>(VLOOKUP($F117,Factors,L$384))*$H117</f>
        <v>2172.5166</v>
      </c>
      <c r="M117" s="219"/>
      <c r="N117" s="468">
        <f>(VLOOKUP($F117,Factors,N$384))*$H117</f>
        <v>247.29119999999998</v>
      </c>
      <c r="O117" s="219"/>
      <c r="P117" s="468">
        <f>(VLOOKUP($F117,Factors,P$384))*$H117</f>
        <v>730.7772</v>
      </c>
      <c r="Q117" s="219"/>
      <c r="R117" s="468">
        <f>(VLOOKUP($F117,Factors,R$384))*$H117</f>
        <v>205.2834</v>
      </c>
      <c r="S117" s="219"/>
      <c r="T117" s="468">
        <f>(VLOOKUP($F117,Factors,T$384))*$H117</f>
        <v>441.4782</v>
      </c>
      <c r="U117" s="219"/>
      <c r="V117" s="468">
        <f>(VLOOKUP($F117,Factors,V$384))*$H117</f>
        <v>542.1384</v>
      </c>
      <c r="W117" s="236"/>
      <c r="X117" s="236"/>
      <c r="AA117" s="241" t="s">
        <v>171</v>
      </c>
      <c r="AC117" s="280">
        <f t="shared" si="19"/>
        <v>11</v>
      </c>
      <c r="AE117" s="317">
        <f>+H117</f>
        <v>7926</v>
      </c>
      <c r="AG117" s="149">
        <f>(VLOOKUP($AC117,func,AG$384))*$AE117</f>
        <v>3086.3844000000004</v>
      </c>
      <c r="AI117" s="149">
        <f>(VLOOKUP($AC117,func,AI$384))*$AE117</f>
        <v>611.0946</v>
      </c>
      <c r="AK117" s="149">
        <f>(VLOOKUP($AC117,func,AK$384))*$AE117</f>
        <v>3244.9044</v>
      </c>
      <c r="AM117" s="149">
        <f>(VLOOKUP($AC117,func,AM$384))*$AE117</f>
        <v>0</v>
      </c>
      <c r="AO117" s="149">
        <f>(VLOOKUP($AC117,func,AO$384))*$AE117</f>
        <v>0</v>
      </c>
      <c r="AQ117" s="149">
        <f>(VLOOKUP($AC117,func,AQ$384))*$AE117</f>
        <v>0</v>
      </c>
      <c r="AS117" s="149">
        <f>(VLOOKUP($AC117,func,AS$384))*$AE117</f>
        <v>0</v>
      </c>
      <c r="AU117" s="149">
        <f>(VLOOKUP($AC117,func,AU$384))*$AE117</f>
        <v>441.4782</v>
      </c>
      <c r="AW117" s="149">
        <f>(VLOOKUP($AC117,func,AW$384))*$AE117</f>
        <v>542.1384</v>
      </c>
      <c r="AY117" s="193"/>
    </row>
    <row r="118" spans="1:51" ht="12.75">
      <c r="A118" s="306"/>
      <c r="B118" s="306"/>
      <c r="C118" s="236"/>
      <c r="D118" s="241"/>
      <c r="E118" s="310"/>
      <c r="F118" s="311"/>
      <c r="G118" s="241"/>
      <c r="H118" s="376"/>
      <c r="I118" s="219"/>
      <c r="J118" s="162"/>
      <c r="K118" s="219"/>
      <c r="L118" s="162"/>
      <c r="M118" s="219"/>
      <c r="N118" s="162"/>
      <c r="O118" s="219"/>
      <c r="P118" s="162"/>
      <c r="Q118" s="219"/>
      <c r="R118" s="162"/>
      <c r="S118" s="219"/>
      <c r="T118" s="162"/>
      <c r="U118" s="219"/>
      <c r="V118" s="162"/>
      <c r="X118" s="193"/>
      <c r="AA118" s="241"/>
      <c r="AE118" s="162"/>
      <c r="AF118" s="219"/>
      <c r="AG118" s="162"/>
      <c r="AH118" s="219"/>
      <c r="AI118" s="162"/>
      <c r="AJ118" s="219"/>
      <c r="AK118" s="162"/>
      <c r="AL118" s="219"/>
      <c r="AM118" s="162"/>
      <c r="AN118" s="219"/>
      <c r="AO118" s="162"/>
      <c r="AP118" s="219"/>
      <c r="AQ118" s="162"/>
      <c r="AR118" s="219"/>
      <c r="AS118" s="162"/>
      <c r="AT118" s="219"/>
      <c r="AU118" s="162"/>
      <c r="AV118" s="219"/>
      <c r="AW118" s="162"/>
      <c r="AY118" s="193"/>
    </row>
    <row r="119" spans="1:51" ht="12.75">
      <c r="A119" s="306"/>
      <c r="B119" s="306"/>
      <c r="C119" s="236"/>
      <c r="D119" s="241" t="s">
        <v>129</v>
      </c>
      <c r="E119" s="310"/>
      <c r="F119" s="311"/>
      <c r="G119" s="241"/>
      <c r="H119" s="376">
        <f>SUM(H99:H118)</f>
        <v>2100298.9051080514</v>
      </c>
      <c r="I119" s="241"/>
      <c r="J119" s="376">
        <f>SUM(J99:J118)</f>
        <v>950485.3614588438</v>
      </c>
      <c r="K119" s="241"/>
      <c r="L119" s="376">
        <f>SUM(L99:L118)</f>
        <v>575591.8229926663</v>
      </c>
      <c r="M119" s="241"/>
      <c r="N119" s="376">
        <f>SUM(N99:N118)</f>
        <v>65529.3258393712</v>
      </c>
      <c r="O119" s="241"/>
      <c r="P119" s="376">
        <f>SUM(P99:P118)</f>
        <v>193647.55905096236</v>
      </c>
      <c r="Q119" s="241"/>
      <c r="R119" s="376">
        <f>SUM(R99:R118)</f>
        <v>54397.74164229853</v>
      </c>
      <c r="S119" s="241"/>
      <c r="T119" s="376">
        <f>SUM(T99:T118)</f>
        <v>116986.64901451847</v>
      </c>
      <c r="U119" s="241"/>
      <c r="V119" s="376">
        <f>SUM(V99:V118)</f>
        <v>143660.4451093907</v>
      </c>
      <c r="X119" s="193"/>
      <c r="AA119" s="241" t="s">
        <v>129</v>
      </c>
      <c r="AB119" s="310"/>
      <c r="AC119" s="311"/>
      <c r="AD119" s="241"/>
      <c r="AE119" s="376">
        <f>SUM(AE99:AE118)</f>
        <v>2100298.9051080514</v>
      </c>
      <c r="AF119" s="241"/>
      <c r="AG119" s="376">
        <f>SUM(AG99:AG118)</f>
        <v>817856.3936490753</v>
      </c>
      <c r="AH119" s="241"/>
      <c r="AI119" s="376">
        <f>SUM(AI99:AI118)</f>
        <v>161933.04558383077</v>
      </c>
      <c r="AJ119" s="241"/>
      <c r="AK119" s="376">
        <f>SUM(AK99:AK118)</f>
        <v>859862.3717512361</v>
      </c>
      <c r="AL119" s="241"/>
      <c r="AM119" s="376">
        <f>SUM(AM99:AM118)</f>
        <v>0</v>
      </c>
      <c r="AN119" s="241"/>
      <c r="AO119" s="376">
        <f>SUM(AO99:AO118)</f>
        <v>0</v>
      </c>
      <c r="AP119" s="241"/>
      <c r="AQ119" s="376">
        <f>SUM(AQ99:AQ118)</f>
        <v>0</v>
      </c>
      <c r="AR119" s="241"/>
      <c r="AS119" s="376">
        <f>SUM(AS99:AS118)</f>
        <v>0</v>
      </c>
      <c r="AT119" s="241"/>
      <c r="AU119" s="376">
        <f>SUM(AU99:AU118)</f>
        <v>116986.64901451847</v>
      </c>
      <c r="AV119" s="241"/>
      <c r="AW119" s="376">
        <f>SUM(AW99:AW118)</f>
        <v>143660.4451093907</v>
      </c>
      <c r="AY119" s="193"/>
    </row>
    <row r="120" spans="1:51" ht="12.75">
      <c r="A120" s="306"/>
      <c r="B120" s="306"/>
      <c r="C120" s="236"/>
      <c r="D120" s="241"/>
      <c r="E120" s="310"/>
      <c r="F120" s="311"/>
      <c r="G120" s="241"/>
      <c r="H120" s="376"/>
      <c r="I120" s="162"/>
      <c r="J120" s="162"/>
      <c r="K120" s="162"/>
      <c r="L120" s="162"/>
      <c r="M120" s="162"/>
      <c r="N120" s="162"/>
      <c r="O120" s="162"/>
      <c r="P120" s="162"/>
      <c r="Q120" s="162"/>
      <c r="R120" s="162"/>
      <c r="S120" s="162"/>
      <c r="T120" s="162"/>
      <c r="U120" s="162"/>
      <c r="V120" s="162"/>
      <c r="X120" s="193"/>
      <c r="AA120" s="241"/>
      <c r="AE120" s="162"/>
      <c r="AF120" s="162"/>
      <c r="AG120" s="162"/>
      <c r="AH120" s="162"/>
      <c r="AI120" s="162"/>
      <c r="AJ120" s="162"/>
      <c r="AK120" s="162"/>
      <c r="AL120" s="162"/>
      <c r="AM120" s="162"/>
      <c r="AN120" s="162"/>
      <c r="AO120" s="162"/>
      <c r="AP120" s="162"/>
      <c r="AQ120" s="162"/>
      <c r="AR120" s="162"/>
      <c r="AS120" s="162"/>
      <c r="AT120" s="162"/>
      <c r="AU120" s="162"/>
      <c r="AV120" s="162"/>
      <c r="AW120" s="162"/>
      <c r="AY120" s="193"/>
    </row>
    <row r="121" spans="1:51" ht="12.75">
      <c r="A121" s="306"/>
      <c r="B121" s="306"/>
      <c r="C121" s="236"/>
      <c r="D121" s="241" t="s">
        <v>130</v>
      </c>
      <c r="E121" s="310"/>
      <c r="F121" s="311"/>
      <c r="G121" s="241"/>
      <c r="H121" s="376"/>
      <c r="I121" s="219"/>
      <c r="J121" s="162"/>
      <c r="K121" s="220"/>
      <c r="L121" s="220"/>
      <c r="M121" s="220"/>
      <c r="N121" s="220"/>
      <c r="O121" s="220"/>
      <c r="P121" s="220"/>
      <c r="Q121" s="220"/>
      <c r="R121" s="220"/>
      <c r="S121" s="220"/>
      <c r="T121" s="220"/>
      <c r="U121" s="220"/>
      <c r="V121" s="220"/>
      <c r="X121" s="193"/>
      <c r="AA121" s="241" t="s">
        <v>130</v>
      </c>
      <c r="AE121" s="163"/>
      <c r="AF121" s="163"/>
      <c r="AG121" s="163"/>
      <c r="AH121" s="163"/>
      <c r="AI121" s="163"/>
      <c r="AJ121" s="163"/>
      <c r="AK121" s="163"/>
      <c r="AL121" s="163"/>
      <c r="AM121" s="163"/>
      <c r="AN121" s="163"/>
      <c r="AO121" s="163"/>
      <c r="AP121" s="163"/>
      <c r="AQ121" s="163"/>
      <c r="AR121" s="163"/>
      <c r="AS121" s="163"/>
      <c r="AT121" s="163"/>
      <c r="AU121" s="163"/>
      <c r="AV121" s="163"/>
      <c r="AW121" s="163"/>
      <c r="AY121" s="193"/>
    </row>
    <row r="122" spans="1:51" ht="12.75">
      <c r="A122" s="306"/>
      <c r="B122" s="306"/>
      <c r="C122" s="236"/>
      <c r="D122"/>
      <c r="E122" s="310"/>
      <c r="F122" s="311"/>
      <c r="G122" s="241"/>
      <c r="H122" s="376"/>
      <c r="I122" s="219"/>
      <c r="J122" s="162"/>
      <c r="K122" s="220"/>
      <c r="L122" s="220"/>
      <c r="M122" s="220"/>
      <c r="N122" s="220"/>
      <c r="O122" s="220"/>
      <c r="P122" s="220"/>
      <c r="Q122" s="220"/>
      <c r="R122" s="220"/>
      <c r="S122" s="220"/>
      <c r="T122" s="220"/>
      <c r="U122" s="220"/>
      <c r="V122" s="220"/>
      <c r="X122" s="193"/>
      <c r="AA122"/>
      <c r="AE122" s="163"/>
      <c r="AF122" s="163"/>
      <c r="AG122" s="163"/>
      <c r="AH122" s="163"/>
      <c r="AI122" s="163"/>
      <c r="AJ122" s="163"/>
      <c r="AK122" s="163"/>
      <c r="AL122" s="163"/>
      <c r="AM122" s="163"/>
      <c r="AN122" s="163"/>
      <c r="AO122" s="163"/>
      <c r="AP122" s="163"/>
      <c r="AQ122" s="163"/>
      <c r="AR122" s="163"/>
      <c r="AS122" s="163"/>
      <c r="AT122" s="163"/>
      <c r="AU122" s="163"/>
      <c r="AV122" s="163"/>
      <c r="AW122" s="163"/>
      <c r="AY122" s="193"/>
    </row>
    <row r="123" spans="1:51" ht="12.75">
      <c r="A123" s="306"/>
      <c r="B123" s="306"/>
      <c r="C123" s="236"/>
      <c r="D123" s="241" t="s">
        <v>172</v>
      </c>
      <c r="E123" s="310"/>
      <c r="F123" s="311">
        <v>12</v>
      </c>
      <c r="G123" s="241"/>
      <c r="H123" s="376">
        <v>0</v>
      </c>
      <c r="I123" s="219"/>
      <c r="J123" s="235">
        <f>(VLOOKUP($F123,Factors,J$384))*$H123</f>
        <v>0</v>
      </c>
      <c r="K123" s="373"/>
      <c r="L123" s="235">
        <f>(VLOOKUP($F123,Factors,L$384))*$H123</f>
        <v>0</v>
      </c>
      <c r="M123" s="373"/>
      <c r="N123" s="235">
        <f>(VLOOKUP($F123,Factors,N$384))*$H123</f>
        <v>0</v>
      </c>
      <c r="O123" s="373"/>
      <c r="P123" s="235">
        <f>(VLOOKUP($F123,Factors,P$384))*$H123</f>
        <v>0</v>
      </c>
      <c r="Q123" s="373"/>
      <c r="R123" s="235">
        <f>(VLOOKUP($F123,Factors,R$384))*$H123</f>
        <v>0</v>
      </c>
      <c r="S123" s="373"/>
      <c r="T123" s="235">
        <f>(VLOOKUP($F123,Factors,T$384))*$H123</f>
        <v>0</v>
      </c>
      <c r="U123" s="373"/>
      <c r="V123" s="235">
        <f>(VLOOKUP($F123,Factors,V$384))*$H123</f>
        <v>0</v>
      </c>
      <c r="W123" s="236"/>
      <c r="X123" s="236"/>
      <c r="AA123" s="241" t="s">
        <v>172</v>
      </c>
      <c r="AC123" s="280">
        <f>+F123</f>
        <v>12</v>
      </c>
      <c r="AE123" s="161">
        <f>+H123</f>
        <v>0</v>
      </c>
      <c r="AG123" s="148">
        <f>(VLOOKUP($AC123,func,AG$384))*$AE123</f>
        <v>0</v>
      </c>
      <c r="AH123" s="148"/>
      <c r="AI123" s="148">
        <f>(VLOOKUP($AC123,func,AI$384))*$AE123</f>
        <v>0</v>
      </c>
      <c r="AJ123" s="148"/>
      <c r="AK123" s="148">
        <f>(VLOOKUP($AC123,func,AK$384))*$AE123</f>
        <v>0</v>
      </c>
      <c r="AL123" s="148"/>
      <c r="AM123" s="148">
        <f>(VLOOKUP($AC123,func,AM$384))*$AE123</f>
        <v>0</v>
      </c>
      <c r="AN123" s="148"/>
      <c r="AO123" s="148">
        <f>(VLOOKUP($AC123,func,AO$384))*$AE123</f>
        <v>0</v>
      </c>
      <c r="AP123" s="148"/>
      <c r="AQ123" s="148">
        <f>(VLOOKUP($AC123,func,AQ$384))*$AE123</f>
        <v>0</v>
      </c>
      <c r="AR123" s="148"/>
      <c r="AS123" s="148">
        <f>(VLOOKUP($AC123,func,AS$384))*$AE123</f>
        <v>0</v>
      </c>
      <c r="AT123" s="148"/>
      <c r="AU123" s="148">
        <f>(VLOOKUP($AC123,func,AU$384))*$AE123</f>
        <v>0</v>
      </c>
      <c r="AV123" s="148"/>
      <c r="AW123" s="148">
        <f>(VLOOKUP($AC123,func,AW$384))*$AE123</f>
        <v>0</v>
      </c>
      <c r="AY123" s="193"/>
    </row>
    <row r="124" spans="1:51" ht="12.75">
      <c r="A124" s="306"/>
      <c r="B124" s="306"/>
      <c r="C124" s="236"/>
      <c r="D124" s="241" t="s">
        <v>173</v>
      </c>
      <c r="E124" s="310"/>
      <c r="F124" s="311"/>
      <c r="G124" s="241"/>
      <c r="H124" s="376"/>
      <c r="I124" s="219"/>
      <c r="J124" s="162"/>
      <c r="K124" s="220"/>
      <c r="L124" s="162"/>
      <c r="M124" s="220"/>
      <c r="N124" s="162"/>
      <c r="O124" s="220"/>
      <c r="P124" s="162"/>
      <c r="Q124" s="220"/>
      <c r="R124" s="162"/>
      <c r="S124" s="220"/>
      <c r="T124" s="162"/>
      <c r="U124" s="220"/>
      <c r="V124" s="162"/>
      <c r="X124" s="193"/>
      <c r="AA124" s="241" t="s">
        <v>173</v>
      </c>
      <c r="AC124" s="280"/>
      <c r="AE124" s="461"/>
      <c r="AF124" s="163"/>
      <c r="AG124" s="162"/>
      <c r="AH124" s="162"/>
      <c r="AI124" s="162"/>
      <c r="AJ124" s="162"/>
      <c r="AK124" s="162"/>
      <c r="AL124" s="162"/>
      <c r="AM124" s="162"/>
      <c r="AN124" s="162"/>
      <c r="AO124" s="162"/>
      <c r="AP124" s="162"/>
      <c r="AQ124" s="162"/>
      <c r="AR124" s="162"/>
      <c r="AS124" s="162"/>
      <c r="AT124" s="162"/>
      <c r="AU124" s="162"/>
      <c r="AV124" s="162"/>
      <c r="AW124" s="162"/>
      <c r="AY124" s="193"/>
    </row>
    <row r="125" spans="1:51" ht="12.75">
      <c r="A125" s="306"/>
      <c r="B125" s="306"/>
      <c r="C125" s="236"/>
      <c r="D125" s="241" t="s">
        <v>124</v>
      </c>
      <c r="E125" s="310"/>
      <c r="F125" s="311">
        <v>12</v>
      </c>
      <c r="G125" s="241"/>
      <c r="H125" s="376">
        <v>0</v>
      </c>
      <c r="I125" s="219"/>
      <c r="J125" s="235">
        <f>(VLOOKUP($F125,Factors,J$384))*$H125</f>
        <v>0</v>
      </c>
      <c r="K125" s="373"/>
      <c r="L125" s="235">
        <f>(VLOOKUP($F125,Factors,L$384))*$H125</f>
        <v>0</v>
      </c>
      <c r="M125" s="373"/>
      <c r="N125" s="235">
        <f>(VLOOKUP($F125,Factors,N$384))*$H125</f>
        <v>0</v>
      </c>
      <c r="O125" s="373"/>
      <c r="P125" s="235">
        <f>(VLOOKUP($F125,Factors,P$384))*$H125</f>
        <v>0</v>
      </c>
      <c r="Q125" s="373"/>
      <c r="R125" s="235">
        <f>(VLOOKUP($F125,Factors,R$384))*$H125</f>
        <v>0</v>
      </c>
      <c r="S125" s="373"/>
      <c r="T125" s="235">
        <f>(VLOOKUP($F125,Factors,T$384))*$H125</f>
        <v>0</v>
      </c>
      <c r="U125" s="373"/>
      <c r="V125" s="235">
        <f>(VLOOKUP($F125,Factors,V$384))*$H125</f>
        <v>0</v>
      </c>
      <c r="W125" s="236"/>
      <c r="X125" s="236"/>
      <c r="AA125" s="241" t="s">
        <v>124</v>
      </c>
      <c r="AC125" s="280">
        <f>+F125</f>
        <v>12</v>
      </c>
      <c r="AE125" s="161">
        <f>+H125</f>
        <v>0</v>
      </c>
      <c r="AG125" s="148">
        <f>(VLOOKUP($AC125,func,AG$384))*$AE125</f>
        <v>0</v>
      </c>
      <c r="AH125" s="148"/>
      <c r="AI125" s="148">
        <f>(VLOOKUP($AC125,func,AI$384))*$AE125</f>
        <v>0</v>
      </c>
      <c r="AJ125" s="148"/>
      <c r="AK125" s="148">
        <f>(VLOOKUP($AC125,func,AK$384))*$AE125</f>
        <v>0</v>
      </c>
      <c r="AL125" s="148"/>
      <c r="AM125" s="148">
        <f>(VLOOKUP($AC125,func,AM$384))*$AE125</f>
        <v>0</v>
      </c>
      <c r="AN125" s="148"/>
      <c r="AO125" s="148">
        <f>(VLOOKUP($AC125,func,AO$384))*$AE125</f>
        <v>0</v>
      </c>
      <c r="AP125" s="148"/>
      <c r="AQ125" s="148">
        <f>(VLOOKUP($AC125,func,AQ$384))*$AE125</f>
        <v>0</v>
      </c>
      <c r="AR125" s="148"/>
      <c r="AS125" s="148">
        <f>(VLOOKUP($AC125,func,AS$384))*$AE125</f>
        <v>0</v>
      </c>
      <c r="AT125" s="148"/>
      <c r="AU125" s="148">
        <f>(VLOOKUP($AC125,func,AU$384))*$AE125</f>
        <v>0</v>
      </c>
      <c r="AV125" s="148"/>
      <c r="AW125" s="148">
        <f>(VLOOKUP($AC125,func,AW$384))*$AE125</f>
        <v>0</v>
      </c>
      <c r="AY125" s="193"/>
    </row>
    <row r="126" spans="1:51" ht="12.75">
      <c r="A126" s="306"/>
      <c r="B126" s="306"/>
      <c r="C126" s="236"/>
      <c r="D126" s="241" t="s">
        <v>125</v>
      </c>
      <c r="E126" s="310"/>
      <c r="F126" s="311">
        <v>12</v>
      </c>
      <c r="G126" s="241"/>
      <c r="H126" s="376">
        <v>0</v>
      </c>
      <c r="I126" s="219"/>
      <c r="J126" s="235">
        <f>(VLOOKUP($F126,Factors,J$384))*$H126</f>
        <v>0</v>
      </c>
      <c r="K126" s="373"/>
      <c r="L126" s="235">
        <f>(VLOOKUP($F126,Factors,L$384))*$H126</f>
        <v>0</v>
      </c>
      <c r="M126" s="373"/>
      <c r="N126" s="235">
        <f>(VLOOKUP($F126,Factors,N$384))*$H126</f>
        <v>0</v>
      </c>
      <c r="O126" s="373"/>
      <c r="P126" s="235">
        <f>(VLOOKUP($F126,Factors,P$384))*$H126</f>
        <v>0</v>
      </c>
      <c r="Q126" s="373"/>
      <c r="R126" s="235">
        <f>(VLOOKUP($F126,Factors,R$384))*$H126</f>
        <v>0</v>
      </c>
      <c r="S126" s="373"/>
      <c r="T126" s="235">
        <f>(VLOOKUP($F126,Factors,T$384))*$H126</f>
        <v>0</v>
      </c>
      <c r="U126" s="373"/>
      <c r="V126" s="235">
        <f>(VLOOKUP($F126,Factors,V$384))*$H126</f>
        <v>0</v>
      </c>
      <c r="W126" s="236"/>
      <c r="X126" s="236"/>
      <c r="AA126" s="241" t="s">
        <v>125</v>
      </c>
      <c r="AC126" s="280">
        <f>+F126</f>
        <v>12</v>
      </c>
      <c r="AE126" s="161">
        <f>+H126</f>
        <v>0</v>
      </c>
      <c r="AG126" s="148">
        <f>(VLOOKUP($AC126,func,AG$384))*$AE126</f>
        <v>0</v>
      </c>
      <c r="AH126" s="148"/>
      <c r="AI126" s="148">
        <f>(VLOOKUP($AC126,func,AI$384))*$AE126</f>
        <v>0</v>
      </c>
      <c r="AJ126" s="148"/>
      <c r="AK126" s="148">
        <f>(VLOOKUP($AC126,func,AK$384))*$AE126</f>
        <v>0</v>
      </c>
      <c r="AL126" s="148"/>
      <c r="AM126" s="148">
        <f>(VLOOKUP($AC126,func,AM$384))*$AE126</f>
        <v>0</v>
      </c>
      <c r="AN126" s="148"/>
      <c r="AO126" s="148">
        <f>(VLOOKUP($AC126,func,AO$384))*$AE126</f>
        <v>0</v>
      </c>
      <c r="AP126" s="148"/>
      <c r="AQ126" s="148">
        <f>(VLOOKUP($AC126,func,AQ$384))*$AE126</f>
        <v>0</v>
      </c>
      <c r="AR126" s="148"/>
      <c r="AS126" s="148">
        <f>(VLOOKUP($AC126,func,AS$384))*$AE126</f>
        <v>0</v>
      </c>
      <c r="AT126" s="148"/>
      <c r="AU126" s="148">
        <f>(VLOOKUP($AC126,func,AU$384))*$AE126</f>
        <v>0</v>
      </c>
      <c r="AV126" s="148"/>
      <c r="AW126" s="148">
        <f>(VLOOKUP($AC126,func,AW$384))*$AE126</f>
        <v>0</v>
      </c>
      <c r="AY126" s="193"/>
    </row>
    <row r="127" spans="1:51" ht="12.75">
      <c r="A127" s="306"/>
      <c r="B127" s="306"/>
      <c r="C127" s="236"/>
      <c r="D127" s="241" t="s">
        <v>174</v>
      </c>
      <c r="E127" s="310"/>
      <c r="F127" s="311"/>
      <c r="G127" s="241"/>
      <c r="H127" s="376"/>
      <c r="I127" s="219"/>
      <c r="J127" s="162"/>
      <c r="K127" s="220"/>
      <c r="L127" s="162"/>
      <c r="M127" s="220"/>
      <c r="N127" s="162"/>
      <c r="O127" s="220"/>
      <c r="P127" s="162"/>
      <c r="Q127" s="220"/>
      <c r="R127" s="162"/>
      <c r="S127" s="220"/>
      <c r="T127" s="162"/>
      <c r="U127" s="220"/>
      <c r="V127" s="162"/>
      <c r="X127" s="193"/>
      <c r="AA127" s="241" t="s">
        <v>174</v>
      </c>
      <c r="AC127" s="280"/>
      <c r="AE127" s="461"/>
      <c r="AF127" s="163"/>
      <c r="AG127" s="162"/>
      <c r="AH127" s="162"/>
      <c r="AI127" s="162"/>
      <c r="AJ127" s="162"/>
      <c r="AK127" s="162"/>
      <c r="AL127" s="162"/>
      <c r="AM127" s="162"/>
      <c r="AN127" s="162"/>
      <c r="AO127" s="162"/>
      <c r="AP127" s="162"/>
      <c r="AQ127" s="162"/>
      <c r="AR127" s="162"/>
      <c r="AS127" s="162"/>
      <c r="AT127" s="162"/>
      <c r="AU127" s="162"/>
      <c r="AV127" s="162"/>
      <c r="AW127" s="162"/>
      <c r="AY127" s="193"/>
    </row>
    <row r="128" spans="1:51" ht="12.75">
      <c r="A128" s="306"/>
      <c r="B128" s="306"/>
      <c r="C128" s="236"/>
      <c r="D128" s="241" t="s">
        <v>124</v>
      </c>
      <c r="E128" s="310"/>
      <c r="F128" s="311">
        <v>5</v>
      </c>
      <c r="G128" s="241"/>
      <c r="H128" s="376">
        <v>255074.37733333337</v>
      </c>
      <c r="I128" s="219"/>
      <c r="J128" s="235">
        <f>(VLOOKUP($F128,Factors,J$384))*$H128</f>
        <v>103534.68975960002</v>
      </c>
      <c r="K128" s="373"/>
      <c r="L128" s="235">
        <f>(VLOOKUP($F128,Factors,L$384))*$H128</f>
        <v>62467.715008933345</v>
      </c>
      <c r="M128" s="373"/>
      <c r="N128" s="235">
        <f>(VLOOKUP($F128,Factors,N$384))*$H128</f>
        <v>6938.023063466668</v>
      </c>
      <c r="O128" s="373"/>
      <c r="P128" s="235">
        <f>(VLOOKUP($F128,Factors,P$384))*$H128</f>
        <v>20227.398122533334</v>
      </c>
      <c r="Q128" s="373"/>
      <c r="R128" s="235">
        <f>(VLOOKUP($F128,Factors,R$384))*$H128</f>
        <v>5560.621425866668</v>
      </c>
      <c r="S128" s="373"/>
      <c r="T128" s="235">
        <f>(VLOOKUP($F128,Factors,T$384))*$H128</f>
        <v>25252.363356</v>
      </c>
      <c r="U128" s="373"/>
      <c r="V128" s="235">
        <f>(VLOOKUP($F128,Factors,V$384))*$H128</f>
        <v>31093.566596933335</v>
      </c>
      <c r="W128" s="236"/>
      <c r="X128" s="236"/>
      <c r="AA128" s="241" t="s">
        <v>124</v>
      </c>
      <c r="AC128" s="280">
        <f>+F128</f>
        <v>5</v>
      </c>
      <c r="AE128" s="161">
        <f>+H128</f>
        <v>255074.37733333337</v>
      </c>
      <c r="AG128" s="148">
        <f>(VLOOKUP($AC128,func,AG$384))*$AE128</f>
        <v>79226.10159973335</v>
      </c>
      <c r="AH128" s="148"/>
      <c r="AI128" s="148">
        <f>(VLOOKUP($AC128,func,AI$384))*$AE128</f>
        <v>0</v>
      </c>
      <c r="AJ128" s="148"/>
      <c r="AK128" s="148">
        <f>(VLOOKUP($AC128,func,AK$384))*$AE128</f>
        <v>119502.34578066668</v>
      </c>
      <c r="AL128" s="148"/>
      <c r="AM128" s="148">
        <f>(VLOOKUP($AC128,func,AM$384))*$AE128</f>
        <v>0</v>
      </c>
      <c r="AN128" s="148"/>
      <c r="AO128" s="148">
        <f>(VLOOKUP($AC128,func,AO$384))*$AE128</f>
        <v>0</v>
      </c>
      <c r="AP128" s="148"/>
      <c r="AQ128" s="148">
        <f>(VLOOKUP($AC128,func,AQ$384))*$AE128</f>
        <v>0</v>
      </c>
      <c r="AR128" s="148"/>
      <c r="AS128" s="148">
        <f>(VLOOKUP($AC128,func,AS$384))*$AE128</f>
        <v>0</v>
      </c>
      <c r="AT128" s="148"/>
      <c r="AU128" s="148">
        <f>(VLOOKUP($AC128,func,AU$384))*$AE128</f>
        <v>25252.363356</v>
      </c>
      <c r="AV128" s="148"/>
      <c r="AW128" s="148">
        <f>(VLOOKUP($AC128,func,AW$384))*$AE128</f>
        <v>31093.566596933335</v>
      </c>
      <c r="AY128" s="193"/>
    </row>
    <row r="129" spans="1:51" ht="12.75">
      <c r="A129" s="306"/>
      <c r="B129" s="306"/>
      <c r="C129" s="236"/>
      <c r="D129" s="241" t="s">
        <v>125</v>
      </c>
      <c r="E129" s="310"/>
      <c r="F129" s="311">
        <v>5</v>
      </c>
      <c r="G129" s="241"/>
      <c r="H129" s="376">
        <v>0</v>
      </c>
      <c r="I129" s="219"/>
      <c r="J129" s="235">
        <f>(VLOOKUP($F129,Factors,J$384))*$H129</f>
        <v>0</v>
      </c>
      <c r="K129" s="373"/>
      <c r="L129" s="235">
        <f>(VLOOKUP($F129,Factors,L$384))*$H129</f>
        <v>0</v>
      </c>
      <c r="M129" s="373"/>
      <c r="N129" s="235">
        <f>(VLOOKUP($F129,Factors,N$384))*$H129</f>
        <v>0</v>
      </c>
      <c r="O129" s="373"/>
      <c r="P129" s="235">
        <f>(VLOOKUP($F129,Factors,P$384))*$H129</f>
        <v>0</v>
      </c>
      <c r="Q129" s="373"/>
      <c r="R129" s="235">
        <f>(VLOOKUP($F129,Factors,R$384))*$H129</f>
        <v>0</v>
      </c>
      <c r="S129" s="373"/>
      <c r="T129" s="235">
        <f>(VLOOKUP($F129,Factors,T$384))*$H129</f>
        <v>0</v>
      </c>
      <c r="U129" s="373"/>
      <c r="V129" s="235">
        <f>(VLOOKUP($F129,Factors,V$384))*$H129</f>
        <v>0</v>
      </c>
      <c r="W129" s="236"/>
      <c r="X129" s="236"/>
      <c r="AA129" s="241" t="s">
        <v>125</v>
      </c>
      <c r="AC129" s="280">
        <f>+F129</f>
        <v>5</v>
      </c>
      <c r="AE129" s="161">
        <f>+H129</f>
        <v>0</v>
      </c>
      <c r="AG129" s="148">
        <f>(VLOOKUP($AC129,func,AG$384))*$AE129</f>
        <v>0</v>
      </c>
      <c r="AH129" s="148"/>
      <c r="AI129" s="148">
        <f>(VLOOKUP($AC129,func,AI$384))*$AE129</f>
        <v>0</v>
      </c>
      <c r="AJ129" s="148"/>
      <c r="AK129" s="148">
        <f>(VLOOKUP($AC129,func,AK$384))*$AE129</f>
        <v>0</v>
      </c>
      <c r="AL129" s="148"/>
      <c r="AM129" s="148">
        <f>(VLOOKUP($AC129,func,AM$384))*$AE129</f>
        <v>0</v>
      </c>
      <c r="AN129" s="148"/>
      <c r="AO129" s="148">
        <f>(VLOOKUP($AC129,func,AO$384))*$AE129</f>
        <v>0</v>
      </c>
      <c r="AP129" s="148"/>
      <c r="AQ129" s="148">
        <f>(VLOOKUP($AC129,func,AQ$384))*$AE129</f>
        <v>0</v>
      </c>
      <c r="AR129" s="148"/>
      <c r="AS129" s="148">
        <f>(VLOOKUP($AC129,func,AS$384))*$AE129</f>
        <v>0</v>
      </c>
      <c r="AT129" s="148"/>
      <c r="AU129" s="148">
        <f>(VLOOKUP($AC129,func,AU$384))*$AE129</f>
        <v>0</v>
      </c>
      <c r="AV129" s="148"/>
      <c r="AW129" s="148">
        <f>(VLOOKUP($AC129,func,AW$384))*$AE129</f>
        <v>0</v>
      </c>
      <c r="AY129" s="193"/>
    </row>
    <row r="130" spans="1:51" ht="12.75">
      <c r="A130" s="306"/>
      <c r="B130" s="306"/>
      <c r="C130" s="236"/>
      <c r="D130" s="241" t="s">
        <v>175</v>
      </c>
      <c r="E130" s="310"/>
      <c r="F130" s="311"/>
      <c r="G130" s="241"/>
      <c r="H130" s="376"/>
      <c r="I130" s="219"/>
      <c r="J130" s="162"/>
      <c r="K130" s="220"/>
      <c r="L130" s="162"/>
      <c r="M130" s="220"/>
      <c r="N130" s="162"/>
      <c r="O130" s="220"/>
      <c r="P130" s="162"/>
      <c r="Q130" s="220"/>
      <c r="R130" s="162"/>
      <c r="S130" s="220"/>
      <c r="T130" s="162"/>
      <c r="U130" s="220"/>
      <c r="V130" s="162"/>
      <c r="X130" s="193"/>
      <c r="AA130" s="241" t="s">
        <v>175</v>
      </c>
      <c r="AC130" s="280"/>
      <c r="AE130" s="461"/>
      <c r="AF130" s="163"/>
      <c r="AG130" s="162"/>
      <c r="AH130" s="162"/>
      <c r="AI130" s="162"/>
      <c r="AJ130" s="162"/>
      <c r="AK130" s="162"/>
      <c r="AL130" s="162"/>
      <c r="AM130" s="162"/>
      <c r="AN130" s="162"/>
      <c r="AO130" s="162"/>
      <c r="AP130" s="162"/>
      <c r="AQ130" s="162"/>
      <c r="AR130" s="162"/>
      <c r="AS130" s="162"/>
      <c r="AT130" s="162"/>
      <c r="AU130" s="162"/>
      <c r="AV130" s="162"/>
      <c r="AW130" s="162"/>
      <c r="AY130" s="193"/>
    </row>
    <row r="131" spans="1:51" ht="12.75">
      <c r="A131" s="306"/>
      <c r="B131" s="306"/>
      <c r="C131" s="236"/>
      <c r="D131" s="241" t="s">
        <v>124</v>
      </c>
      <c r="E131" s="310"/>
      <c r="F131" s="311">
        <v>7</v>
      </c>
      <c r="G131" s="241"/>
      <c r="H131" s="376">
        <v>0</v>
      </c>
      <c r="I131" s="219"/>
      <c r="J131" s="235">
        <f>(VLOOKUP($F131,Factors,J$384))*$H131</f>
        <v>0</v>
      </c>
      <c r="K131" s="373"/>
      <c r="L131" s="235">
        <f>(VLOOKUP($F131,Factors,L$384))*$H131</f>
        <v>0</v>
      </c>
      <c r="M131" s="373"/>
      <c r="N131" s="235">
        <f>(VLOOKUP($F131,Factors,N$384))*$H131</f>
        <v>0</v>
      </c>
      <c r="O131" s="373"/>
      <c r="P131" s="235">
        <f>(VLOOKUP($F131,Factors,P$384))*$H131</f>
        <v>0</v>
      </c>
      <c r="Q131" s="373"/>
      <c r="R131" s="235">
        <f>(VLOOKUP($F131,Factors,R$384))*$H131</f>
        <v>0</v>
      </c>
      <c r="S131" s="373"/>
      <c r="T131" s="235">
        <f>(VLOOKUP($F131,Factors,T$384))*$H131</f>
        <v>0</v>
      </c>
      <c r="U131" s="373"/>
      <c r="V131" s="235">
        <f>(VLOOKUP($F131,Factors,V$384))*$H131</f>
        <v>0</v>
      </c>
      <c r="W131" s="236"/>
      <c r="X131" s="236"/>
      <c r="AA131" s="241" t="s">
        <v>124</v>
      </c>
      <c r="AC131" s="280">
        <f>+F131</f>
        <v>7</v>
      </c>
      <c r="AE131" s="161">
        <f>+H131</f>
        <v>0</v>
      </c>
      <c r="AG131" s="148">
        <f>(VLOOKUP($AC131,func,AG$384))*$AE131</f>
        <v>0</v>
      </c>
      <c r="AH131" s="148"/>
      <c r="AI131" s="148">
        <f>(VLOOKUP($AC131,func,AI$384))*$AE131</f>
        <v>0</v>
      </c>
      <c r="AJ131" s="148"/>
      <c r="AK131" s="148">
        <f>(VLOOKUP($AC131,func,AK$384))*$AE131</f>
        <v>0</v>
      </c>
      <c r="AL131" s="148"/>
      <c r="AM131" s="148">
        <f>(VLOOKUP($AC131,func,AM$384))*$AE131</f>
        <v>0</v>
      </c>
      <c r="AN131" s="148"/>
      <c r="AO131" s="148">
        <f>(VLOOKUP($AC131,func,AO$384))*$AE131</f>
        <v>0</v>
      </c>
      <c r="AP131" s="148"/>
      <c r="AQ131" s="148">
        <f>(VLOOKUP($AC131,func,AQ$384))*$AE131</f>
        <v>0</v>
      </c>
      <c r="AR131" s="148"/>
      <c r="AS131" s="148">
        <f>(VLOOKUP($AC131,func,AS$384))*$AE131</f>
        <v>0</v>
      </c>
      <c r="AT131" s="148"/>
      <c r="AU131" s="148">
        <f>(VLOOKUP($AC131,func,AU$384))*$AE131</f>
        <v>0</v>
      </c>
      <c r="AV131" s="148"/>
      <c r="AW131" s="148">
        <f>(VLOOKUP($AC131,func,AW$384))*$AE131</f>
        <v>0</v>
      </c>
      <c r="AY131" s="193"/>
    </row>
    <row r="132" spans="1:51" ht="12.75">
      <c r="A132" s="306"/>
      <c r="B132" s="306"/>
      <c r="C132" s="236"/>
      <c r="D132" s="241" t="s">
        <v>125</v>
      </c>
      <c r="E132" s="310"/>
      <c r="F132" s="311">
        <v>7</v>
      </c>
      <c r="G132" s="241"/>
      <c r="H132" s="376">
        <v>887585.3937277552</v>
      </c>
      <c r="I132" s="219"/>
      <c r="J132" s="235">
        <f>(VLOOKUP($F132,Factors,J$384))*$H132</f>
        <v>401721.149201182</v>
      </c>
      <c r="K132" s="373"/>
      <c r="L132" s="235">
        <f>(VLOOKUP($F132,Factors,L$384))*$H132</f>
        <v>243198.39788140493</v>
      </c>
      <c r="M132" s="373"/>
      <c r="N132" s="235">
        <f>(VLOOKUP($F132,Factors,N$384))*$H132</f>
        <v>27692.66428430596</v>
      </c>
      <c r="O132" s="373"/>
      <c r="P132" s="235">
        <f>(VLOOKUP($F132,Factors,P$384))*$H132</f>
        <v>81835.37330169903</v>
      </c>
      <c r="Q132" s="373"/>
      <c r="R132" s="235">
        <f>(VLOOKUP($F132,Factors,R$384))*$H132</f>
        <v>22988.461697548857</v>
      </c>
      <c r="S132" s="373"/>
      <c r="T132" s="235">
        <f>(VLOOKUP($F132,Factors,T$384))*$H132</f>
        <v>49438.50643063596</v>
      </c>
      <c r="U132" s="373"/>
      <c r="V132" s="235">
        <f>(VLOOKUP($F132,Factors,V$384))*$H132</f>
        <v>60710.840930978455</v>
      </c>
      <c r="W132" s="236"/>
      <c r="X132" s="236"/>
      <c r="AA132" s="241" t="s">
        <v>125</v>
      </c>
      <c r="AC132" s="280">
        <f>+F132</f>
        <v>7</v>
      </c>
      <c r="AE132" s="161">
        <f>+H132</f>
        <v>887585.3937277552</v>
      </c>
      <c r="AG132" s="148">
        <f>(VLOOKUP($AC132,func,AG$384))*$AE132</f>
        <v>345625.75231758785</v>
      </c>
      <c r="AH132" s="148"/>
      <c r="AI132" s="148">
        <f>(VLOOKUP($AC132,func,AI$384))*$AE132</f>
        <v>68432.83385640992</v>
      </c>
      <c r="AJ132" s="148"/>
      <c r="AK132" s="148">
        <f>(VLOOKUP($AC132,func,AK$384))*$AE132</f>
        <v>363377.4601921429</v>
      </c>
      <c r="AL132" s="148"/>
      <c r="AM132" s="148">
        <f>(VLOOKUP($AC132,func,AM$384))*$AE132</f>
        <v>0</v>
      </c>
      <c r="AN132" s="148"/>
      <c r="AO132" s="148">
        <f>(VLOOKUP($AC132,func,AO$384))*$AE132</f>
        <v>0</v>
      </c>
      <c r="AP132" s="148"/>
      <c r="AQ132" s="148">
        <f>(VLOOKUP($AC132,func,AQ$384))*$AE132</f>
        <v>0</v>
      </c>
      <c r="AR132" s="148"/>
      <c r="AS132" s="148">
        <f>(VLOOKUP($AC132,func,AS$384))*$AE132</f>
        <v>0</v>
      </c>
      <c r="AT132" s="148"/>
      <c r="AU132" s="148">
        <f>(VLOOKUP($AC132,func,AU$384))*$AE132</f>
        <v>49438.50643063596</v>
      </c>
      <c r="AV132" s="148"/>
      <c r="AW132" s="148">
        <f>(VLOOKUP($AC132,func,AW$384))*$AE132</f>
        <v>60710.840930978455</v>
      </c>
      <c r="AY132" s="193"/>
    </row>
    <row r="133" spans="1:51" ht="12.75">
      <c r="A133" s="306"/>
      <c r="B133" s="306"/>
      <c r="C133" s="236"/>
      <c r="D133" s="241" t="s">
        <v>176</v>
      </c>
      <c r="E133" s="310"/>
      <c r="F133" s="311"/>
      <c r="G133" s="241"/>
      <c r="H133" s="376"/>
      <c r="I133" s="219"/>
      <c r="J133" s="162"/>
      <c r="K133" s="220"/>
      <c r="L133" s="162"/>
      <c r="M133" s="220"/>
      <c r="N133" s="162"/>
      <c r="O133" s="220"/>
      <c r="P133" s="162"/>
      <c r="Q133" s="220"/>
      <c r="R133" s="162"/>
      <c r="S133" s="220"/>
      <c r="T133" s="162"/>
      <c r="U133" s="220"/>
      <c r="V133" s="162"/>
      <c r="X133" s="193"/>
      <c r="AA133" s="241" t="s">
        <v>176</v>
      </c>
      <c r="AC133" s="280"/>
      <c r="AE133" s="461"/>
      <c r="AF133" s="163"/>
      <c r="AG133" s="162"/>
      <c r="AH133" s="162"/>
      <c r="AI133" s="162"/>
      <c r="AJ133" s="162"/>
      <c r="AK133" s="162"/>
      <c r="AL133" s="162"/>
      <c r="AM133" s="162"/>
      <c r="AN133" s="162"/>
      <c r="AO133" s="162"/>
      <c r="AP133" s="162"/>
      <c r="AQ133" s="162"/>
      <c r="AR133" s="162"/>
      <c r="AS133" s="162"/>
      <c r="AT133" s="162"/>
      <c r="AU133" s="162"/>
      <c r="AV133" s="162"/>
      <c r="AW133" s="162"/>
      <c r="AY133" s="193"/>
    </row>
    <row r="134" spans="1:51" ht="12.75">
      <c r="A134" s="306"/>
      <c r="B134" s="306"/>
      <c r="C134" s="236"/>
      <c r="D134" s="241" t="s">
        <v>124</v>
      </c>
      <c r="E134" s="310"/>
      <c r="F134" s="311">
        <v>10</v>
      </c>
      <c r="G134" s="241"/>
      <c r="H134" s="376">
        <v>0</v>
      </c>
      <c r="I134" s="219"/>
      <c r="J134" s="235">
        <f>(VLOOKUP($F134,Factors,J$384))*$H134</f>
        <v>0</v>
      </c>
      <c r="K134" s="373"/>
      <c r="L134" s="235">
        <f>(VLOOKUP($F134,Factors,L$384))*$H134</f>
        <v>0</v>
      </c>
      <c r="M134" s="373"/>
      <c r="N134" s="235">
        <f>(VLOOKUP($F134,Factors,N$384))*$H134</f>
        <v>0</v>
      </c>
      <c r="O134" s="373"/>
      <c r="P134" s="235">
        <f>(VLOOKUP($F134,Factors,P$384))*$H134</f>
        <v>0</v>
      </c>
      <c r="Q134" s="373"/>
      <c r="R134" s="235">
        <f>(VLOOKUP($F134,Factors,R$384))*$H134</f>
        <v>0</v>
      </c>
      <c r="S134" s="373"/>
      <c r="T134" s="235">
        <f>(VLOOKUP($F134,Factors,T$384))*$H134</f>
        <v>0</v>
      </c>
      <c r="U134" s="373"/>
      <c r="V134" s="235">
        <f>(VLOOKUP($F134,Factors,V$384))*$H134</f>
        <v>0</v>
      </c>
      <c r="W134" s="236"/>
      <c r="X134" s="236"/>
      <c r="AA134" s="241" t="s">
        <v>124</v>
      </c>
      <c r="AC134" s="280">
        <f>+F134</f>
        <v>10</v>
      </c>
      <c r="AE134" s="161">
        <f>+H134</f>
        <v>0</v>
      </c>
      <c r="AG134" s="148">
        <f>(VLOOKUP($AC134,func,AG$384))*$AE134</f>
        <v>0</v>
      </c>
      <c r="AH134" s="148"/>
      <c r="AI134" s="148">
        <f>(VLOOKUP($AC134,func,AI$384))*$AE134</f>
        <v>0</v>
      </c>
      <c r="AJ134" s="148"/>
      <c r="AK134" s="148">
        <f>(VLOOKUP($AC134,func,AK$384))*$AE134</f>
        <v>0</v>
      </c>
      <c r="AL134" s="148"/>
      <c r="AM134" s="148">
        <f>(VLOOKUP($AC134,func,AM$384))*$AE134</f>
        <v>0</v>
      </c>
      <c r="AN134" s="148"/>
      <c r="AO134" s="148">
        <f>(VLOOKUP($AC134,func,AO$384))*$AE134</f>
        <v>0</v>
      </c>
      <c r="AP134" s="148"/>
      <c r="AQ134" s="148">
        <f>(VLOOKUP($AC134,func,AQ$384))*$AE134</f>
        <v>0</v>
      </c>
      <c r="AR134" s="148"/>
      <c r="AS134" s="148">
        <f>(VLOOKUP($AC134,func,AS$384))*$AE134</f>
        <v>0</v>
      </c>
      <c r="AT134" s="148"/>
      <c r="AU134" s="148">
        <f>(VLOOKUP($AC134,func,AU$384))*$AE134</f>
        <v>0</v>
      </c>
      <c r="AV134" s="148"/>
      <c r="AW134" s="148">
        <f>(VLOOKUP($AC134,func,AW$384))*$AE134</f>
        <v>0</v>
      </c>
      <c r="AY134" s="193"/>
    </row>
    <row r="135" spans="1:51" ht="12.75">
      <c r="A135" s="306"/>
      <c r="B135" s="306"/>
      <c r="C135" s="236"/>
      <c r="D135" s="241" t="s">
        <v>125</v>
      </c>
      <c r="E135" s="310"/>
      <c r="F135" s="311">
        <v>10</v>
      </c>
      <c r="G135" s="241"/>
      <c r="H135" s="376">
        <v>320855.71846999996</v>
      </c>
      <c r="I135" s="162"/>
      <c r="J135" s="235">
        <f>(VLOOKUP($F135,Factors,J$384))*$H135</f>
        <v>268492.06521569594</v>
      </c>
      <c r="K135" s="373"/>
      <c r="L135" s="235">
        <f>(VLOOKUP($F135,Factors,L$384))*$H135</f>
        <v>33978.620585972996</v>
      </c>
      <c r="M135" s="373"/>
      <c r="N135" s="235">
        <f>(VLOOKUP($F135,Factors,N$384))*$H135</f>
        <v>288.77014662299996</v>
      </c>
      <c r="O135" s="373"/>
      <c r="P135" s="235">
        <f>(VLOOKUP($F135,Factors,P$384))*$H135</f>
        <v>3786.0974779459993</v>
      </c>
      <c r="Q135" s="373"/>
      <c r="R135" s="235">
        <f>(VLOOKUP($F135,Factors,R$384))*$H135</f>
        <v>160.42785923499997</v>
      </c>
      <c r="S135" s="373"/>
      <c r="T135" s="235">
        <f>(VLOOKUP($F135,Factors,T$384))*$H135</f>
        <v>14149.737184526999</v>
      </c>
      <c r="U135" s="373"/>
      <c r="V135" s="235">
        <f>(VLOOKUP($F135,Factors,V$384))*$H135</f>
        <v>0</v>
      </c>
      <c r="W135" s="236"/>
      <c r="X135" s="236"/>
      <c r="AA135" s="241" t="s">
        <v>125</v>
      </c>
      <c r="AC135" s="280">
        <f>+F135</f>
        <v>10</v>
      </c>
      <c r="AE135" s="161">
        <f>+H135</f>
        <v>320855.71846999996</v>
      </c>
      <c r="AG135" s="148">
        <f>(VLOOKUP($AC135,func,AG$384))*$AE135</f>
        <v>0</v>
      </c>
      <c r="AH135" s="148"/>
      <c r="AI135" s="148">
        <f>(VLOOKUP($AC135,func,AI$384))*$AE135</f>
        <v>0</v>
      </c>
      <c r="AJ135" s="148"/>
      <c r="AK135" s="148">
        <f>(VLOOKUP($AC135,func,AK$384))*$AE135</f>
        <v>0</v>
      </c>
      <c r="AL135" s="148"/>
      <c r="AM135" s="148">
        <f>(VLOOKUP($AC135,func,AM$384))*$AE135</f>
        <v>0</v>
      </c>
      <c r="AN135" s="148"/>
      <c r="AO135" s="148">
        <f>(VLOOKUP($AC135,func,AO$384))*$AE135</f>
        <v>306705.981285473</v>
      </c>
      <c r="AP135" s="148"/>
      <c r="AQ135" s="148">
        <f>(VLOOKUP($AC135,func,AQ$384))*$AE135</f>
        <v>0</v>
      </c>
      <c r="AR135" s="148"/>
      <c r="AS135" s="148">
        <f>(VLOOKUP($AC135,func,AS$384))*$AE135</f>
        <v>0</v>
      </c>
      <c r="AT135" s="148"/>
      <c r="AU135" s="148">
        <f>(VLOOKUP($AC135,func,AU$384))*$AE135</f>
        <v>14149.737184526999</v>
      </c>
      <c r="AV135" s="148"/>
      <c r="AW135" s="148">
        <f>(VLOOKUP($AC135,func,AW$384))*$AE135</f>
        <v>0</v>
      </c>
      <c r="AY135" s="193"/>
    </row>
    <row r="136" spans="1:51" ht="12.75">
      <c r="A136" s="306"/>
      <c r="B136" s="306"/>
      <c r="C136" s="236"/>
      <c r="D136" s="241" t="s">
        <v>177</v>
      </c>
      <c r="E136" s="310"/>
      <c r="F136" s="311"/>
      <c r="G136" s="241"/>
      <c r="H136" s="376"/>
      <c r="I136" s="219"/>
      <c r="J136" s="162"/>
      <c r="K136" s="220"/>
      <c r="L136" s="220"/>
      <c r="M136" s="220"/>
      <c r="N136" s="220"/>
      <c r="O136" s="220"/>
      <c r="P136" s="220"/>
      <c r="Q136" s="220"/>
      <c r="R136" s="220"/>
      <c r="S136" s="220"/>
      <c r="T136" s="220"/>
      <c r="U136" s="220"/>
      <c r="V136" s="220"/>
      <c r="X136" s="193"/>
      <c r="AA136" s="241" t="s">
        <v>177</v>
      </c>
      <c r="AC136" s="280"/>
      <c r="AE136" s="461"/>
      <c r="AF136" s="163"/>
      <c r="AG136" s="162"/>
      <c r="AH136" s="162"/>
      <c r="AI136" s="162"/>
      <c r="AJ136" s="162"/>
      <c r="AK136" s="162"/>
      <c r="AL136" s="162"/>
      <c r="AM136" s="162"/>
      <c r="AN136" s="162"/>
      <c r="AO136" s="162"/>
      <c r="AP136" s="162"/>
      <c r="AQ136" s="162"/>
      <c r="AR136" s="162"/>
      <c r="AS136" s="162"/>
      <c r="AT136" s="162"/>
      <c r="AU136" s="162"/>
      <c r="AV136" s="162"/>
      <c r="AW136" s="162"/>
      <c r="AY136" s="193"/>
    </row>
    <row r="137" spans="1:51" ht="12.75">
      <c r="A137" s="306"/>
      <c r="B137" s="306"/>
      <c r="C137" s="236"/>
      <c r="D137" s="241" t="s">
        <v>124</v>
      </c>
      <c r="E137" s="310"/>
      <c r="F137" s="311">
        <v>9</v>
      </c>
      <c r="G137" s="241"/>
      <c r="H137" s="376">
        <v>0</v>
      </c>
      <c r="I137" s="219"/>
      <c r="J137" s="235">
        <f>(VLOOKUP($F137,Factors,J$384))*$H137</f>
        <v>0</v>
      </c>
      <c r="K137" s="373"/>
      <c r="L137" s="235">
        <f>(VLOOKUP($F137,Factors,L$384))*$H137</f>
        <v>0</v>
      </c>
      <c r="M137" s="373"/>
      <c r="N137" s="235">
        <f>(VLOOKUP($F137,Factors,N$384))*$H137</f>
        <v>0</v>
      </c>
      <c r="O137" s="373"/>
      <c r="P137" s="235">
        <f>(VLOOKUP($F137,Factors,P$384))*$H137</f>
        <v>0</v>
      </c>
      <c r="Q137" s="373"/>
      <c r="R137" s="235">
        <f>(VLOOKUP($F137,Factors,R$384))*$H137</f>
        <v>0</v>
      </c>
      <c r="S137" s="373"/>
      <c r="T137" s="235">
        <f>(VLOOKUP($F137,Factors,T$384))*$H137</f>
        <v>0</v>
      </c>
      <c r="U137" s="373"/>
      <c r="V137" s="235">
        <f>(VLOOKUP($F137,Factors,V$384))*$H137</f>
        <v>0</v>
      </c>
      <c r="W137" s="236"/>
      <c r="X137" s="236"/>
      <c r="AA137" s="241" t="s">
        <v>124</v>
      </c>
      <c r="AC137" s="280">
        <f>+F137</f>
        <v>9</v>
      </c>
      <c r="AE137" s="161">
        <f>+H137</f>
        <v>0</v>
      </c>
      <c r="AG137" s="148">
        <f>(VLOOKUP($AC137,func,AG$384))*$AE137</f>
        <v>0</v>
      </c>
      <c r="AH137" s="148"/>
      <c r="AI137" s="148">
        <f>(VLOOKUP($AC137,func,AI$384))*$AE137</f>
        <v>0</v>
      </c>
      <c r="AJ137" s="148"/>
      <c r="AK137" s="148">
        <f>(VLOOKUP($AC137,func,AK$384))*$AE137</f>
        <v>0</v>
      </c>
      <c r="AL137" s="148"/>
      <c r="AM137" s="148">
        <f>(VLOOKUP($AC137,func,AM$384))*$AE137</f>
        <v>0</v>
      </c>
      <c r="AN137" s="148"/>
      <c r="AO137" s="148">
        <f>(VLOOKUP($AC137,func,AO$384))*$AE137</f>
        <v>0</v>
      </c>
      <c r="AP137" s="148"/>
      <c r="AQ137" s="148">
        <f>(VLOOKUP($AC137,func,AQ$384))*$AE137</f>
        <v>0</v>
      </c>
      <c r="AR137" s="148"/>
      <c r="AS137" s="148">
        <f>(VLOOKUP($AC137,func,AS$384))*$AE137</f>
        <v>0</v>
      </c>
      <c r="AT137" s="148"/>
      <c r="AU137" s="148">
        <f>(VLOOKUP($AC137,func,AU$384))*$AE137</f>
        <v>0</v>
      </c>
      <c r="AV137" s="148"/>
      <c r="AW137" s="148">
        <f>(VLOOKUP($AC137,func,AW$384))*$AE137</f>
        <v>0</v>
      </c>
      <c r="AY137" s="193"/>
    </row>
    <row r="138" spans="1:51" ht="12.75">
      <c r="A138" s="306"/>
      <c r="B138" s="306"/>
      <c r="C138" s="236"/>
      <c r="D138" s="241" t="s">
        <v>125</v>
      </c>
      <c r="E138" s="310"/>
      <c r="F138" s="311">
        <v>9</v>
      </c>
      <c r="G138" s="241"/>
      <c r="H138" s="376">
        <v>107292.73679999998</v>
      </c>
      <c r="I138" s="219"/>
      <c r="J138" s="235">
        <f>(VLOOKUP($F138,Factors,J$384))*$H138</f>
        <v>83881.46163024</v>
      </c>
      <c r="K138" s="373"/>
      <c r="L138" s="235">
        <f>(VLOOKUP($F138,Factors,L$384))*$H138</f>
        <v>18035.909056079996</v>
      </c>
      <c r="M138" s="373"/>
      <c r="N138" s="235">
        <f>(VLOOKUP($F138,Factors,N$384))*$H138</f>
        <v>493.5465892799999</v>
      </c>
      <c r="O138" s="373"/>
      <c r="P138" s="235">
        <f>(VLOOKUP($F138,Factors,P$384))*$H138</f>
        <v>3444.096851279999</v>
      </c>
      <c r="Q138" s="373"/>
      <c r="R138" s="235">
        <f>(VLOOKUP($F138,Factors,R$384))*$H138</f>
        <v>343.33675775999995</v>
      </c>
      <c r="S138" s="373"/>
      <c r="T138" s="235">
        <f>(VLOOKUP($F138,Factors,T$384))*$H138</f>
        <v>1094.38591536</v>
      </c>
      <c r="U138" s="373"/>
      <c r="V138" s="235">
        <f>(VLOOKUP($F138,Factors,V$384))*$H138</f>
        <v>0</v>
      </c>
      <c r="W138" s="236"/>
      <c r="X138" s="236"/>
      <c r="AA138" s="241" t="s">
        <v>125</v>
      </c>
      <c r="AC138" s="280">
        <f>+F138</f>
        <v>9</v>
      </c>
      <c r="AE138" s="161">
        <f>+H138</f>
        <v>107292.73679999998</v>
      </c>
      <c r="AG138" s="148">
        <f>(VLOOKUP($AC138,func,AG$384))*$AE138</f>
        <v>0</v>
      </c>
      <c r="AH138" s="148"/>
      <c r="AI138" s="148">
        <f>(VLOOKUP($AC138,func,AI$384))*$AE138</f>
        <v>0</v>
      </c>
      <c r="AJ138" s="148"/>
      <c r="AK138" s="148">
        <f>(VLOOKUP($AC138,func,AK$384))*$AE138</f>
        <v>0</v>
      </c>
      <c r="AL138" s="148"/>
      <c r="AM138" s="148">
        <f>(VLOOKUP($AC138,func,AM$384))*$AE138</f>
        <v>106198.35088464</v>
      </c>
      <c r="AN138" s="148"/>
      <c r="AO138" s="148">
        <f>(VLOOKUP($AC138,func,AO$384))*$AE138</f>
        <v>0</v>
      </c>
      <c r="AP138" s="148"/>
      <c r="AQ138" s="148">
        <f>(VLOOKUP($AC138,func,AQ$384))*$AE138</f>
        <v>0</v>
      </c>
      <c r="AR138" s="148"/>
      <c r="AS138" s="148">
        <f>(VLOOKUP($AC138,func,AS$384))*$AE138</f>
        <v>0</v>
      </c>
      <c r="AT138" s="148"/>
      <c r="AU138" s="148">
        <f>(VLOOKUP($AC138,func,AU$384))*$AE138</f>
        <v>1094.38591536</v>
      </c>
      <c r="AV138" s="148"/>
      <c r="AW138" s="148">
        <f>(VLOOKUP($AC138,func,AW$384))*$AE138</f>
        <v>0</v>
      </c>
      <c r="AY138" s="193"/>
    </row>
    <row r="139" spans="1:51" ht="12.75">
      <c r="A139" s="306"/>
      <c r="B139" s="306"/>
      <c r="C139" s="236"/>
      <c r="D139" s="241" t="s">
        <v>178</v>
      </c>
      <c r="E139" s="310"/>
      <c r="F139" s="311"/>
      <c r="G139" s="241"/>
      <c r="H139" s="376"/>
      <c r="I139" s="219"/>
      <c r="J139" s="162"/>
      <c r="K139" s="220"/>
      <c r="L139" s="162"/>
      <c r="M139" s="220"/>
      <c r="N139" s="162"/>
      <c r="O139" s="220"/>
      <c r="P139" s="162"/>
      <c r="Q139" s="220"/>
      <c r="R139" s="162"/>
      <c r="S139" s="220"/>
      <c r="T139" s="162"/>
      <c r="U139" s="220"/>
      <c r="V139" s="162"/>
      <c r="X139" s="193"/>
      <c r="AA139" s="241" t="s">
        <v>178</v>
      </c>
      <c r="AC139" s="280"/>
      <c r="AE139" s="461"/>
      <c r="AF139" s="163"/>
      <c r="AG139" s="162"/>
      <c r="AH139" s="162"/>
      <c r="AI139" s="162"/>
      <c r="AJ139" s="162"/>
      <c r="AK139" s="162"/>
      <c r="AL139" s="162"/>
      <c r="AM139" s="162"/>
      <c r="AN139" s="162"/>
      <c r="AO139" s="162"/>
      <c r="AP139" s="162"/>
      <c r="AQ139" s="162"/>
      <c r="AR139" s="162"/>
      <c r="AS139" s="162"/>
      <c r="AT139" s="162"/>
      <c r="AU139" s="162"/>
      <c r="AV139" s="162"/>
      <c r="AW139" s="162"/>
      <c r="AY139" s="193"/>
    </row>
    <row r="140" spans="1:51" ht="12.75">
      <c r="A140" s="306"/>
      <c r="B140" s="306"/>
      <c r="C140" s="236"/>
      <c r="D140" s="241" t="s">
        <v>124</v>
      </c>
      <c r="E140" s="310"/>
      <c r="F140" s="311">
        <v>8</v>
      </c>
      <c r="G140" s="241"/>
      <c r="H140" s="376">
        <v>0</v>
      </c>
      <c r="I140" s="219"/>
      <c r="J140" s="235">
        <f>(VLOOKUP($F140,Factors,J$384))*$H140</f>
        <v>0</v>
      </c>
      <c r="K140" s="373"/>
      <c r="L140" s="235">
        <f>(VLOOKUP($F140,Factors,L$384))*$H140</f>
        <v>0</v>
      </c>
      <c r="M140" s="373"/>
      <c r="N140" s="235">
        <f>(VLOOKUP($F140,Factors,N$384))*$H140</f>
        <v>0</v>
      </c>
      <c r="O140" s="373"/>
      <c r="P140" s="235">
        <f>(VLOOKUP($F140,Factors,P$384))*$H140</f>
        <v>0</v>
      </c>
      <c r="Q140" s="373"/>
      <c r="R140" s="235">
        <f>(VLOOKUP($F140,Factors,R$384))*$H140</f>
        <v>0</v>
      </c>
      <c r="S140" s="373"/>
      <c r="T140" s="235">
        <f>(VLOOKUP($F140,Factors,T$384))*$H140</f>
        <v>0</v>
      </c>
      <c r="U140" s="373"/>
      <c r="V140" s="235">
        <f>(VLOOKUP($F140,Factors,V$384))*$H140</f>
        <v>0</v>
      </c>
      <c r="W140" s="236"/>
      <c r="X140" s="236"/>
      <c r="AA140" s="241" t="s">
        <v>124</v>
      </c>
      <c r="AC140" s="280">
        <f>+F140</f>
        <v>8</v>
      </c>
      <c r="AE140" s="161">
        <f>+H140</f>
        <v>0</v>
      </c>
      <c r="AG140" s="148">
        <f>(VLOOKUP($AC140,func,AG$384))*$AE140</f>
        <v>0</v>
      </c>
      <c r="AH140" s="148"/>
      <c r="AI140" s="148">
        <f>(VLOOKUP($AC140,func,AI$384))*$AE140</f>
        <v>0</v>
      </c>
      <c r="AJ140" s="148"/>
      <c r="AK140" s="148">
        <f>(VLOOKUP($AC140,func,AK$384))*$AE140</f>
        <v>0</v>
      </c>
      <c r="AL140" s="148"/>
      <c r="AM140" s="148">
        <f>(VLOOKUP($AC140,func,AM$384))*$AE140</f>
        <v>0</v>
      </c>
      <c r="AN140" s="148"/>
      <c r="AO140" s="148">
        <f>(VLOOKUP($AC140,func,AO$384))*$AE140</f>
        <v>0</v>
      </c>
      <c r="AP140" s="148"/>
      <c r="AQ140" s="148">
        <f>(VLOOKUP($AC140,func,AQ$384))*$AE140</f>
        <v>0</v>
      </c>
      <c r="AR140" s="148"/>
      <c r="AS140" s="148">
        <f>(VLOOKUP($AC140,func,AS$384))*$AE140</f>
        <v>0</v>
      </c>
      <c r="AT140" s="148"/>
      <c r="AU140" s="148">
        <f>(VLOOKUP($AC140,func,AU$384))*$AE140</f>
        <v>0</v>
      </c>
      <c r="AV140" s="148"/>
      <c r="AW140" s="148">
        <f>(VLOOKUP($AC140,func,AW$384))*$AE140</f>
        <v>0</v>
      </c>
      <c r="AY140" s="193"/>
    </row>
    <row r="141" spans="1:51" ht="12.75">
      <c r="A141" s="306"/>
      <c r="B141" s="306"/>
      <c r="C141" s="236"/>
      <c r="D141" s="241" t="s">
        <v>125</v>
      </c>
      <c r="E141" s="310"/>
      <c r="F141" s="311">
        <v>8</v>
      </c>
      <c r="G141" s="241"/>
      <c r="H141" s="376">
        <v>0</v>
      </c>
      <c r="I141" s="219"/>
      <c r="J141" s="235">
        <f>(VLOOKUP($F141,Factors,J$384))*$H141</f>
        <v>0</v>
      </c>
      <c r="K141" s="373"/>
      <c r="L141" s="235">
        <f>(VLOOKUP($F141,Factors,L$384))*$H141</f>
        <v>0</v>
      </c>
      <c r="M141" s="373"/>
      <c r="N141" s="235">
        <f>(VLOOKUP($F141,Factors,N$384))*$H141</f>
        <v>0</v>
      </c>
      <c r="O141" s="373"/>
      <c r="P141" s="235">
        <f>(VLOOKUP($F141,Factors,P$384))*$H141</f>
        <v>0</v>
      </c>
      <c r="Q141" s="373"/>
      <c r="R141" s="235">
        <f>(VLOOKUP($F141,Factors,R$384))*$H141</f>
        <v>0</v>
      </c>
      <c r="S141" s="373"/>
      <c r="T141" s="235">
        <f>(VLOOKUP($F141,Factors,T$384))*$H141</f>
        <v>0</v>
      </c>
      <c r="U141" s="373"/>
      <c r="V141" s="235">
        <f>(VLOOKUP($F141,Factors,V$384))*$H141</f>
        <v>0</v>
      </c>
      <c r="W141" s="236"/>
      <c r="X141" s="236"/>
      <c r="AA141" s="241" t="s">
        <v>125</v>
      </c>
      <c r="AC141" s="280">
        <f>+F141</f>
        <v>8</v>
      </c>
      <c r="AE141" s="161">
        <f>+H141</f>
        <v>0</v>
      </c>
      <c r="AG141" s="148">
        <f>(VLOOKUP($AC141,func,AG$384))*$AE141</f>
        <v>0</v>
      </c>
      <c r="AH141" s="148"/>
      <c r="AI141" s="148">
        <f>(VLOOKUP($AC141,func,AI$384))*$AE141</f>
        <v>0</v>
      </c>
      <c r="AJ141" s="148"/>
      <c r="AK141" s="148">
        <f>(VLOOKUP($AC141,func,AK$384))*$AE141</f>
        <v>0</v>
      </c>
      <c r="AL141" s="148"/>
      <c r="AM141" s="148">
        <f>(VLOOKUP($AC141,func,AM$384))*$AE141</f>
        <v>0</v>
      </c>
      <c r="AN141" s="148"/>
      <c r="AO141" s="148">
        <f>(VLOOKUP($AC141,func,AO$384))*$AE141</f>
        <v>0</v>
      </c>
      <c r="AP141" s="148"/>
      <c r="AQ141" s="148">
        <f>(VLOOKUP($AC141,func,AQ$384))*$AE141</f>
        <v>0</v>
      </c>
      <c r="AR141" s="148"/>
      <c r="AS141" s="148">
        <f>(VLOOKUP($AC141,func,AS$384))*$AE141</f>
        <v>0</v>
      </c>
      <c r="AT141" s="148"/>
      <c r="AU141" s="148">
        <f>(VLOOKUP($AC141,func,AU$384))*$AE141</f>
        <v>0</v>
      </c>
      <c r="AV141" s="148"/>
      <c r="AW141" s="148">
        <f>(VLOOKUP($AC141,func,AW$384))*$AE141</f>
        <v>0</v>
      </c>
      <c r="AY141" s="193"/>
    </row>
    <row r="142" spans="1:51" ht="12.75">
      <c r="A142" s="306"/>
      <c r="B142" s="306"/>
      <c r="C142" s="236"/>
      <c r="D142" s="241" t="s">
        <v>179</v>
      </c>
      <c r="E142" s="310"/>
      <c r="F142" s="311"/>
      <c r="G142" s="241"/>
      <c r="H142" s="376"/>
      <c r="I142" s="219"/>
      <c r="J142" s="162"/>
      <c r="K142" s="220"/>
      <c r="L142" s="162"/>
      <c r="M142" s="220"/>
      <c r="N142" s="162"/>
      <c r="O142" s="220"/>
      <c r="P142" s="162"/>
      <c r="Q142" s="220"/>
      <c r="R142" s="162"/>
      <c r="S142" s="220"/>
      <c r="T142" s="162"/>
      <c r="U142" s="220"/>
      <c r="V142" s="162"/>
      <c r="X142" s="193"/>
      <c r="AA142" s="241" t="s">
        <v>179</v>
      </c>
      <c r="AC142" s="280"/>
      <c r="AE142" s="461"/>
      <c r="AF142" s="163"/>
      <c r="AG142" s="162"/>
      <c r="AH142" s="162"/>
      <c r="AI142" s="162"/>
      <c r="AJ142" s="162"/>
      <c r="AK142" s="162"/>
      <c r="AL142" s="162"/>
      <c r="AM142" s="162"/>
      <c r="AN142" s="162"/>
      <c r="AO142" s="162"/>
      <c r="AP142" s="162"/>
      <c r="AQ142" s="162"/>
      <c r="AR142" s="162"/>
      <c r="AS142" s="162"/>
      <c r="AT142" s="162"/>
      <c r="AU142" s="162"/>
      <c r="AV142" s="162"/>
      <c r="AW142" s="162"/>
      <c r="AY142" s="193"/>
    </row>
    <row r="143" spans="1:51" ht="12.75">
      <c r="A143" s="306"/>
      <c r="B143" s="306"/>
      <c r="C143" s="236"/>
      <c r="D143" s="241" t="s">
        <v>124</v>
      </c>
      <c r="E143" s="310"/>
      <c r="F143" s="311">
        <v>12</v>
      </c>
      <c r="G143" s="241"/>
      <c r="H143" s="376">
        <v>376070</v>
      </c>
      <c r="I143" s="219"/>
      <c r="J143" s="235">
        <f>(VLOOKUP($F143,Factors,J$384))*$H143</f>
        <v>205334.22</v>
      </c>
      <c r="K143" s="373"/>
      <c r="L143" s="235">
        <f>(VLOOKUP($F143,Factors,L$384))*$H143</f>
        <v>85631.13900000001</v>
      </c>
      <c r="M143" s="373"/>
      <c r="N143" s="235">
        <f>(VLOOKUP($F143,Factors,N$384))*$H143</f>
        <v>8461.574999999999</v>
      </c>
      <c r="O143" s="373"/>
      <c r="P143" s="235">
        <f>(VLOOKUP($F143,Factors,P$384))*$H143</f>
        <v>26174.471999999998</v>
      </c>
      <c r="Q143" s="373"/>
      <c r="R143" s="235">
        <f>(VLOOKUP($F143,Factors,R$384))*$H143</f>
        <v>6957.295</v>
      </c>
      <c r="S143" s="373"/>
      <c r="T143" s="235">
        <f>(VLOOKUP($F143,Factors,T$384))*$H143</f>
        <v>21548.810999999998</v>
      </c>
      <c r="U143" s="373"/>
      <c r="V143" s="235">
        <f>(VLOOKUP($F143,Factors,V$384))*$H143</f>
        <v>21962.488</v>
      </c>
      <c r="W143" s="236"/>
      <c r="X143" s="236"/>
      <c r="AA143" s="241" t="s">
        <v>124</v>
      </c>
      <c r="AC143" s="280">
        <f>+F143</f>
        <v>12</v>
      </c>
      <c r="AE143" s="161">
        <f>+H143</f>
        <v>376070</v>
      </c>
      <c r="AG143" s="148">
        <f>(VLOOKUP($AC143,func,AG$384))*$AE143</f>
        <v>101689.32800000001</v>
      </c>
      <c r="AH143" s="148"/>
      <c r="AI143" s="148">
        <f>(VLOOKUP($AC143,func,AI$384))*$AE143</f>
        <v>16396.652</v>
      </c>
      <c r="AJ143" s="148"/>
      <c r="AK143" s="148">
        <f>(VLOOKUP($AC143,func,AK$384))*$AE143</f>
        <v>115603.918</v>
      </c>
      <c r="AL143" s="148"/>
      <c r="AM143" s="148">
        <f>(VLOOKUP($AC143,func,AM$384))*$AE143</f>
        <v>25422.332</v>
      </c>
      <c r="AN143" s="148"/>
      <c r="AO143" s="148">
        <f>(VLOOKUP($AC143,func,AO$384))*$AE143</f>
        <v>73446.471</v>
      </c>
      <c r="AP143" s="148"/>
      <c r="AQ143" s="148">
        <f>(VLOOKUP($AC143,func,AQ$384))*$AE143</f>
        <v>0</v>
      </c>
      <c r="AR143" s="148"/>
      <c r="AS143" s="148">
        <f>(VLOOKUP($AC143,func,AS$384))*$AE143</f>
        <v>0</v>
      </c>
      <c r="AT143" s="148"/>
      <c r="AU143" s="148">
        <f>(VLOOKUP($AC143,func,AU$384))*$AE143</f>
        <v>21548.810999999998</v>
      </c>
      <c r="AV143" s="148"/>
      <c r="AW143" s="148">
        <f>(VLOOKUP($AC143,func,AW$384))*$AE143</f>
        <v>21962.488</v>
      </c>
      <c r="AY143" s="193"/>
    </row>
    <row r="144" spans="1:51" ht="12.75">
      <c r="A144" s="306"/>
      <c r="B144" s="306"/>
      <c r="C144" s="236"/>
      <c r="D144" s="241" t="s">
        <v>125</v>
      </c>
      <c r="E144" s="310"/>
      <c r="F144" s="311">
        <v>12</v>
      </c>
      <c r="G144" s="241"/>
      <c r="H144" s="469">
        <v>0</v>
      </c>
      <c r="I144" s="219"/>
      <c r="J144" s="468">
        <f>(VLOOKUP($F144,Factors,J$384))*$H144</f>
        <v>0</v>
      </c>
      <c r="K144" s="219"/>
      <c r="L144" s="468">
        <f>(VLOOKUP($F144,Factors,L$384))*$H144</f>
        <v>0</v>
      </c>
      <c r="M144" s="219"/>
      <c r="N144" s="468">
        <f>(VLOOKUP($F144,Factors,N$384))*$H144</f>
        <v>0</v>
      </c>
      <c r="O144" s="219"/>
      <c r="P144" s="468">
        <f>(VLOOKUP($F144,Factors,P$384))*$H144</f>
        <v>0</v>
      </c>
      <c r="Q144" s="219"/>
      <c r="R144" s="468">
        <f>(VLOOKUP($F144,Factors,R$384))*$H144</f>
        <v>0</v>
      </c>
      <c r="S144" s="219"/>
      <c r="T144" s="468">
        <f>(VLOOKUP($F144,Factors,T$384))*$H144</f>
        <v>0</v>
      </c>
      <c r="U144" s="219"/>
      <c r="V144" s="468">
        <f>(VLOOKUP($F144,Factors,V$384))*$H144</f>
        <v>0</v>
      </c>
      <c r="W144" s="219"/>
      <c r="X144" s="236"/>
      <c r="AA144" s="241" t="s">
        <v>125</v>
      </c>
      <c r="AC144" s="280">
        <f>+F144</f>
        <v>12</v>
      </c>
      <c r="AE144" s="317">
        <f>+H144</f>
        <v>0</v>
      </c>
      <c r="AG144" s="149">
        <f>(VLOOKUP($AC144,func,AG$384))*$AE144</f>
        <v>0</v>
      </c>
      <c r="AI144" s="149">
        <f>(VLOOKUP($AC144,func,AI$384))*$AE144</f>
        <v>0</v>
      </c>
      <c r="AK144" s="149">
        <f>(VLOOKUP($AC144,func,AK$384))*$AE144</f>
        <v>0</v>
      </c>
      <c r="AM144" s="149">
        <f>(VLOOKUP($AC144,func,AM$384))*$AE144</f>
        <v>0</v>
      </c>
      <c r="AO144" s="149">
        <f>(VLOOKUP($AC144,func,AO$384))*$AE144</f>
        <v>0</v>
      </c>
      <c r="AQ144" s="149">
        <f>(VLOOKUP($AC144,func,AQ$384))*$AE144</f>
        <v>0</v>
      </c>
      <c r="AS144" s="149">
        <f>(VLOOKUP($AC144,func,AS$384))*$AE144</f>
        <v>0</v>
      </c>
      <c r="AU144" s="149">
        <f>(VLOOKUP($AC144,func,AU$384))*$AE144</f>
        <v>0</v>
      </c>
      <c r="AW144" s="149">
        <f>(VLOOKUP($AC144,func,AW$384))*$AE144</f>
        <v>0</v>
      </c>
      <c r="AY144" s="193"/>
    </row>
    <row r="145" spans="1:51" ht="12.75">
      <c r="A145" s="306"/>
      <c r="B145" s="306"/>
      <c r="C145" s="236"/>
      <c r="D145" s="241"/>
      <c r="E145" s="310"/>
      <c r="F145" s="311"/>
      <c r="G145" s="241"/>
      <c r="H145" s="376"/>
      <c r="I145" s="219"/>
      <c r="J145" s="162"/>
      <c r="K145" s="219"/>
      <c r="L145" s="162"/>
      <c r="M145" s="219"/>
      <c r="N145" s="162"/>
      <c r="O145" s="219"/>
      <c r="P145" s="162"/>
      <c r="Q145" s="219"/>
      <c r="R145" s="162"/>
      <c r="S145" s="219"/>
      <c r="T145" s="162"/>
      <c r="U145" s="219"/>
      <c r="V145" s="162"/>
      <c r="W145" s="219"/>
      <c r="X145" s="193"/>
      <c r="AA145" s="241"/>
      <c r="AC145" s="280"/>
      <c r="AE145" s="461"/>
      <c r="AF145" s="163"/>
      <c r="AG145" s="162"/>
      <c r="AH145" s="163"/>
      <c r="AI145" s="162"/>
      <c r="AJ145" s="163"/>
      <c r="AK145" s="162"/>
      <c r="AL145" s="163"/>
      <c r="AM145" s="162"/>
      <c r="AN145" s="163"/>
      <c r="AO145" s="162"/>
      <c r="AP145" s="163"/>
      <c r="AQ145" s="162"/>
      <c r="AR145" s="163"/>
      <c r="AS145" s="162"/>
      <c r="AT145" s="163"/>
      <c r="AU145" s="162"/>
      <c r="AV145" s="163"/>
      <c r="AW145" s="162"/>
      <c r="AY145" s="193"/>
    </row>
    <row r="146" spans="1:51" ht="12.75">
      <c r="A146" s="306"/>
      <c r="B146" s="306"/>
      <c r="C146" s="236"/>
      <c r="D146" s="241" t="s">
        <v>138</v>
      </c>
      <c r="E146" s="310"/>
      <c r="F146" s="311"/>
      <c r="G146" s="241"/>
      <c r="H146" s="376">
        <f>SUM(H123:H145)</f>
        <v>1946878.2263310885</v>
      </c>
      <c r="I146" s="241"/>
      <c r="J146" s="376">
        <f>SUM(J123:J145)</f>
        <v>1062963.585806718</v>
      </c>
      <c r="K146" s="241"/>
      <c r="L146" s="376">
        <f>SUM(L123:L145)</f>
        <v>443311.7815323913</v>
      </c>
      <c r="M146" s="241"/>
      <c r="N146" s="376">
        <f>SUM(N123:N145)</f>
        <v>43874.57908367562</v>
      </c>
      <c r="O146" s="241"/>
      <c r="P146" s="376">
        <f>SUM(P123:P145)</f>
        <v>135467.43775345836</v>
      </c>
      <c r="Q146" s="241"/>
      <c r="R146" s="376">
        <f>SUM(R123:R145)</f>
        <v>36010.14274041053</v>
      </c>
      <c r="S146" s="241"/>
      <c r="T146" s="376">
        <f>SUM(T123:T145)</f>
        <v>111483.80388652298</v>
      </c>
      <c r="U146" s="241"/>
      <c r="V146" s="376">
        <f>SUM(V123:V145)</f>
        <v>113766.8955279118</v>
      </c>
      <c r="W146" s="241"/>
      <c r="X146" s="193"/>
      <c r="AA146" s="241" t="s">
        <v>138</v>
      </c>
      <c r="AB146" s="310"/>
      <c r="AC146" s="311"/>
      <c r="AD146" s="241"/>
      <c r="AE146" s="469">
        <f>SUM(AE123:AE145)</f>
        <v>1946878.2263310885</v>
      </c>
      <c r="AF146" s="241"/>
      <c r="AG146" s="469">
        <f>SUM(AG123:AG145)</f>
        <v>526541.1819173212</v>
      </c>
      <c r="AH146" s="241"/>
      <c r="AI146" s="469">
        <f>SUM(AI123:AI145)</f>
        <v>84829.48585640993</v>
      </c>
      <c r="AJ146" s="241"/>
      <c r="AK146" s="469">
        <f>SUM(AK123:AK145)</f>
        <v>598483.7239728096</v>
      </c>
      <c r="AL146" s="241"/>
      <c r="AM146" s="469">
        <f>SUM(AM123:AM145)</f>
        <v>131620.68288464</v>
      </c>
      <c r="AN146" s="241"/>
      <c r="AO146" s="469">
        <f>SUM(AO123:AO145)</f>
        <v>380152.452285473</v>
      </c>
      <c r="AP146" s="241"/>
      <c r="AQ146" s="469">
        <f>SUM(AQ123:AQ145)</f>
        <v>0</v>
      </c>
      <c r="AR146" s="241"/>
      <c r="AS146" s="469">
        <f>SUM(AS123:AS145)</f>
        <v>0</v>
      </c>
      <c r="AT146" s="241"/>
      <c r="AU146" s="469">
        <f>SUM(AU123:AU145)</f>
        <v>111483.80388652298</v>
      </c>
      <c r="AV146" s="241"/>
      <c r="AW146" s="469">
        <f>SUM(AW123:AW145)</f>
        <v>113766.8955279118</v>
      </c>
      <c r="AY146" s="193"/>
    </row>
    <row r="147" spans="1:51" ht="12.75">
      <c r="A147" s="306"/>
      <c r="B147" s="306"/>
      <c r="C147" s="236"/>
      <c r="D147" s="241"/>
      <c r="E147" s="310"/>
      <c r="F147" s="311"/>
      <c r="G147" s="241"/>
      <c r="H147" s="376"/>
      <c r="I147" s="241"/>
      <c r="J147" s="376"/>
      <c r="K147" s="241"/>
      <c r="L147" s="376"/>
      <c r="M147" s="241"/>
      <c r="N147" s="376"/>
      <c r="O147" s="241"/>
      <c r="P147" s="376"/>
      <c r="Q147" s="241"/>
      <c r="R147" s="376"/>
      <c r="S147" s="241"/>
      <c r="T147" s="376"/>
      <c r="U147" s="241"/>
      <c r="V147" s="376"/>
      <c r="W147" s="241"/>
      <c r="X147" s="193"/>
      <c r="AA147" s="241"/>
      <c r="AB147" s="310"/>
      <c r="AC147" s="311"/>
      <c r="AD147" s="241"/>
      <c r="AE147" s="376"/>
      <c r="AF147" s="241"/>
      <c r="AG147" s="376"/>
      <c r="AH147" s="241"/>
      <c r="AI147" s="376"/>
      <c r="AJ147" s="241"/>
      <c r="AK147" s="376"/>
      <c r="AL147" s="241"/>
      <c r="AM147" s="376"/>
      <c r="AN147" s="241"/>
      <c r="AO147" s="376"/>
      <c r="AP147" s="241"/>
      <c r="AQ147" s="376"/>
      <c r="AR147" s="241"/>
      <c r="AS147" s="376"/>
      <c r="AT147" s="241"/>
      <c r="AU147" s="376"/>
      <c r="AV147" s="241"/>
      <c r="AW147" s="376"/>
      <c r="AY147" s="193"/>
    </row>
    <row r="148" spans="1:51" ht="12.75">
      <c r="A148" s="306"/>
      <c r="B148" s="306"/>
      <c r="C148" s="236"/>
      <c r="D148" s="241" t="s">
        <v>180</v>
      </c>
      <c r="E148" s="310"/>
      <c r="F148" s="311"/>
      <c r="G148" s="241"/>
      <c r="H148" s="376">
        <f>H146+H119</f>
        <v>4047177.13143914</v>
      </c>
      <c r="I148" s="241"/>
      <c r="J148" s="376">
        <f>J146+J119</f>
        <v>2013448.947265562</v>
      </c>
      <c r="K148" s="241"/>
      <c r="L148" s="376">
        <f>L146+L119</f>
        <v>1018903.6045250576</v>
      </c>
      <c r="M148" s="241"/>
      <c r="N148" s="376">
        <f>N146+N119</f>
        <v>109403.90492304682</v>
      </c>
      <c r="O148" s="241"/>
      <c r="P148" s="376">
        <f>P146+P119</f>
        <v>329114.9968044207</v>
      </c>
      <c r="Q148" s="241"/>
      <c r="R148" s="376">
        <f>R146+R119</f>
        <v>90407.88438270906</v>
      </c>
      <c r="S148" s="241"/>
      <c r="T148" s="376">
        <f>T146+T119</f>
        <v>228470.45290104143</v>
      </c>
      <c r="U148" s="241"/>
      <c r="V148" s="376">
        <f>V146+V119</f>
        <v>257427.3406373025</v>
      </c>
      <c r="W148" s="241"/>
      <c r="X148" s="193"/>
      <c r="AA148" s="241" t="s">
        <v>180</v>
      </c>
      <c r="AB148" s="310"/>
      <c r="AC148" s="311"/>
      <c r="AD148" s="241"/>
      <c r="AE148" s="376">
        <f>AE146+AE119</f>
        <v>4047177.13143914</v>
      </c>
      <c r="AF148" s="241"/>
      <c r="AG148" s="376">
        <f>AG146+AG119</f>
        <v>1344397.5755663966</v>
      </c>
      <c r="AH148" s="241"/>
      <c r="AI148" s="376">
        <f>AI146+AI119</f>
        <v>246762.53144024068</v>
      </c>
      <c r="AJ148" s="241"/>
      <c r="AK148" s="376">
        <f>AK146+AK119</f>
        <v>1458346.0957240458</v>
      </c>
      <c r="AL148" s="241"/>
      <c r="AM148" s="376">
        <f>AM146+AM119</f>
        <v>131620.68288464</v>
      </c>
      <c r="AN148" s="241"/>
      <c r="AO148" s="376">
        <f>AO146+AO119</f>
        <v>380152.452285473</v>
      </c>
      <c r="AP148" s="241"/>
      <c r="AQ148" s="376">
        <f>AQ146+AQ119</f>
        <v>0</v>
      </c>
      <c r="AR148" s="241"/>
      <c r="AS148" s="376">
        <f>AS146+AS119</f>
        <v>0</v>
      </c>
      <c r="AT148" s="241"/>
      <c r="AU148" s="376">
        <f>AU146+AU119</f>
        <v>228470.45290104143</v>
      </c>
      <c r="AV148" s="241"/>
      <c r="AW148" s="376">
        <f>AW146+AW119</f>
        <v>257427.3406373025</v>
      </c>
      <c r="AY148" s="193"/>
    </row>
    <row r="149" spans="1:51" ht="12.75">
      <c r="A149" s="306"/>
      <c r="B149" s="306"/>
      <c r="C149" s="236"/>
      <c r="D149" s="241"/>
      <c r="E149" s="310"/>
      <c r="F149" s="311"/>
      <c r="G149" s="241"/>
      <c r="H149" s="376"/>
      <c r="I149" s="219"/>
      <c r="J149" s="162"/>
      <c r="K149" s="220"/>
      <c r="L149" s="162"/>
      <c r="M149" s="220"/>
      <c r="N149" s="162"/>
      <c r="O149" s="220"/>
      <c r="P149" s="162"/>
      <c r="Q149" s="220"/>
      <c r="R149" s="162"/>
      <c r="S149" s="220"/>
      <c r="T149" s="162"/>
      <c r="U149" s="220"/>
      <c r="V149" s="162"/>
      <c r="X149" s="193"/>
      <c r="AA149" s="241"/>
      <c r="AC149" s="280"/>
      <c r="AE149" s="461"/>
      <c r="AF149" s="163"/>
      <c r="AG149" s="162"/>
      <c r="AH149" s="162"/>
      <c r="AI149" s="162"/>
      <c r="AJ149" s="162"/>
      <c r="AK149" s="162"/>
      <c r="AL149" s="162"/>
      <c r="AM149" s="162"/>
      <c r="AN149" s="162"/>
      <c r="AO149" s="162"/>
      <c r="AP149" s="162"/>
      <c r="AQ149" s="162"/>
      <c r="AR149" s="162"/>
      <c r="AS149" s="162"/>
      <c r="AT149" s="162"/>
      <c r="AU149" s="162"/>
      <c r="AV149" s="162"/>
      <c r="AW149" s="162"/>
      <c r="AY149" s="193"/>
    </row>
    <row r="150" spans="1:51" ht="12.75">
      <c r="A150" s="306"/>
      <c r="B150" s="306"/>
      <c r="C150" s="236"/>
      <c r="D150" s="241" t="s">
        <v>600</v>
      </c>
      <c r="E150" s="310"/>
      <c r="F150" s="311"/>
      <c r="G150" s="241"/>
      <c r="H150" s="376"/>
      <c r="I150" s="219"/>
      <c r="J150" s="162"/>
      <c r="K150" s="220"/>
      <c r="L150" s="162"/>
      <c r="M150" s="220"/>
      <c r="N150" s="162"/>
      <c r="O150" s="220"/>
      <c r="P150" s="162"/>
      <c r="Q150" s="220"/>
      <c r="R150" s="162"/>
      <c r="S150" s="220"/>
      <c r="T150" s="162"/>
      <c r="U150" s="220"/>
      <c r="V150" s="162"/>
      <c r="X150" s="193"/>
      <c r="AA150" s="241" t="s">
        <v>600</v>
      </c>
      <c r="AC150" s="280"/>
      <c r="AE150" s="461"/>
      <c r="AF150" s="163"/>
      <c r="AG150" s="162"/>
      <c r="AH150" s="162"/>
      <c r="AI150" s="162"/>
      <c r="AJ150" s="162"/>
      <c r="AK150" s="162"/>
      <c r="AL150" s="162"/>
      <c r="AM150" s="162"/>
      <c r="AN150" s="162"/>
      <c r="AO150" s="162"/>
      <c r="AP150" s="162"/>
      <c r="AQ150" s="162"/>
      <c r="AR150" s="162"/>
      <c r="AS150" s="162"/>
      <c r="AT150" s="162"/>
      <c r="AU150" s="162"/>
      <c r="AV150" s="162"/>
      <c r="AW150" s="162"/>
      <c r="AY150" s="193"/>
    </row>
    <row r="151" spans="1:51" ht="12.75">
      <c r="A151" s="306"/>
      <c r="B151" s="306"/>
      <c r="C151" s="236"/>
      <c r="D151" s="241" t="s">
        <v>181</v>
      </c>
      <c r="E151" s="310"/>
      <c r="F151" s="311">
        <v>13</v>
      </c>
      <c r="G151" s="241"/>
      <c r="H151" s="376">
        <v>62111.798517241376</v>
      </c>
      <c r="I151" s="219"/>
      <c r="J151" s="235">
        <f>(VLOOKUP($F151,Factors,J$384))*$H151</f>
        <v>55795.02860803793</v>
      </c>
      <c r="K151" s="373"/>
      <c r="L151" s="235">
        <f>(VLOOKUP($F151,Factors,L$384))*$H151</f>
        <v>4546.583651462069</v>
      </c>
      <c r="M151" s="373"/>
      <c r="N151" s="235">
        <f>(VLOOKUP($F151,Factors,N$384))*$H151</f>
        <v>24.84471940689655</v>
      </c>
      <c r="O151" s="373"/>
      <c r="P151" s="235">
        <f>(VLOOKUP($F151,Factors,P$384))*$H151</f>
        <v>378.8819709551724</v>
      </c>
      <c r="Q151" s="373"/>
      <c r="R151" s="235">
        <f>(VLOOKUP($F151,Factors,R$384))*$H151</f>
        <v>12.422359703448276</v>
      </c>
      <c r="S151" s="373"/>
      <c r="T151" s="235">
        <f>(VLOOKUP($F151,Factors,T$384))*$H151</f>
        <v>1335.4036681206894</v>
      </c>
      <c r="U151" s="373"/>
      <c r="V151" s="235">
        <f>(VLOOKUP($F151,Factors,V$384))*$H151</f>
        <v>18.633539555172412</v>
      </c>
      <c r="W151" s="236"/>
      <c r="X151" s="236"/>
      <c r="AA151" s="241" t="s">
        <v>181</v>
      </c>
      <c r="AC151" s="280">
        <f>+F151</f>
        <v>13</v>
      </c>
      <c r="AE151" s="161">
        <f>+H151</f>
        <v>62111.798517241376</v>
      </c>
      <c r="AG151" s="148">
        <f>(VLOOKUP($AC151,func,AG$384))*$AE151</f>
        <v>0</v>
      </c>
      <c r="AH151" s="148"/>
      <c r="AI151" s="148">
        <f>(VLOOKUP($AC151,func,AI$384))*$AE151</f>
        <v>0</v>
      </c>
      <c r="AJ151" s="148"/>
      <c r="AK151" s="148">
        <f>(VLOOKUP($AC151,func,AK$384))*$AE151</f>
        <v>0</v>
      </c>
      <c r="AL151" s="148"/>
      <c r="AM151" s="148">
        <f>(VLOOKUP($AC151,func,AM$384))*$AE151</f>
        <v>0</v>
      </c>
      <c r="AN151" s="148"/>
      <c r="AO151" s="148">
        <f>(VLOOKUP($AC151,func,AO$384))*$AE151</f>
        <v>0</v>
      </c>
      <c r="AP151" s="148"/>
      <c r="AQ151" s="148">
        <f>(VLOOKUP($AC151,func,AQ$384))*$AE151</f>
        <v>60757.76130956552</v>
      </c>
      <c r="AR151" s="148"/>
      <c r="AS151" s="148">
        <f>(VLOOKUP($AC151,func,AS$384))*$AE151</f>
        <v>0</v>
      </c>
      <c r="AT151" s="148"/>
      <c r="AU151" s="148">
        <f>(VLOOKUP($AC151,func,AU$384))*$AE151</f>
        <v>1335.4036681206894</v>
      </c>
      <c r="AV151" s="148"/>
      <c r="AW151" s="148">
        <f>(VLOOKUP($AC151,func,AW$384))*$AE151</f>
        <v>18.633539555172412</v>
      </c>
      <c r="AY151" s="193"/>
    </row>
    <row r="152" spans="1:51" ht="12.75">
      <c r="A152" s="306"/>
      <c r="B152" s="306"/>
      <c r="C152" s="236"/>
      <c r="D152" s="241" t="s">
        <v>182</v>
      </c>
      <c r="E152" s="310"/>
      <c r="F152" s="311"/>
      <c r="G152" s="241"/>
      <c r="H152" s="376"/>
      <c r="I152" s="219"/>
      <c r="J152" s="162"/>
      <c r="K152" s="220"/>
      <c r="L152" s="162"/>
      <c r="M152" s="220"/>
      <c r="N152" s="162"/>
      <c r="O152" s="220"/>
      <c r="P152" s="162"/>
      <c r="Q152" s="220"/>
      <c r="R152" s="162"/>
      <c r="S152" s="220"/>
      <c r="T152" s="162"/>
      <c r="U152" s="220"/>
      <c r="V152" s="162"/>
      <c r="X152" s="193"/>
      <c r="AA152" s="241" t="s">
        <v>182</v>
      </c>
      <c r="AC152" s="280"/>
      <c r="AE152" s="461"/>
      <c r="AF152" s="163"/>
      <c r="AG152" s="162"/>
      <c r="AH152" s="162"/>
      <c r="AI152" s="162"/>
      <c r="AJ152" s="162"/>
      <c r="AK152" s="162"/>
      <c r="AL152" s="162"/>
      <c r="AM152" s="162"/>
      <c r="AN152" s="162"/>
      <c r="AO152" s="162"/>
      <c r="AP152" s="162"/>
      <c r="AQ152" s="162"/>
      <c r="AR152" s="162"/>
      <c r="AS152" s="162"/>
      <c r="AT152" s="162"/>
      <c r="AU152" s="162"/>
      <c r="AV152" s="162"/>
      <c r="AW152" s="162"/>
      <c r="AY152" s="193"/>
    </row>
    <row r="153" spans="1:51" ht="12.75">
      <c r="A153" s="306"/>
      <c r="B153" s="306"/>
      <c r="C153" s="236"/>
      <c r="D153" s="241" t="s">
        <v>124</v>
      </c>
      <c r="E153" s="310"/>
      <c r="F153" s="311">
        <v>14</v>
      </c>
      <c r="G153" s="241"/>
      <c r="H153" s="376">
        <v>0</v>
      </c>
      <c r="I153" s="219"/>
      <c r="J153" s="235">
        <f>(VLOOKUP($F153,Factors,J$384))*$H153</f>
        <v>0</v>
      </c>
      <c r="K153" s="373"/>
      <c r="L153" s="235">
        <f>(VLOOKUP($F153,Factors,L$384))*$H153</f>
        <v>0</v>
      </c>
      <c r="M153" s="373"/>
      <c r="N153" s="235">
        <f>(VLOOKUP($F153,Factors,N$384))*$H153</f>
        <v>0</v>
      </c>
      <c r="O153" s="373"/>
      <c r="P153" s="235">
        <f>(VLOOKUP($F153,Factors,P$384))*$H153</f>
        <v>0</v>
      </c>
      <c r="Q153" s="373"/>
      <c r="R153" s="235">
        <f>(VLOOKUP($F153,Factors,R$384))*$H153</f>
        <v>0</v>
      </c>
      <c r="S153" s="373"/>
      <c r="T153" s="235">
        <f>(VLOOKUP($F153,Factors,T$384))*$H153</f>
        <v>0</v>
      </c>
      <c r="U153" s="373"/>
      <c r="V153" s="235">
        <f>(VLOOKUP($F153,Factors,V$384))*$H153</f>
        <v>0</v>
      </c>
      <c r="W153" s="236"/>
      <c r="X153" s="236"/>
      <c r="AA153" s="241" t="s">
        <v>124</v>
      </c>
      <c r="AC153" s="280">
        <f>+F153</f>
        <v>14</v>
      </c>
      <c r="AE153" s="161">
        <f>+H153</f>
        <v>0</v>
      </c>
      <c r="AG153" s="148">
        <f>(VLOOKUP($AC153,func,AG$384))*$AE153</f>
        <v>0</v>
      </c>
      <c r="AH153" s="148"/>
      <c r="AI153" s="148">
        <f>(VLOOKUP($AC153,func,AI$384))*$AE153</f>
        <v>0</v>
      </c>
      <c r="AJ153" s="148"/>
      <c r="AK153" s="148">
        <f>(VLOOKUP($AC153,func,AK$384))*$AE153</f>
        <v>0</v>
      </c>
      <c r="AL153" s="148"/>
      <c r="AM153" s="148">
        <f>(VLOOKUP($AC153,func,AM$384))*$AE153</f>
        <v>0</v>
      </c>
      <c r="AN153" s="148"/>
      <c r="AO153" s="148">
        <f>(VLOOKUP($AC153,func,AO$384))*$AE153</f>
        <v>0</v>
      </c>
      <c r="AP153" s="148"/>
      <c r="AQ153" s="148">
        <f>(VLOOKUP($AC153,func,AQ$384))*$AE153</f>
        <v>0</v>
      </c>
      <c r="AR153" s="148"/>
      <c r="AS153" s="148">
        <f>(VLOOKUP($AC153,func,AS$384))*$AE153</f>
        <v>0</v>
      </c>
      <c r="AT153" s="148"/>
      <c r="AU153" s="148">
        <f>(VLOOKUP($AC153,func,AU$384))*$AE153</f>
        <v>0</v>
      </c>
      <c r="AV153" s="148"/>
      <c r="AW153" s="148">
        <f>(VLOOKUP($AC153,func,AW$384))*$AE153</f>
        <v>0</v>
      </c>
      <c r="AY153" s="193"/>
    </row>
    <row r="154" spans="1:51" ht="12.75">
      <c r="A154" s="306"/>
      <c r="B154" s="306"/>
      <c r="C154" s="236"/>
      <c r="D154" s="241" t="s">
        <v>125</v>
      </c>
      <c r="E154" s="310"/>
      <c r="F154" s="311">
        <v>14</v>
      </c>
      <c r="G154" s="241"/>
      <c r="H154" s="376">
        <v>682306.3757812498</v>
      </c>
      <c r="I154" s="219"/>
      <c r="J154" s="235">
        <f>(VLOOKUP($F154,Factors,J$384))*$H154</f>
        <v>618988.3441087499</v>
      </c>
      <c r="K154" s="373"/>
      <c r="L154" s="235">
        <f>(VLOOKUP($F154,Factors,L$384))*$H154</f>
        <v>50490.67180781248</v>
      </c>
      <c r="M154" s="373"/>
      <c r="N154" s="235">
        <f>(VLOOKUP($F154,Factors,N$384))*$H154</f>
        <v>272.92255031249994</v>
      </c>
      <c r="O154" s="373"/>
      <c r="P154" s="235">
        <f>(VLOOKUP($F154,Factors,P$384))*$H154</f>
        <v>4162.0688922656245</v>
      </c>
      <c r="Q154" s="373"/>
      <c r="R154" s="235">
        <f>(VLOOKUP($F154,Factors,R$384))*$H154</f>
        <v>136.46127515624997</v>
      </c>
      <c r="S154" s="373"/>
      <c r="T154" s="235">
        <f>(VLOOKUP($F154,Factors,T$384))*$H154</f>
        <v>8255.907146953123</v>
      </c>
      <c r="U154" s="373"/>
      <c r="V154" s="235">
        <f>(VLOOKUP($F154,Factors,V$384))*$H154</f>
        <v>0</v>
      </c>
      <c r="W154" s="236"/>
      <c r="X154" s="236"/>
      <c r="AA154" s="241" t="s">
        <v>125</v>
      </c>
      <c r="AC154" s="280">
        <f>+F154</f>
        <v>14</v>
      </c>
      <c r="AE154" s="161">
        <f>+H154</f>
        <v>682306.3757812498</v>
      </c>
      <c r="AG154" s="148">
        <f>(VLOOKUP($AC154,func,AG$384))*$AE154</f>
        <v>0</v>
      </c>
      <c r="AH154" s="148"/>
      <c r="AI154" s="148">
        <f>(VLOOKUP($AC154,func,AI$384))*$AE154</f>
        <v>0</v>
      </c>
      <c r="AJ154" s="148"/>
      <c r="AK154" s="148">
        <f>(VLOOKUP($AC154,func,AK$384))*$AE154</f>
        <v>0</v>
      </c>
      <c r="AL154" s="148"/>
      <c r="AM154" s="148">
        <f>(VLOOKUP($AC154,func,AM$384))*$AE154</f>
        <v>0</v>
      </c>
      <c r="AN154" s="148"/>
      <c r="AO154" s="148">
        <f>(VLOOKUP($AC154,func,AO$384))*$AE154</f>
        <v>0</v>
      </c>
      <c r="AP154" s="148"/>
      <c r="AQ154" s="148">
        <f>(VLOOKUP($AC154,func,AQ$384))*$AE154</f>
        <v>682306.3757812498</v>
      </c>
      <c r="AR154" s="148"/>
      <c r="AS154" s="148">
        <f>(VLOOKUP($AC154,func,AS$384))*$AE154</f>
        <v>0</v>
      </c>
      <c r="AT154" s="148"/>
      <c r="AU154" s="148">
        <f>(VLOOKUP($AC154,func,AU$384))*$AE154</f>
        <v>0</v>
      </c>
      <c r="AV154" s="148"/>
      <c r="AW154" s="148">
        <f>(VLOOKUP($AC154,func,AW$384))*$AE154</f>
        <v>0</v>
      </c>
      <c r="AY154" s="193"/>
    </row>
    <row r="155" spans="1:51" ht="12.75">
      <c r="A155" s="306"/>
      <c r="B155" s="306"/>
      <c r="C155" s="236"/>
      <c r="D155" s="241" t="s">
        <v>183</v>
      </c>
      <c r="E155" s="310"/>
      <c r="F155" s="311"/>
      <c r="G155" s="241"/>
      <c r="H155" s="376"/>
      <c r="I155" s="219"/>
      <c r="J155" s="162"/>
      <c r="K155" s="220"/>
      <c r="L155" s="162"/>
      <c r="M155" s="220"/>
      <c r="N155" s="162"/>
      <c r="O155" s="220"/>
      <c r="P155" s="162"/>
      <c r="Q155" s="220"/>
      <c r="R155" s="162"/>
      <c r="S155" s="220"/>
      <c r="T155" s="162"/>
      <c r="U155" s="220"/>
      <c r="V155" s="162"/>
      <c r="X155" s="193"/>
      <c r="AA155" s="241" t="s">
        <v>183</v>
      </c>
      <c r="AC155" s="280"/>
      <c r="AE155" s="461"/>
      <c r="AF155" s="163"/>
      <c r="AG155" s="162"/>
      <c r="AH155" s="162"/>
      <c r="AI155" s="162"/>
      <c r="AJ155" s="162"/>
      <c r="AK155" s="162"/>
      <c r="AL155" s="162"/>
      <c r="AM155" s="162"/>
      <c r="AN155" s="162"/>
      <c r="AO155" s="162"/>
      <c r="AP155" s="162"/>
      <c r="AQ155" s="162"/>
      <c r="AR155" s="162"/>
      <c r="AS155" s="162"/>
      <c r="AT155" s="162"/>
      <c r="AU155" s="162"/>
      <c r="AV155" s="162"/>
      <c r="AW155" s="162"/>
      <c r="AY155" s="193"/>
    </row>
    <row r="156" spans="1:51" ht="12.75">
      <c r="A156" s="306"/>
      <c r="B156" s="306"/>
      <c r="C156" s="236"/>
      <c r="D156" s="241" t="s">
        <v>124</v>
      </c>
      <c r="E156" s="310"/>
      <c r="F156" s="311">
        <v>13</v>
      </c>
      <c r="G156" s="241"/>
      <c r="H156" s="376">
        <v>1189966</v>
      </c>
      <c r="I156" s="219"/>
      <c r="J156" s="235">
        <f>(VLOOKUP($F156,Factors,J$384))*$H156</f>
        <v>1068946.4578</v>
      </c>
      <c r="K156" s="373"/>
      <c r="L156" s="235">
        <f>(VLOOKUP($F156,Factors,L$384))*$H156</f>
        <v>87105.51120000001</v>
      </c>
      <c r="M156" s="373"/>
      <c r="N156" s="235">
        <f>(VLOOKUP($F156,Factors,N$384))*$H156</f>
        <v>475.9864</v>
      </c>
      <c r="O156" s="373"/>
      <c r="P156" s="235">
        <f>(VLOOKUP($F156,Factors,P$384))*$H156</f>
        <v>7258.792600000001</v>
      </c>
      <c r="Q156" s="373"/>
      <c r="R156" s="235">
        <f>(VLOOKUP($F156,Factors,R$384))*$H156</f>
        <v>237.9932</v>
      </c>
      <c r="S156" s="373"/>
      <c r="T156" s="235">
        <f>(VLOOKUP($F156,Factors,T$384))*$H156</f>
        <v>25584.268999999997</v>
      </c>
      <c r="U156" s="373"/>
      <c r="V156" s="235">
        <f>(VLOOKUP($F156,Factors,V$384))*$H156</f>
        <v>356.98979999999995</v>
      </c>
      <c r="W156" s="236"/>
      <c r="X156" s="236"/>
      <c r="AA156" s="241" t="s">
        <v>124</v>
      </c>
      <c r="AC156" s="280">
        <f>+F156</f>
        <v>13</v>
      </c>
      <c r="AE156" s="161">
        <f>+H156</f>
        <v>1189966</v>
      </c>
      <c r="AG156" s="148">
        <f>(VLOOKUP($AC156,func,AG$384))*$AE156</f>
        <v>0</v>
      </c>
      <c r="AH156" s="148"/>
      <c r="AI156" s="148">
        <f>(VLOOKUP($AC156,func,AI$384))*$AE156</f>
        <v>0</v>
      </c>
      <c r="AJ156" s="148"/>
      <c r="AK156" s="148">
        <f>(VLOOKUP($AC156,func,AK$384))*$AE156</f>
        <v>0</v>
      </c>
      <c r="AL156" s="148"/>
      <c r="AM156" s="148">
        <f>(VLOOKUP($AC156,func,AM$384))*$AE156</f>
        <v>0</v>
      </c>
      <c r="AN156" s="148"/>
      <c r="AO156" s="148">
        <f>(VLOOKUP($AC156,func,AO$384))*$AE156</f>
        <v>0</v>
      </c>
      <c r="AP156" s="148"/>
      <c r="AQ156" s="148">
        <f>(VLOOKUP($AC156,func,AQ$384))*$AE156</f>
        <v>1164024.7412</v>
      </c>
      <c r="AR156" s="148"/>
      <c r="AS156" s="148">
        <f>(VLOOKUP($AC156,func,AS$384))*$AE156</f>
        <v>0</v>
      </c>
      <c r="AT156" s="148"/>
      <c r="AU156" s="148">
        <f>(VLOOKUP($AC156,func,AU$384))*$AE156</f>
        <v>25584.268999999997</v>
      </c>
      <c r="AV156" s="148"/>
      <c r="AW156" s="148">
        <f>(VLOOKUP($AC156,func,AW$384))*$AE156</f>
        <v>356.98979999999995</v>
      </c>
      <c r="AY156" s="193"/>
    </row>
    <row r="157" spans="1:51" ht="12.75">
      <c r="A157" s="306"/>
      <c r="B157" s="306"/>
      <c r="C157" s="236"/>
      <c r="D157" s="241" t="s">
        <v>125</v>
      </c>
      <c r="E157" s="310"/>
      <c r="F157" s="311">
        <v>13</v>
      </c>
      <c r="G157" s="241"/>
      <c r="H157" s="376">
        <v>69950.2137941937</v>
      </c>
      <c r="I157" s="219"/>
      <c r="J157" s="235">
        <f>(VLOOKUP($F157,Factors,J$384))*$H157</f>
        <v>62836.2770513242</v>
      </c>
      <c r="K157" s="373"/>
      <c r="L157" s="235">
        <f>(VLOOKUP($F157,Factors,L$384))*$H157</f>
        <v>5120.355649734978</v>
      </c>
      <c r="M157" s="373"/>
      <c r="N157" s="235">
        <f>(VLOOKUP($F157,Factors,N$384))*$H157</f>
        <v>27.98008551767748</v>
      </c>
      <c r="O157" s="373"/>
      <c r="P157" s="235">
        <f>(VLOOKUP($F157,Factors,P$384))*$H157</f>
        <v>426.6963041445816</v>
      </c>
      <c r="Q157" s="373"/>
      <c r="R157" s="235">
        <f>(VLOOKUP($F157,Factors,R$384))*$H157</f>
        <v>13.99004275883874</v>
      </c>
      <c r="S157" s="373"/>
      <c r="T157" s="235">
        <f>(VLOOKUP($F157,Factors,T$384))*$H157</f>
        <v>1503.9295965751644</v>
      </c>
      <c r="U157" s="373"/>
      <c r="V157" s="235">
        <f>(VLOOKUP($F157,Factors,V$384))*$H157</f>
        <v>20.985064138258107</v>
      </c>
      <c r="W157" s="236"/>
      <c r="X157" s="236"/>
      <c r="AA157" s="241" t="s">
        <v>125</v>
      </c>
      <c r="AC157" s="280">
        <f>+F157</f>
        <v>13</v>
      </c>
      <c r="AE157" s="161">
        <f>+H157</f>
        <v>69950.2137941937</v>
      </c>
      <c r="AG157" s="148">
        <f>(VLOOKUP($AC157,func,AG$384))*$AE157</f>
        <v>0</v>
      </c>
      <c r="AH157" s="148"/>
      <c r="AI157" s="148">
        <f>(VLOOKUP($AC157,func,AI$384))*$AE157</f>
        <v>0</v>
      </c>
      <c r="AJ157" s="148"/>
      <c r="AK157" s="148">
        <f>(VLOOKUP($AC157,func,AK$384))*$AE157</f>
        <v>0</v>
      </c>
      <c r="AL157" s="148"/>
      <c r="AM157" s="148">
        <f>(VLOOKUP($AC157,func,AM$384))*$AE157</f>
        <v>0</v>
      </c>
      <c r="AN157" s="148"/>
      <c r="AO157" s="148">
        <f>(VLOOKUP($AC157,func,AO$384))*$AE157</f>
        <v>0</v>
      </c>
      <c r="AP157" s="148"/>
      <c r="AQ157" s="148">
        <f>(VLOOKUP($AC157,func,AQ$384))*$AE157</f>
        <v>68425.29913348028</v>
      </c>
      <c r="AR157" s="148"/>
      <c r="AS157" s="148">
        <f>(VLOOKUP($AC157,func,AS$384))*$AE157</f>
        <v>0</v>
      </c>
      <c r="AT157" s="148"/>
      <c r="AU157" s="148">
        <f>(VLOOKUP($AC157,func,AU$384))*$AE157</f>
        <v>1503.9295965751644</v>
      </c>
      <c r="AV157" s="148"/>
      <c r="AW157" s="148">
        <f>(VLOOKUP($AC157,func,AW$384))*$AE157</f>
        <v>20.985064138258107</v>
      </c>
      <c r="AY157" s="193"/>
    </row>
    <row r="158" spans="1:51" ht="12.75">
      <c r="A158" s="306"/>
      <c r="B158" s="306"/>
      <c r="C158" s="236"/>
      <c r="D158" s="241" t="s">
        <v>184</v>
      </c>
      <c r="E158" s="310"/>
      <c r="F158" s="311">
        <v>20</v>
      </c>
      <c r="G158" s="241"/>
      <c r="H158" s="376">
        <v>725096</v>
      </c>
      <c r="I158" s="162"/>
      <c r="J158" s="235">
        <f>(VLOOKUP($F158,Factors,J$384))*$H158</f>
        <v>623510.0504</v>
      </c>
      <c r="K158" s="373"/>
      <c r="L158" s="235">
        <f>(VLOOKUP($F158,Factors,L$384))*$H158</f>
        <v>77730.2912</v>
      </c>
      <c r="M158" s="373"/>
      <c r="N158" s="235">
        <f>(VLOOKUP($F158,Factors,N$384))*$H158</f>
        <v>0</v>
      </c>
      <c r="O158" s="373"/>
      <c r="P158" s="235">
        <f>(VLOOKUP($F158,Factors,P$384))*$H158</f>
        <v>0</v>
      </c>
      <c r="Q158" s="373"/>
      <c r="R158" s="235">
        <f>(VLOOKUP($F158,Factors,R$384))*$H158</f>
        <v>0</v>
      </c>
      <c r="S158" s="373"/>
      <c r="T158" s="235">
        <f>(VLOOKUP($F158,Factors,T$384))*$H158</f>
        <v>23855.6584</v>
      </c>
      <c r="U158" s="373"/>
      <c r="V158" s="235">
        <f>(VLOOKUP($F158,Factors,V$384))*$H158</f>
        <v>0</v>
      </c>
      <c r="W158" s="236"/>
      <c r="X158" s="236"/>
      <c r="AA158" s="241" t="s">
        <v>184</v>
      </c>
      <c r="AC158" s="280">
        <f>+F158</f>
        <v>20</v>
      </c>
      <c r="AE158" s="161">
        <f>+H158</f>
        <v>725096</v>
      </c>
      <c r="AG158" s="148">
        <f>(VLOOKUP($AC158,func,AG$384))*$AE158</f>
        <v>0</v>
      </c>
      <c r="AH158" s="148"/>
      <c r="AI158" s="148">
        <f>(VLOOKUP($AC158,func,AI$384))*$AE158</f>
        <v>0</v>
      </c>
      <c r="AJ158" s="148"/>
      <c r="AK158" s="148">
        <f>(VLOOKUP($AC158,func,AK$384))*$AE158</f>
        <v>0</v>
      </c>
      <c r="AL158" s="148"/>
      <c r="AM158" s="148">
        <f>(VLOOKUP($AC158,func,AM$384))*$AE158</f>
        <v>0</v>
      </c>
      <c r="AN158" s="148"/>
      <c r="AO158" s="148">
        <f>(VLOOKUP($AC158,func,AO$384))*$AE158</f>
        <v>0</v>
      </c>
      <c r="AP158" s="148"/>
      <c r="AQ158" s="148">
        <f>(VLOOKUP($AC158,func,AQ$384))*$AE158</f>
        <v>0</v>
      </c>
      <c r="AR158" s="148"/>
      <c r="AS158" s="148">
        <f>(VLOOKUP($AC158,func,AS$384))*$AE158</f>
        <v>725096</v>
      </c>
      <c r="AT158" s="148"/>
      <c r="AU158" s="148">
        <f>(VLOOKUP($AC158,func,AU$384))*$AE158</f>
        <v>0</v>
      </c>
      <c r="AV158" s="148"/>
      <c r="AW158" s="148">
        <f>(VLOOKUP($AC158,func,AW$384))*$AE158</f>
        <v>0</v>
      </c>
      <c r="AY158" s="193"/>
    </row>
    <row r="159" spans="1:51" ht="12.75">
      <c r="A159" s="306"/>
      <c r="B159" s="306"/>
      <c r="C159" s="236"/>
      <c r="D159" s="241" t="s">
        <v>185</v>
      </c>
      <c r="E159" s="310"/>
      <c r="F159" s="311">
        <v>13</v>
      </c>
      <c r="G159" s="241"/>
      <c r="H159" s="376">
        <v>0</v>
      </c>
      <c r="I159" s="219"/>
      <c r="J159" s="235">
        <f>(VLOOKUP($F159,Factors,J$384))*$H159</f>
        <v>0</v>
      </c>
      <c r="K159" s="373"/>
      <c r="L159" s="235">
        <f>(VLOOKUP($F159,Factors,L$384))*$H159</f>
        <v>0</v>
      </c>
      <c r="M159" s="373"/>
      <c r="N159" s="235">
        <f>(VLOOKUP($F159,Factors,N$384))*$H159</f>
        <v>0</v>
      </c>
      <c r="O159" s="373"/>
      <c r="P159" s="235">
        <f>(VLOOKUP($F159,Factors,P$384))*$H159</f>
        <v>0</v>
      </c>
      <c r="Q159" s="373"/>
      <c r="R159" s="235">
        <f>(VLOOKUP($F159,Factors,R$384))*$H159</f>
        <v>0</v>
      </c>
      <c r="S159" s="373"/>
      <c r="T159" s="235">
        <f>(VLOOKUP($F159,Factors,T$384))*$H159</f>
        <v>0</v>
      </c>
      <c r="U159" s="373"/>
      <c r="V159" s="235">
        <f>(VLOOKUP($F159,Factors,V$384))*$H159</f>
        <v>0</v>
      </c>
      <c r="W159" s="236"/>
      <c r="X159" s="236"/>
      <c r="AA159" s="241" t="s">
        <v>185</v>
      </c>
      <c r="AC159" s="280">
        <f>+F159</f>
        <v>13</v>
      </c>
      <c r="AE159" s="161">
        <f>+H159</f>
        <v>0</v>
      </c>
      <c r="AG159" s="148">
        <f>(VLOOKUP($AC159,func,AG$384))*$AE159</f>
        <v>0</v>
      </c>
      <c r="AH159" s="148"/>
      <c r="AI159" s="148">
        <f>(VLOOKUP($AC159,func,AI$384))*$AE159</f>
        <v>0</v>
      </c>
      <c r="AJ159" s="148"/>
      <c r="AK159" s="148">
        <f>(VLOOKUP($AC159,func,AK$384))*$AE159</f>
        <v>0</v>
      </c>
      <c r="AL159" s="148"/>
      <c r="AM159" s="148">
        <f>(VLOOKUP($AC159,func,AM$384))*$AE159</f>
        <v>0</v>
      </c>
      <c r="AN159" s="148"/>
      <c r="AO159" s="148">
        <f>(VLOOKUP($AC159,func,AO$384))*$AE159</f>
        <v>0</v>
      </c>
      <c r="AP159" s="148"/>
      <c r="AQ159" s="148">
        <f>(VLOOKUP($AC159,func,AQ$384))*$AE159</f>
        <v>0</v>
      </c>
      <c r="AR159" s="148"/>
      <c r="AS159" s="148">
        <f>(VLOOKUP($AC159,func,AS$384))*$AE159</f>
        <v>0</v>
      </c>
      <c r="AT159" s="148"/>
      <c r="AU159" s="148">
        <f>(VLOOKUP($AC159,func,AU$384))*$AE159</f>
        <v>0</v>
      </c>
      <c r="AV159" s="148"/>
      <c r="AW159" s="148">
        <f>(VLOOKUP($AC159,func,AW$384))*$AE159</f>
        <v>0</v>
      </c>
      <c r="AY159" s="193"/>
    </row>
    <row r="160" spans="1:51" ht="12.75">
      <c r="A160" s="306"/>
      <c r="B160" s="306"/>
      <c r="C160" s="236"/>
      <c r="D160" s="241" t="s">
        <v>186</v>
      </c>
      <c r="E160" s="310"/>
      <c r="F160" s="311"/>
      <c r="G160" s="241"/>
      <c r="H160" s="376"/>
      <c r="I160" s="219"/>
      <c r="J160" s="162"/>
      <c r="K160" s="220"/>
      <c r="L160" s="162"/>
      <c r="M160" s="220"/>
      <c r="N160" s="162"/>
      <c r="O160" s="220"/>
      <c r="P160" s="162"/>
      <c r="Q160" s="220"/>
      <c r="R160" s="162"/>
      <c r="S160" s="220"/>
      <c r="T160" s="162"/>
      <c r="U160" s="220"/>
      <c r="V160" s="162"/>
      <c r="X160" s="193"/>
      <c r="AA160" s="241" t="s">
        <v>186</v>
      </c>
      <c r="AC160" s="280"/>
      <c r="AE160" s="461"/>
      <c r="AF160" s="163"/>
      <c r="AG160" s="162"/>
      <c r="AH160" s="162"/>
      <c r="AI160" s="162"/>
      <c r="AJ160" s="162"/>
      <c r="AK160" s="162"/>
      <c r="AL160" s="162"/>
      <c r="AM160" s="162"/>
      <c r="AN160" s="162"/>
      <c r="AO160" s="162"/>
      <c r="AP160" s="162"/>
      <c r="AQ160" s="162"/>
      <c r="AR160" s="162"/>
      <c r="AS160" s="162"/>
      <c r="AT160" s="162"/>
      <c r="AU160" s="162"/>
      <c r="AV160" s="162"/>
      <c r="AW160" s="162"/>
      <c r="AY160" s="193"/>
    </row>
    <row r="161" spans="1:51" ht="12.75">
      <c r="A161" s="306"/>
      <c r="B161" s="306"/>
      <c r="C161" s="236"/>
      <c r="D161" s="241" t="s">
        <v>125</v>
      </c>
      <c r="E161" s="310"/>
      <c r="F161" s="311">
        <v>13</v>
      </c>
      <c r="G161" s="241"/>
      <c r="H161" s="469">
        <v>0</v>
      </c>
      <c r="I161" s="219"/>
      <c r="J161" s="468">
        <f>(VLOOKUP($F161,Factors,J$384))*$H161</f>
        <v>0</v>
      </c>
      <c r="K161" s="219"/>
      <c r="L161" s="468">
        <f>(VLOOKUP($F161,Factors,L$384))*$H161</f>
        <v>0</v>
      </c>
      <c r="M161" s="219"/>
      <c r="N161" s="468">
        <f>(VLOOKUP($F161,Factors,N$384))*$H161</f>
        <v>0</v>
      </c>
      <c r="O161" s="219"/>
      <c r="P161" s="468">
        <f>(VLOOKUP($F161,Factors,P$384))*$H161</f>
        <v>0</v>
      </c>
      <c r="Q161" s="219"/>
      <c r="R161" s="468">
        <f>(VLOOKUP($F161,Factors,R$384))*$H161</f>
        <v>0</v>
      </c>
      <c r="S161" s="219"/>
      <c r="T161" s="468">
        <f>(VLOOKUP($F161,Factors,T$384))*$H161</f>
        <v>0</v>
      </c>
      <c r="U161" s="219"/>
      <c r="V161" s="468">
        <f>(VLOOKUP($F161,Factors,V$384))*$H161</f>
        <v>0</v>
      </c>
      <c r="W161" s="236"/>
      <c r="X161" s="236"/>
      <c r="AA161" s="241" t="s">
        <v>125</v>
      </c>
      <c r="AC161" s="280">
        <f>+F161</f>
        <v>13</v>
      </c>
      <c r="AE161" s="317">
        <f>+H161</f>
        <v>0</v>
      </c>
      <c r="AG161" s="149">
        <f>(VLOOKUP($AC161,func,AG$384))*$AE161</f>
        <v>0</v>
      </c>
      <c r="AI161" s="149">
        <f>(VLOOKUP($AC161,func,AI$384))*$AE161</f>
        <v>0</v>
      </c>
      <c r="AK161" s="149">
        <f>(VLOOKUP($AC161,func,AK$384))*$AE161</f>
        <v>0</v>
      </c>
      <c r="AM161" s="149">
        <f>(VLOOKUP($AC161,func,AM$384))*$AE161</f>
        <v>0</v>
      </c>
      <c r="AO161" s="149">
        <f>(VLOOKUP($AC161,func,AO$384))*$AE161</f>
        <v>0</v>
      </c>
      <c r="AQ161" s="149">
        <f>(VLOOKUP($AC161,func,AQ$384))*$AE161</f>
        <v>0</v>
      </c>
      <c r="AS161" s="149">
        <f>(VLOOKUP($AC161,func,AS$384))*$AE161</f>
        <v>0</v>
      </c>
      <c r="AU161" s="149">
        <f>(VLOOKUP($AC161,func,AU$384))*$AE161</f>
        <v>0</v>
      </c>
      <c r="AW161" s="149">
        <f>(VLOOKUP($AC161,func,AW$384))*$AE161</f>
        <v>0</v>
      </c>
      <c r="AY161" s="193"/>
    </row>
    <row r="162" spans="1:51" ht="12.75">
      <c r="A162" s="306"/>
      <c r="B162" s="306"/>
      <c r="C162" s="236"/>
      <c r="D162" s="241"/>
      <c r="E162" s="310"/>
      <c r="F162" s="311"/>
      <c r="G162" s="241"/>
      <c r="H162" s="376"/>
      <c r="I162" s="241"/>
      <c r="J162" s="376"/>
      <c r="K162" s="241"/>
      <c r="L162" s="376"/>
      <c r="M162" s="241"/>
      <c r="N162" s="376"/>
      <c r="O162" s="241"/>
      <c r="P162" s="376"/>
      <c r="Q162" s="241"/>
      <c r="R162" s="376"/>
      <c r="S162" s="241"/>
      <c r="T162" s="376"/>
      <c r="U162" s="241"/>
      <c r="V162" s="376"/>
      <c r="X162" s="193"/>
      <c r="AA162" s="241"/>
      <c r="AE162" s="162"/>
      <c r="AF162" s="162"/>
      <c r="AG162" s="162"/>
      <c r="AH162" s="162"/>
      <c r="AI162" s="162"/>
      <c r="AJ162" s="162"/>
      <c r="AK162" s="162"/>
      <c r="AL162" s="162"/>
      <c r="AM162" s="162"/>
      <c r="AN162" s="162"/>
      <c r="AO162" s="162"/>
      <c r="AP162" s="162"/>
      <c r="AQ162" s="162"/>
      <c r="AR162" s="162"/>
      <c r="AS162" s="162"/>
      <c r="AT162" s="162"/>
      <c r="AU162" s="162"/>
      <c r="AV162" s="162"/>
      <c r="AW162" s="162"/>
      <c r="AY162" s="193"/>
    </row>
    <row r="163" spans="1:51" ht="12.75">
      <c r="A163" s="306"/>
      <c r="B163" s="306"/>
      <c r="C163" s="236"/>
      <c r="D163" s="241" t="s">
        <v>187</v>
      </c>
      <c r="E163" s="310"/>
      <c r="F163" s="311"/>
      <c r="G163" s="241"/>
      <c r="H163" s="376">
        <f>SUM(H151:H162)</f>
        <v>2729430.388092685</v>
      </c>
      <c r="I163" s="241"/>
      <c r="J163" s="376">
        <f>SUM(J151:J162)</f>
        <v>2430076.157968112</v>
      </c>
      <c r="K163" s="241"/>
      <c r="L163" s="376">
        <f>SUM(L151:L162)</f>
        <v>224993.41350900955</v>
      </c>
      <c r="M163" s="241"/>
      <c r="N163" s="376">
        <f>SUM(N151:N162)</f>
        <v>801.733755237074</v>
      </c>
      <c r="O163" s="241"/>
      <c r="P163" s="376">
        <f>SUM(P151:P162)</f>
        <v>12226.43976736538</v>
      </c>
      <c r="Q163" s="241"/>
      <c r="R163" s="376">
        <f>SUM(R151:R162)</f>
        <v>400.866877618537</v>
      </c>
      <c r="S163" s="241"/>
      <c r="T163" s="376">
        <f>SUM(T151:T162)</f>
        <v>60535.16781164898</v>
      </c>
      <c r="U163" s="241"/>
      <c r="V163" s="376">
        <f>SUM(V151:V162)</f>
        <v>396.6084036934305</v>
      </c>
      <c r="X163" s="193"/>
      <c r="AA163" s="241" t="s">
        <v>187</v>
      </c>
      <c r="AB163" s="310"/>
      <c r="AC163" s="311"/>
      <c r="AD163" s="241"/>
      <c r="AE163" s="376">
        <f>SUM(AE151:AE162)</f>
        <v>2729430.388092685</v>
      </c>
      <c r="AF163" s="241"/>
      <c r="AG163" s="376">
        <f>SUM(AG151:AG162)</f>
        <v>0</v>
      </c>
      <c r="AH163" s="241"/>
      <c r="AI163" s="376">
        <f>SUM(AI151:AI162)</f>
        <v>0</v>
      </c>
      <c r="AJ163" s="241"/>
      <c r="AK163" s="376">
        <f>SUM(AK151:AK162)</f>
        <v>0</v>
      </c>
      <c r="AL163" s="241"/>
      <c r="AM163" s="376">
        <f>SUM(AM151:AM162)</f>
        <v>0</v>
      </c>
      <c r="AN163" s="241"/>
      <c r="AO163" s="376">
        <f>SUM(AO151:AO162)</f>
        <v>0</v>
      </c>
      <c r="AP163" s="241"/>
      <c r="AQ163" s="376">
        <f>SUM(AQ151:AQ162)</f>
        <v>1975514.1774242956</v>
      </c>
      <c r="AR163" s="241"/>
      <c r="AS163" s="376">
        <f>SUM(AS151:AS162)</f>
        <v>725096</v>
      </c>
      <c r="AT163" s="241"/>
      <c r="AU163" s="376">
        <f>SUM(AU151:AU162)</f>
        <v>28423.60226469585</v>
      </c>
      <c r="AV163" s="241"/>
      <c r="AW163" s="376">
        <f>SUM(AW151:AW162)</f>
        <v>396.6084036934305</v>
      </c>
      <c r="AY163" s="193"/>
    </row>
    <row r="164" spans="1:51" ht="12.75">
      <c r="A164" s="306"/>
      <c r="B164" s="306"/>
      <c r="C164" s="236"/>
      <c r="D164" s="241" t="s">
        <v>188</v>
      </c>
      <c r="E164" s="310"/>
      <c r="F164" s="311"/>
      <c r="G164" s="241"/>
      <c r="H164" s="376"/>
      <c r="I164" s="162"/>
      <c r="J164" s="162"/>
      <c r="K164" s="220"/>
      <c r="L164" s="162"/>
      <c r="M164" s="220"/>
      <c r="N164" s="162"/>
      <c r="O164" s="220"/>
      <c r="P164" s="162"/>
      <c r="Q164" s="220"/>
      <c r="R164" s="162"/>
      <c r="S164" s="220"/>
      <c r="T164" s="162"/>
      <c r="U164" s="220"/>
      <c r="V164" s="162"/>
      <c r="X164" s="193"/>
      <c r="AA164" s="241" t="s">
        <v>188</v>
      </c>
      <c r="AB164" s="310"/>
      <c r="AC164" s="311"/>
      <c r="AD164" s="241"/>
      <c r="AE164" s="376"/>
      <c r="AF164" s="163"/>
      <c r="AG164" s="162"/>
      <c r="AH164" s="162"/>
      <c r="AI164" s="162"/>
      <c r="AJ164" s="162"/>
      <c r="AK164" s="162"/>
      <c r="AL164" s="162"/>
      <c r="AM164" s="162"/>
      <c r="AN164" s="162"/>
      <c r="AO164" s="162"/>
      <c r="AP164" s="162"/>
      <c r="AQ164" s="162"/>
      <c r="AR164" s="162"/>
      <c r="AS164" s="162"/>
      <c r="AT164" s="162"/>
      <c r="AU164" s="162"/>
      <c r="AV164" s="162"/>
      <c r="AW164" s="162"/>
      <c r="AY164" s="193"/>
    </row>
    <row r="165" spans="1:51" ht="12.75">
      <c r="A165" s="306"/>
      <c r="B165" s="306"/>
      <c r="C165" s="236"/>
      <c r="D165" s="241"/>
      <c r="E165" s="310"/>
      <c r="F165" s="311"/>
      <c r="G165" s="241"/>
      <c r="H165" s="376"/>
      <c r="I165" s="162"/>
      <c r="J165" s="162"/>
      <c r="K165" s="220"/>
      <c r="L165" s="162"/>
      <c r="M165" s="220"/>
      <c r="N165" s="162"/>
      <c r="O165" s="220"/>
      <c r="P165" s="162"/>
      <c r="Q165" s="220"/>
      <c r="R165" s="162"/>
      <c r="S165" s="220"/>
      <c r="T165" s="162"/>
      <c r="U165" s="220"/>
      <c r="V165" s="162"/>
      <c r="X165" s="193"/>
      <c r="AA165" s="241"/>
      <c r="AC165" s="280"/>
      <c r="AE165" s="461"/>
      <c r="AF165" s="163"/>
      <c r="AG165" s="162"/>
      <c r="AH165" s="162"/>
      <c r="AI165" s="162"/>
      <c r="AJ165" s="162"/>
      <c r="AK165" s="162"/>
      <c r="AL165" s="162"/>
      <c r="AM165" s="162"/>
      <c r="AN165" s="162"/>
      <c r="AO165" s="162"/>
      <c r="AP165" s="162"/>
      <c r="AQ165" s="162"/>
      <c r="AR165" s="162"/>
      <c r="AS165" s="162"/>
      <c r="AT165" s="162"/>
      <c r="AU165" s="162"/>
      <c r="AV165" s="162"/>
      <c r="AW165" s="162"/>
      <c r="AY165" s="193"/>
    </row>
    <row r="166" spans="1:51" ht="12.75">
      <c r="A166" s="306"/>
      <c r="B166" s="306"/>
      <c r="C166" s="236"/>
      <c r="D166" s="241" t="s">
        <v>599</v>
      </c>
      <c r="E166" s="310"/>
      <c r="F166" s="311"/>
      <c r="G166" s="241"/>
      <c r="H166" s="376"/>
      <c r="I166" s="219"/>
      <c r="J166" s="162"/>
      <c r="K166" s="220"/>
      <c r="L166" s="162"/>
      <c r="M166" s="220"/>
      <c r="N166" s="162"/>
      <c r="O166" s="220"/>
      <c r="P166" s="162"/>
      <c r="Q166" s="220"/>
      <c r="R166" s="162"/>
      <c r="S166" s="220"/>
      <c r="T166" s="162"/>
      <c r="U166" s="220"/>
      <c r="V166" s="162"/>
      <c r="X166" s="193"/>
      <c r="AA166" s="241" t="s">
        <v>599</v>
      </c>
      <c r="AC166" s="280"/>
      <c r="AE166" s="461"/>
      <c r="AF166" s="163"/>
      <c r="AG166" s="162"/>
      <c r="AH166" s="162"/>
      <c r="AI166" s="162"/>
      <c r="AJ166" s="162"/>
      <c r="AK166" s="162"/>
      <c r="AL166" s="162"/>
      <c r="AM166" s="162"/>
      <c r="AN166" s="162"/>
      <c r="AO166" s="162"/>
      <c r="AP166" s="162"/>
      <c r="AQ166" s="162"/>
      <c r="AR166" s="162"/>
      <c r="AS166" s="162"/>
      <c r="AT166" s="162"/>
      <c r="AU166" s="162"/>
      <c r="AV166" s="162"/>
      <c r="AW166" s="162"/>
      <c r="AY166" s="193"/>
    </row>
    <row r="167" spans="1:51" ht="12.75">
      <c r="A167" s="306"/>
      <c r="B167" s="306"/>
      <c r="C167" s="236"/>
      <c r="D167" s="241" t="s">
        <v>121</v>
      </c>
      <c r="E167" s="310"/>
      <c r="F167" s="311"/>
      <c r="G167" s="241"/>
      <c r="H167" s="376"/>
      <c r="I167" s="219"/>
      <c r="J167" s="162"/>
      <c r="K167" s="220"/>
      <c r="L167" s="162"/>
      <c r="M167" s="220"/>
      <c r="N167" s="162"/>
      <c r="O167" s="220"/>
      <c r="P167" s="162"/>
      <c r="Q167" s="220"/>
      <c r="R167" s="162"/>
      <c r="S167" s="220"/>
      <c r="T167" s="162"/>
      <c r="U167" s="220"/>
      <c r="V167" s="162"/>
      <c r="X167" s="193"/>
      <c r="AA167" s="241" t="s">
        <v>121</v>
      </c>
      <c r="AE167" s="162"/>
      <c r="AF167" s="219"/>
      <c r="AG167" s="162"/>
      <c r="AH167" s="220"/>
      <c r="AI167" s="162"/>
      <c r="AJ167" s="220"/>
      <c r="AK167" s="162"/>
      <c r="AL167" s="220"/>
      <c r="AM167" s="162"/>
      <c r="AN167" s="220"/>
      <c r="AO167" s="162"/>
      <c r="AP167" s="220"/>
      <c r="AQ167" s="162"/>
      <c r="AR167" s="220"/>
      <c r="AS167" s="162"/>
      <c r="AT167" s="220"/>
      <c r="AU167" s="162"/>
      <c r="AV167" s="220"/>
      <c r="AW167" s="162"/>
      <c r="AY167" s="193"/>
    </row>
    <row r="168" spans="1:51" ht="12.75">
      <c r="A168" s="306"/>
      <c r="B168" s="306"/>
      <c r="C168" s="236"/>
      <c r="D168" s="241" t="s">
        <v>189</v>
      </c>
      <c r="E168" s="310"/>
      <c r="F168" s="311"/>
      <c r="G168" s="241"/>
      <c r="H168" s="376"/>
      <c r="I168" s="162"/>
      <c r="J168" s="162"/>
      <c r="K168" s="162"/>
      <c r="L168" s="162"/>
      <c r="M168" s="162"/>
      <c r="N168" s="162"/>
      <c r="O168" s="162"/>
      <c r="P168" s="162"/>
      <c r="Q168" s="162"/>
      <c r="R168" s="162"/>
      <c r="S168" s="162"/>
      <c r="T168" s="162"/>
      <c r="U168" s="162"/>
      <c r="V168" s="162"/>
      <c r="X168" s="193"/>
      <c r="AA168" s="241" t="s">
        <v>189</v>
      </c>
      <c r="AE168" s="162"/>
      <c r="AF168" s="162"/>
      <c r="AG168" s="162"/>
      <c r="AH168" s="162"/>
      <c r="AI168" s="162"/>
      <c r="AJ168" s="162"/>
      <c r="AK168" s="162"/>
      <c r="AL168" s="162"/>
      <c r="AM168" s="162"/>
      <c r="AN168" s="162"/>
      <c r="AO168" s="162"/>
      <c r="AP168" s="162"/>
      <c r="AQ168" s="162"/>
      <c r="AR168" s="162"/>
      <c r="AS168" s="162"/>
      <c r="AT168" s="162"/>
      <c r="AU168" s="162"/>
      <c r="AV168" s="162"/>
      <c r="AW168" s="162"/>
      <c r="AY168" s="193"/>
    </row>
    <row r="169" spans="1:51" ht="12.75">
      <c r="A169" s="306"/>
      <c r="B169" s="306"/>
      <c r="C169" s="236"/>
      <c r="D169" s="241" t="s">
        <v>124</v>
      </c>
      <c r="E169" s="310"/>
      <c r="F169" s="311">
        <v>15</v>
      </c>
      <c r="G169" s="241"/>
      <c r="H169" s="376">
        <v>0</v>
      </c>
      <c r="I169" s="219"/>
      <c r="J169" s="235">
        <f>(VLOOKUP($F169,Factors,J$384))*$H169</f>
        <v>0</v>
      </c>
      <c r="K169" s="373"/>
      <c r="L169" s="235">
        <f>(VLOOKUP($F169,Factors,L$384))*$H169</f>
        <v>0</v>
      </c>
      <c r="M169" s="373"/>
      <c r="N169" s="235">
        <f>(VLOOKUP($F169,Factors,N$384))*$H169</f>
        <v>0</v>
      </c>
      <c r="O169" s="373"/>
      <c r="P169" s="235">
        <f>(VLOOKUP($F169,Factors,P$384))*$H169</f>
        <v>0</v>
      </c>
      <c r="Q169" s="373"/>
      <c r="R169" s="235">
        <f>(VLOOKUP($F169,Factors,R$384))*$H169</f>
        <v>0</v>
      </c>
      <c r="S169" s="373"/>
      <c r="T169" s="235">
        <f>(VLOOKUP($F169,Factors,T$384))*$H169</f>
        <v>0</v>
      </c>
      <c r="U169" s="373"/>
      <c r="V169" s="235">
        <f>(VLOOKUP($F169,Factors,V$384))*$H169</f>
        <v>0</v>
      </c>
      <c r="W169" s="236"/>
      <c r="X169" s="236"/>
      <c r="AA169" s="241" t="s">
        <v>124</v>
      </c>
      <c r="AC169" s="280">
        <f>+F169</f>
        <v>15</v>
      </c>
      <c r="AE169" s="161">
        <f>+H169</f>
        <v>0</v>
      </c>
      <c r="AG169" s="148">
        <f>(VLOOKUP($AC169,func,AG$384))*$AE169</f>
        <v>0</v>
      </c>
      <c r="AH169" s="148"/>
      <c r="AI169" s="148">
        <f>(VLOOKUP($AC169,func,AI$384))*$AE169</f>
        <v>0</v>
      </c>
      <c r="AJ169" s="148"/>
      <c r="AK169" s="148">
        <f>(VLOOKUP($AC169,func,AK$384))*$AE169</f>
        <v>0</v>
      </c>
      <c r="AL169" s="148"/>
      <c r="AM169" s="148">
        <f>(VLOOKUP($AC169,func,AM$384))*$AE169</f>
        <v>0</v>
      </c>
      <c r="AN169" s="148"/>
      <c r="AO169" s="148">
        <f>(VLOOKUP($AC169,func,AO$384))*$AE169</f>
        <v>0</v>
      </c>
      <c r="AP169" s="148"/>
      <c r="AQ169" s="148">
        <f>(VLOOKUP($AC169,func,AQ$384))*$AE169</f>
        <v>0</v>
      </c>
      <c r="AR169" s="148"/>
      <c r="AS169" s="148">
        <f>(VLOOKUP($AC169,func,AS$384))*$AE169</f>
        <v>0</v>
      </c>
      <c r="AT169" s="148"/>
      <c r="AU169" s="148">
        <f>(VLOOKUP($AC169,func,AU$384))*$AE169</f>
        <v>0</v>
      </c>
      <c r="AV169" s="148"/>
      <c r="AW169" s="148">
        <f>(VLOOKUP($AC169,func,AW$384))*$AE169</f>
        <v>0</v>
      </c>
      <c r="AY169" s="193"/>
    </row>
    <row r="170" spans="1:51" ht="12.75">
      <c r="A170" s="306"/>
      <c r="B170" s="306"/>
      <c r="C170" s="236"/>
      <c r="D170" s="241" t="s">
        <v>125</v>
      </c>
      <c r="E170" s="310"/>
      <c r="F170" s="311">
        <v>15</v>
      </c>
      <c r="G170" s="241"/>
      <c r="H170" s="376">
        <v>1410516.7497673684</v>
      </c>
      <c r="I170" s="219"/>
      <c r="J170" s="235">
        <f>(VLOOKUP($F170,Factors,J$384))*$H170</f>
        <v>847861.6182851652</v>
      </c>
      <c r="K170" s="373"/>
      <c r="L170" s="235">
        <f>(VLOOKUP($F170,Factors,L$384))*$H170</f>
        <v>317789.4237225881</v>
      </c>
      <c r="M170" s="373"/>
      <c r="N170" s="235">
        <f>(VLOOKUP($F170,Factors,N$384))*$H170</f>
        <v>33570.29864446337</v>
      </c>
      <c r="O170" s="373"/>
      <c r="P170" s="235">
        <f>(VLOOKUP($F170,Factors,P$384))*$H170</f>
        <v>102826.67105804117</v>
      </c>
      <c r="Q170" s="373"/>
      <c r="R170" s="235">
        <f>(VLOOKUP($F170,Factors,R$384))*$H170</f>
        <v>29056.64504520779</v>
      </c>
      <c r="S170" s="373"/>
      <c r="T170" s="235">
        <f>(VLOOKUP($F170,Factors,T$384))*$H170</f>
        <v>41610.244118137365</v>
      </c>
      <c r="U170" s="373"/>
      <c r="V170" s="235">
        <f>(VLOOKUP($F170,Factors,V$384))*$H170</f>
        <v>37801.84889376548</v>
      </c>
      <c r="W170" s="236"/>
      <c r="X170" s="236"/>
      <c r="AA170" s="241" t="s">
        <v>125</v>
      </c>
      <c r="AC170" s="280">
        <f>+F170</f>
        <v>15</v>
      </c>
      <c r="AE170" s="161">
        <f>+H170</f>
        <v>1410516.7497673684</v>
      </c>
      <c r="AG170" s="148">
        <f>(VLOOKUP($AC170,func,AG$384))*$AE170</f>
        <v>472382.0594970916</v>
      </c>
      <c r="AH170" s="148"/>
      <c r="AI170" s="148">
        <f>(VLOOKUP($AC170,func,AI$384))*$AE170</f>
        <v>219476.40626380252</v>
      </c>
      <c r="AJ170" s="148"/>
      <c r="AK170" s="148">
        <f>(VLOOKUP($AC170,func,AK$384))*$AE170</f>
        <v>206076.49714101254</v>
      </c>
      <c r="AL170" s="148"/>
      <c r="AM170" s="148">
        <f>(VLOOKUP($AC170,func,AM$384))*$AE170</f>
        <v>17913.56272204558</v>
      </c>
      <c r="AN170" s="148"/>
      <c r="AO170" s="148">
        <f>(VLOOKUP($AC170,func,AO$384))*$AE170</f>
        <v>51765.964716462426</v>
      </c>
      <c r="AP170" s="148"/>
      <c r="AQ170" s="148">
        <f>(VLOOKUP($AC170,func,AQ$384))*$AE170</f>
        <v>269126.5958556139</v>
      </c>
      <c r="AR170" s="148"/>
      <c r="AS170" s="148">
        <f>(VLOOKUP($AC170,func,AS$384))*$AE170</f>
        <v>98736.1724837158</v>
      </c>
      <c r="AT170" s="148"/>
      <c r="AU170" s="148">
        <f>(VLOOKUP($AC170,func,AU$384))*$AE170</f>
        <v>37237.642193858526</v>
      </c>
      <c r="AV170" s="148"/>
      <c r="AW170" s="148">
        <f>(VLOOKUP($AC170,func,AW$384))*$AE170</f>
        <v>37801.84889376548</v>
      </c>
      <c r="AY170" s="193"/>
    </row>
    <row r="171" spans="1:51" ht="12.75" customHeight="1">
      <c r="A171" s="306"/>
      <c r="B171" s="306"/>
      <c r="C171" s="236"/>
      <c r="D171" s="241" t="s">
        <v>190</v>
      </c>
      <c r="E171" s="310"/>
      <c r="F171" s="311">
        <v>15</v>
      </c>
      <c r="G171" s="241"/>
      <c r="H171" s="376">
        <v>624826.6</v>
      </c>
      <c r="I171" s="219"/>
      <c r="J171" s="235">
        <f>(VLOOKUP($F171,Factors,J$384))*$H171</f>
        <v>375583.26926</v>
      </c>
      <c r="K171" s="373"/>
      <c r="L171" s="235">
        <f>(VLOOKUP($F171,Factors,L$384))*$H171</f>
        <v>140773.43297999998</v>
      </c>
      <c r="M171" s="373"/>
      <c r="N171" s="235">
        <f>(VLOOKUP($F171,Factors,N$384))*$H171</f>
        <v>14870.873080000001</v>
      </c>
      <c r="O171" s="373"/>
      <c r="P171" s="235">
        <f>(VLOOKUP($F171,Factors,P$384))*$H171</f>
        <v>45549.85914</v>
      </c>
      <c r="Q171" s="373"/>
      <c r="R171" s="235">
        <f>(VLOOKUP($F171,Factors,R$384))*$H171</f>
        <v>12871.427959999999</v>
      </c>
      <c r="S171" s="373"/>
      <c r="T171" s="235">
        <f>(VLOOKUP($F171,Factors,T$384))*$H171</f>
        <v>18432.3847</v>
      </c>
      <c r="U171" s="373"/>
      <c r="V171" s="235">
        <f>(VLOOKUP($F171,Factors,V$384))*$H171</f>
        <v>16745.35288</v>
      </c>
      <c r="W171" s="236"/>
      <c r="X171" s="236"/>
      <c r="AA171" s="241" t="s">
        <v>190</v>
      </c>
      <c r="AC171" s="280">
        <f>+F171</f>
        <v>15</v>
      </c>
      <c r="AE171" s="161">
        <f>+H171</f>
        <v>624826.6</v>
      </c>
      <c r="AG171" s="148">
        <f>(VLOOKUP($AC171,func,AG$384))*$AE171</f>
        <v>209254.42833999998</v>
      </c>
      <c r="AH171" s="148"/>
      <c r="AI171" s="148">
        <f>(VLOOKUP($AC171,func,AI$384))*$AE171</f>
        <v>97223.01895999999</v>
      </c>
      <c r="AJ171" s="148"/>
      <c r="AK171" s="148">
        <f>(VLOOKUP($AC171,func,AK$384))*$AE171</f>
        <v>91287.16626</v>
      </c>
      <c r="AL171" s="148"/>
      <c r="AM171" s="148">
        <f>(VLOOKUP($AC171,func,AM$384))*$AE171</f>
        <v>7935.29782</v>
      </c>
      <c r="AN171" s="148"/>
      <c r="AO171" s="148">
        <f>(VLOOKUP($AC171,func,AO$384))*$AE171</f>
        <v>22931.13622</v>
      </c>
      <c r="AP171" s="148"/>
      <c r="AQ171" s="148">
        <f>(VLOOKUP($AC171,func,AQ$384))*$AE171</f>
        <v>119216.91528</v>
      </c>
      <c r="AR171" s="148"/>
      <c r="AS171" s="148">
        <f>(VLOOKUP($AC171,func,AS$384))*$AE171</f>
        <v>43737.862</v>
      </c>
      <c r="AT171" s="148"/>
      <c r="AU171" s="148">
        <f>(VLOOKUP($AC171,func,AU$384))*$AE171</f>
        <v>16495.42224</v>
      </c>
      <c r="AV171" s="148"/>
      <c r="AW171" s="148">
        <f>(VLOOKUP($AC171,func,AW$384))*$AE171</f>
        <v>16745.35288</v>
      </c>
      <c r="AY171" s="193"/>
    </row>
    <row r="172" spans="1:51" ht="12.75">
      <c r="A172" s="306"/>
      <c r="B172" s="220">
        <f>SUM(H173:H176)-C172</f>
        <v>9987365</v>
      </c>
      <c r="C172" s="236"/>
      <c r="D172" s="241" t="s">
        <v>191</v>
      </c>
      <c r="E172" s="310"/>
      <c r="F172" s="311"/>
      <c r="G172" s="241"/>
      <c r="H172" s="376"/>
      <c r="I172" s="219"/>
      <c r="J172" s="162"/>
      <c r="K172" s="220"/>
      <c r="L172" s="162"/>
      <c r="M172" s="220"/>
      <c r="N172" s="162"/>
      <c r="O172" s="220"/>
      <c r="P172" s="162"/>
      <c r="Q172" s="219"/>
      <c r="R172" s="162"/>
      <c r="S172" s="220"/>
      <c r="T172" s="162"/>
      <c r="U172" s="220"/>
      <c r="V172" s="162"/>
      <c r="X172" s="193"/>
      <c r="AA172" s="241" t="s">
        <v>191</v>
      </c>
      <c r="AE172" s="162"/>
      <c r="AF172" s="219"/>
      <c r="AG172" s="162"/>
      <c r="AH172" s="220"/>
      <c r="AI172" s="162"/>
      <c r="AJ172" s="220"/>
      <c r="AK172" s="162"/>
      <c r="AL172" s="220"/>
      <c r="AM172" s="162"/>
      <c r="AN172" s="219"/>
      <c r="AO172" s="162"/>
      <c r="AP172" s="220"/>
      <c r="AQ172" s="162"/>
      <c r="AR172" s="220"/>
      <c r="AS172" s="162"/>
      <c r="AT172" s="220"/>
      <c r="AU172" s="162"/>
      <c r="AV172" s="220"/>
      <c r="AW172" s="162"/>
      <c r="AY172" s="193"/>
    </row>
    <row r="173" spans="1:51" ht="12.75">
      <c r="A173" s="306"/>
      <c r="B173" s="306"/>
      <c r="C173" s="236"/>
      <c r="D173" s="241" t="s">
        <v>192</v>
      </c>
      <c r="E173" s="310"/>
      <c r="F173" s="311">
        <v>13</v>
      </c>
      <c r="G173" s="241"/>
      <c r="H173" s="376">
        <v>1804958.3223494075</v>
      </c>
      <c r="I173" s="219"/>
      <c r="J173" s="235">
        <f>(VLOOKUP($F173,Factors,J$384))*$H173</f>
        <v>1621394.0609664726</v>
      </c>
      <c r="K173" s="373"/>
      <c r="L173" s="235">
        <f aca="true" t="shared" si="20" ref="L173:L183">(VLOOKUP($F173,Factors,L$384))*$H173</f>
        <v>132122.94919597663</v>
      </c>
      <c r="M173" s="373"/>
      <c r="N173" s="235">
        <f aca="true" t="shared" si="21" ref="N173:N183">(VLOOKUP($F173,Factors,N$384))*$H173</f>
        <v>721.983328939763</v>
      </c>
      <c r="O173" s="373"/>
      <c r="P173" s="235">
        <f aca="true" t="shared" si="22" ref="P173:P183">(VLOOKUP($F173,Factors,P$384))*$H173</f>
        <v>11010.245766331387</v>
      </c>
      <c r="Q173" s="373"/>
      <c r="R173" s="235">
        <f aca="true" t="shared" si="23" ref="R173:R183">(VLOOKUP($F173,Factors,R$384))*$H173</f>
        <v>360.9916644698815</v>
      </c>
      <c r="S173" s="373"/>
      <c r="T173" s="235">
        <f aca="true" t="shared" si="24" ref="T173:T183">(VLOOKUP($F173,Factors,T$384))*$H173</f>
        <v>38806.60393051226</v>
      </c>
      <c r="U173" s="373"/>
      <c r="V173" s="235">
        <f aca="true" t="shared" si="25" ref="V173:V183">(VLOOKUP($F173,Factors,V$384))*$H173</f>
        <v>541.4874967048222</v>
      </c>
      <c r="W173" s="236"/>
      <c r="X173" s="236"/>
      <c r="AA173" s="241" t="s">
        <v>192</v>
      </c>
      <c r="AC173" s="280">
        <f aca="true" t="shared" si="26" ref="AC173:AC183">+F173</f>
        <v>13</v>
      </c>
      <c r="AE173" s="161">
        <f aca="true" t="shared" si="27" ref="AE173:AE182">+H173</f>
        <v>1804958.3223494075</v>
      </c>
      <c r="AG173" s="148">
        <f aca="true" t="shared" si="28" ref="AG173:AG183">(VLOOKUP($AC173,func,AG$384))*$AE173</f>
        <v>0</v>
      </c>
      <c r="AH173" s="148"/>
      <c r="AI173" s="148">
        <f aca="true" t="shared" si="29" ref="AI173:AI183">(VLOOKUP($AC173,func,AI$384))*$AE173</f>
        <v>0</v>
      </c>
      <c r="AJ173" s="148"/>
      <c r="AK173" s="148">
        <f aca="true" t="shared" si="30" ref="AK173:AK183">(VLOOKUP($AC173,func,AK$384))*$AE173</f>
        <v>0</v>
      </c>
      <c r="AL173" s="148"/>
      <c r="AM173" s="148">
        <f aca="true" t="shared" si="31" ref="AM173:AM183">(VLOOKUP($AC173,func,AM$384))*$AE173</f>
        <v>0</v>
      </c>
      <c r="AN173" s="148"/>
      <c r="AO173" s="148">
        <f aca="true" t="shared" si="32" ref="AO173:AO183">(VLOOKUP($AC173,func,AO$384))*$AE173</f>
        <v>0</v>
      </c>
      <c r="AP173" s="148"/>
      <c r="AQ173" s="148">
        <f aca="true" t="shared" si="33" ref="AQ173:AS183">(VLOOKUP($AC173,func,AQ$384))*$AE173</f>
        <v>1765610.2309221905</v>
      </c>
      <c r="AR173" s="148"/>
      <c r="AS173" s="148">
        <f t="shared" si="33"/>
        <v>0</v>
      </c>
      <c r="AT173" s="148"/>
      <c r="AU173" s="148">
        <f aca="true" t="shared" si="34" ref="AU173:AW183">(VLOOKUP($AC173,func,AU$384))*$AE173</f>
        <v>38806.60393051226</v>
      </c>
      <c r="AV173" s="148"/>
      <c r="AW173" s="148">
        <f t="shared" si="34"/>
        <v>541.4874967048222</v>
      </c>
      <c r="AY173" s="193"/>
    </row>
    <row r="174" spans="1:51" ht="12.75">
      <c r="A174" s="306"/>
      <c r="B174" s="306"/>
      <c r="C174" s="236"/>
      <c r="D174" s="241" t="s">
        <v>654</v>
      </c>
      <c r="E174" s="310"/>
      <c r="F174" s="311">
        <v>16</v>
      </c>
      <c r="G174" s="241"/>
      <c r="H174" s="376">
        <v>421777.8635953211</v>
      </c>
      <c r="I174" s="219"/>
      <c r="J174" s="235">
        <f>(VLOOKUP($F174,Factors,J$384))*$H174</f>
        <v>236026.89246794168</v>
      </c>
      <c r="K174" s="373"/>
      <c r="L174" s="235">
        <f t="shared" si="20"/>
        <v>104347.84345348243</v>
      </c>
      <c r="M174" s="373"/>
      <c r="N174" s="235">
        <f t="shared" si="21"/>
        <v>11598.89124887133</v>
      </c>
      <c r="O174" s="373"/>
      <c r="P174" s="235">
        <f t="shared" si="22"/>
        <v>35429.340542006976</v>
      </c>
      <c r="Q174" s="373"/>
      <c r="R174" s="235">
        <f t="shared" si="23"/>
        <v>10080.490939928175</v>
      </c>
      <c r="S174" s="373"/>
      <c r="T174" s="235">
        <f t="shared" si="24"/>
        <v>11978.49132610712</v>
      </c>
      <c r="U174" s="373"/>
      <c r="V174" s="235">
        <f t="shared" si="25"/>
        <v>12315.913616983376</v>
      </c>
      <c r="W174" s="236"/>
      <c r="X174" s="236"/>
      <c r="AA174" s="241" t="s">
        <v>654</v>
      </c>
      <c r="AC174" s="280">
        <f t="shared" si="26"/>
        <v>16</v>
      </c>
      <c r="AE174" s="161">
        <f>+H174</f>
        <v>421777.8635953211</v>
      </c>
      <c r="AG174" s="148">
        <f t="shared" si="28"/>
        <v>164071.5889385799</v>
      </c>
      <c r="AH174" s="148"/>
      <c r="AI174" s="148">
        <f t="shared" si="29"/>
        <v>76974.4601061461</v>
      </c>
      <c r="AJ174" s="148"/>
      <c r="AK174" s="148">
        <f t="shared" si="30"/>
        <v>69888.59199774469</v>
      </c>
      <c r="AL174" s="148"/>
      <c r="AM174" s="148">
        <f t="shared" si="31"/>
        <v>6495.379099367945</v>
      </c>
      <c r="AN174" s="148"/>
      <c r="AO174" s="148">
        <f t="shared" si="32"/>
        <v>18811.29271635132</v>
      </c>
      <c r="AP174" s="148"/>
      <c r="AQ174" s="148">
        <f t="shared" si="33"/>
        <v>56686.94486721115</v>
      </c>
      <c r="AR174" s="148"/>
      <c r="AS174" s="148">
        <f t="shared" si="33"/>
        <v>5187.86772222245</v>
      </c>
      <c r="AT174" s="148"/>
      <c r="AU174" s="148">
        <f t="shared" si="34"/>
        <v>11345.824530714137</v>
      </c>
      <c r="AV174" s="148"/>
      <c r="AW174" s="148">
        <f t="shared" si="34"/>
        <v>12315.913616983376</v>
      </c>
      <c r="AY174" s="193"/>
    </row>
    <row r="175" spans="1:51" ht="12.75">
      <c r="A175" s="306"/>
      <c r="B175" s="306"/>
      <c r="C175" s="236"/>
      <c r="D175" s="241" t="s">
        <v>193</v>
      </c>
      <c r="E175" s="310"/>
      <c r="F175" s="311">
        <v>1</v>
      </c>
      <c r="G175" s="241"/>
      <c r="H175" s="376">
        <v>209498.61107584627</v>
      </c>
      <c r="I175" s="219"/>
      <c r="J175" s="235">
        <f aca="true" t="shared" si="35" ref="J175:J183">(VLOOKUP($F175,Factors,J$384))*$H175</f>
        <v>102298.17178833573</v>
      </c>
      <c r="K175" s="373"/>
      <c r="L175" s="235">
        <f t="shared" si="20"/>
        <v>64064.67526699379</v>
      </c>
      <c r="M175" s="373"/>
      <c r="N175" s="235">
        <f t="shared" si="21"/>
        <v>8589.443054109697</v>
      </c>
      <c r="O175" s="373"/>
      <c r="P175" s="235">
        <f t="shared" si="22"/>
        <v>25621.680134576</v>
      </c>
      <c r="Q175" s="373"/>
      <c r="R175" s="235">
        <f t="shared" si="23"/>
        <v>7772.398470913897</v>
      </c>
      <c r="S175" s="373"/>
      <c r="T175" s="235">
        <f t="shared" si="24"/>
        <v>523.7465276896157</v>
      </c>
      <c r="U175" s="373"/>
      <c r="V175" s="235">
        <f t="shared" si="25"/>
        <v>628.4958332275388</v>
      </c>
      <c r="W175" s="236"/>
      <c r="X175" s="236"/>
      <c r="AA175" s="241" t="s">
        <v>193</v>
      </c>
      <c r="AC175" s="280">
        <f t="shared" si="26"/>
        <v>1</v>
      </c>
      <c r="AE175" s="161">
        <f t="shared" si="27"/>
        <v>209498.61107584627</v>
      </c>
      <c r="AG175" s="148">
        <f t="shared" si="28"/>
        <v>208346.36871492912</v>
      </c>
      <c r="AH175" s="148"/>
      <c r="AI175" s="148">
        <f t="shared" si="29"/>
        <v>0</v>
      </c>
      <c r="AJ175" s="148"/>
      <c r="AK175" s="148">
        <f t="shared" si="30"/>
        <v>0</v>
      </c>
      <c r="AL175" s="148"/>
      <c r="AM175" s="148">
        <f t="shared" si="31"/>
        <v>0</v>
      </c>
      <c r="AN175" s="148"/>
      <c r="AO175" s="148">
        <f t="shared" si="32"/>
        <v>0</v>
      </c>
      <c r="AP175" s="148"/>
      <c r="AQ175" s="148">
        <f t="shared" si="33"/>
        <v>0</v>
      </c>
      <c r="AR175" s="148"/>
      <c r="AS175" s="148">
        <f t="shared" si="33"/>
        <v>0</v>
      </c>
      <c r="AT175" s="148"/>
      <c r="AU175" s="148">
        <f t="shared" si="34"/>
        <v>523.7465276896157</v>
      </c>
      <c r="AV175" s="148"/>
      <c r="AW175" s="148">
        <f t="shared" si="34"/>
        <v>628.4958332275388</v>
      </c>
      <c r="AY175" s="193"/>
    </row>
    <row r="176" spans="1:51" ht="12.75">
      <c r="A176" s="463"/>
      <c r="B176" s="463"/>
      <c r="C176" s="236"/>
      <c r="D176" s="241" t="s">
        <v>194</v>
      </c>
      <c r="E176" s="310"/>
      <c r="F176" s="311">
        <v>15</v>
      </c>
      <c r="G176" s="241"/>
      <c r="H176" s="376">
        <v>7551130.202979425</v>
      </c>
      <c r="I176" s="219"/>
      <c r="J176" s="235">
        <f t="shared" si="35"/>
        <v>4538984.365010932</v>
      </c>
      <c r="K176" s="373"/>
      <c r="L176" s="235">
        <f t="shared" si="20"/>
        <v>1701269.6347312646</v>
      </c>
      <c r="M176" s="373"/>
      <c r="N176" s="235">
        <f t="shared" si="21"/>
        <v>179716.89883091033</v>
      </c>
      <c r="O176" s="373"/>
      <c r="P176" s="235">
        <f t="shared" si="22"/>
        <v>550477.3917972001</v>
      </c>
      <c r="Q176" s="373"/>
      <c r="R176" s="235">
        <f t="shared" si="23"/>
        <v>155553.28218137615</v>
      </c>
      <c r="S176" s="373"/>
      <c r="T176" s="235">
        <f t="shared" si="24"/>
        <v>222758.34098789303</v>
      </c>
      <c r="U176" s="373"/>
      <c r="V176" s="235">
        <f t="shared" si="25"/>
        <v>202370.2894398486</v>
      </c>
      <c r="W176" s="236"/>
      <c r="X176" s="236"/>
      <c r="AA176" s="241" t="s">
        <v>194</v>
      </c>
      <c r="AC176" s="280">
        <f t="shared" si="26"/>
        <v>15</v>
      </c>
      <c r="AE176" s="161">
        <f t="shared" si="27"/>
        <v>7551130.202979425</v>
      </c>
      <c r="AG176" s="148">
        <f t="shared" si="28"/>
        <v>2528873.5049778093</v>
      </c>
      <c r="AH176" s="148"/>
      <c r="AI176" s="148">
        <f t="shared" si="29"/>
        <v>1174955.8595835983</v>
      </c>
      <c r="AJ176" s="148"/>
      <c r="AK176" s="148">
        <f t="shared" si="30"/>
        <v>1103220.1226552941</v>
      </c>
      <c r="AL176" s="148"/>
      <c r="AM176" s="148">
        <f t="shared" si="31"/>
        <v>95899.35357783869</v>
      </c>
      <c r="AN176" s="148"/>
      <c r="AO176" s="148">
        <f t="shared" si="32"/>
        <v>277126.4784493449</v>
      </c>
      <c r="AP176" s="148"/>
      <c r="AQ176" s="148">
        <f t="shared" si="33"/>
        <v>1440755.6427284742</v>
      </c>
      <c r="AR176" s="148"/>
      <c r="AS176" s="148">
        <f t="shared" si="33"/>
        <v>528579.1142085599</v>
      </c>
      <c r="AT176" s="148"/>
      <c r="AU176" s="148">
        <f t="shared" si="34"/>
        <v>199349.8373586568</v>
      </c>
      <c r="AV176" s="148"/>
      <c r="AW176" s="148">
        <f t="shared" si="34"/>
        <v>202370.2894398486</v>
      </c>
      <c r="AY176" s="193"/>
    </row>
    <row r="177" spans="1:51" ht="12.75">
      <c r="A177" s="463"/>
      <c r="B177" s="463"/>
      <c r="C177" s="236"/>
      <c r="D177" s="241" t="s">
        <v>195</v>
      </c>
      <c r="E177" s="310"/>
      <c r="F177" s="311">
        <v>15</v>
      </c>
      <c r="G177" s="241"/>
      <c r="H177" s="376">
        <v>192767.08837279637</v>
      </c>
      <c r="I177" s="219"/>
      <c r="J177" s="235">
        <f t="shared" si="35"/>
        <v>115872.29682088789</v>
      </c>
      <c r="K177" s="373"/>
      <c r="L177" s="235">
        <f t="shared" si="20"/>
        <v>43430.42501039102</v>
      </c>
      <c r="M177" s="373"/>
      <c r="N177" s="235">
        <f t="shared" si="21"/>
        <v>4587.856703272554</v>
      </c>
      <c r="O177" s="373"/>
      <c r="P177" s="235">
        <f t="shared" si="22"/>
        <v>14052.720742376856</v>
      </c>
      <c r="Q177" s="373"/>
      <c r="R177" s="235">
        <f t="shared" si="23"/>
        <v>3971.002020479605</v>
      </c>
      <c r="S177" s="373"/>
      <c r="T177" s="235">
        <f t="shared" si="24"/>
        <v>5686.629106997492</v>
      </c>
      <c r="U177" s="373"/>
      <c r="V177" s="235">
        <f t="shared" si="25"/>
        <v>5166.157968390943</v>
      </c>
      <c r="W177" s="236"/>
      <c r="X177" s="236"/>
      <c r="AA177" s="241" t="s">
        <v>195</v>
      </c>
      <c r="AC177" s="280">
        <f t="shared" si="26"/>
        <v>15</v>
      </c>
      <c r="AE177" s="161">
        <f t="shared" si="27"/>
        <v>192767.08837279637</v>
      </c>
      <c r="AG177" s="148">
        <f t="shared" si="28"/>
        <v>64557.697896049496</v>
      </c>
      <c r="AH177" s="148"/>
      <c r="AI177" s="148">
        <f t="shared" si="29"/>
        <v>29994.558950807113</v>
      </c>
      <c r="AJ177" s="148"/>
      <c r="AK177" s="148">
        <f t="shared" si="30"/>
        <v>28163.27161126555</v>
      </c>
      <c r="AL177" s="148"/>
      <c r="AM177" s="148">
        <f t="shared" si="31"/>
        <v>2448.142022334514</v>
      </c>
      <c r="AN177" s="148"/>
      <c r="AO177" s="148">
        <f t="shared" si="32"/>
        <v>7074.552143281628</v>
      </c>
      <c r="AP177" s="148"/>
      <c r="AQ177" s="148">
        <f t="shared" si="33"/>
        <v>36779.96046152955</v>
      </c>
      <c r="AR177" s="148"/>
      <c r="AS177" s="148">
        <f t="shared" si="33"/>
        <v>13493.696186095747</v>
      </c>
      <c r="AT177" s="148"/>
      <c r="AU177" s="148">
        <f t="shared" si="34"/>
        <v>5089.051133041824</v>
      </c>
      <c r="AV177" s="148"/>
      <c r="AW177" s="148">
        <f t="shared" si="34"/>
        <v>5166.157968390943</v>
      </c>
      <c r="AY177" s="193"/>
    </row>
    <row r="178" spans="1:51" ht="12.75">
      <c r="A178" s="464"/>
      <c r="B178" s="464"/>
      <c r="C178" s="236"/>
      <c r="D178" s="241" t="s">
        <v>196</v>
      </c>
      <c r="E178" s="310"/>
      <c r="F178" s="311">
        <v>16</v>
      </c>
      <c r="G178" s="241"/>
      <c r="H178" s="376">
        <v>131821</v>
      </c>
      <c r="I178" s="219"/>
      <c r="J178" s="235">
        <f t="shared" si="35"/>
        <v>73767.0316</v>
      </c>
      <c r="K178" s="373"/>
      <c r="L178" s="235">
        <f t="shared" si="20"/>
        <v>32612.5154</v>
      </c>
      <c r="M178" s="373"/>
      <c r="N178" s="235">
        <f t="shared" si="21"/>
        <v>3625.0775</v>
      </c>
      <c r="O178" s="373"/>
      <c r="P178" s="235">
        <f t="shared" si="22"/>
        <v>11072.964</v>
      </c>
      <c r="Q178" s="373"/>
      <c r="R178" s="235">
        <f t="shared" si="23"/>
        <v>3150.5219</v>
      </c>
      <c r="S178" s="373"/>
      <c r="T178" s="235">
        <f t="shared" si="24"/>
        <v>3743.7164000000002</v>
      </c>
      <c r="U178" s="373"/>
      <c r="V178" s="235">
        <f t="shared" si="25"/>
        <v>3849.1732</v>
      </c>
      <c r="W178" s="236"/>
      <c r="X178" s="236"/>
      <c r="AA178" s="241" t="s">
        <v>196</v>
      </c>
      <c r="AC178" s="280">
        <f t="shared" si="26"/>
        <v>16</v>
      </c>
      <c r="AE178" s="161">
        <f t="shared" si="27"/>
        <v>131821</v>
      </c>
      <c r="AG178" s="148">
        <f t="shared" si="28"/>
        <v>51278.369</v>
      </c>
      <c r="AH178" s="148"/>
      <c r="AI178" s="148">
        <f t="shared" si="29"/>
        <v>24057.3325</v>
      </c>
      <c r="AJ178" s="148"/>
      <c r="AK178" s="148">
        <f t="shared" si="30"/>
        <v>21842.7397</v>
      </c>
      <c r="AL178" s="148"/>
      <c r="AM178" s="148">
        <f t="shared" si="31"/>
        <v>2030.0434</v>
      </c>
      <c r="AN178" s="148"/>
      <c r="AO178" s="148">
        <f t="shared" si="32"/>
        <v>5879.2166</v>
      </c>
      <c r="AP178" s="148"/>
      <c r="AQ178" s="148">
        <f t="shared" si="33"/>
        <v>17716.7424</v>
      </c>
      <c r="AR178" s="148"/>
      <c r="AS178" s="148">
        <f t="shared" si="33"/>
        <v>1621.3983</v>
      </c>
      <c r="AT178" s="148"/>
      <c r="AU178" s="148">
        <f t="shared" si="34"/>
        <v>3545.9849</v>
      </c>
      <c r="AV178" s="148"/>
      <c r="AW178" s="148">
        <f t="shared" si="34"/>
        <v>3849.1732</v>
      </c>
      <c r="AY178" s="193"/>
    </row>
    <row r="179" spans="1:51" ht="12.75">
      <c r="A179" s="464"/>
      <c r="B179" s="463"/>
      <c r="C179" s="236"/>
      <c r="D179" s="241" t="s">
        <v>197</v>
      </c>
      <c r="E179" s="310"/>
      <c r="F179" s="311">
        <v>15</v>
      </c>
      <c r="G179" s="241"/>
      <c r="H179" s="376">
        <v>419690.653245347</v>
      </c>
      <c r="I179" s="219"/>
      <c r="J179" s="235">
        <f t="shared" si="35"/>
        <v>252276.0516657781</v>
      </c>
      <c r="K179" s="373"/>
      <c r="L179" s="235">
        <f t="shared" si="20"/>
        <v>94556.30417617668</v>
      </c>
      <c r="M179" s="373"/>
      <c r="N179" s="235">
        <f t="shared" si="21"/>
        <v>9988.63754723926</v>
      </c>
      <c r="O179" s="373"/>
      <c r="P179" s="235">
        <f t="shared" si="22"/>
        <v>30595.4486215858</v>
      </c>
      <c r="Q179" s="373"/>
      <c r="R179" s="235">
        <f t="shared" si="23"/>
        <v>8645.627456854148</v>
      </c>
      <c r="S179" s="373"/>
      <c r="T179" s="235">
        <f t="shared" si="24"/>
        <v>12380.874270737737</v>
      </c>
      <c r="U179" s="373"/>
      <c r="V179" s="235">
        <f t="shared" si="25"/>
        <v>11247.709506975301</v>
      </c>
      <c r="W179" s="236"/>
      <c r="X179" s="236"/>
      <c r="AA179" s="241" t="s">
        <v>197</v>
      </c>
      <c r="AC179" s="280">
        <f t="shared" si="26"/>
        <v>15</v>
      </c>
      <c r="AE179" s="161">
        <f t="shared" si="27"/>
        <v>419690.653245347</v>
      </c>
      <c r="AG179" s="148">
        <f t="shared" si="28"/>
        <v>140554.3997718667</v>
      </c>
      <c r="AH179" s="148"/>
      <c r="AI179" s="148">
        <f t="shared" si="29"/>
        <v>65303.865644975995</v>
      </c>
      <c r="AJ179" s="148"/>
      <c r="AK179" s="148">
        <f t="shared" si="30"/>
        <v>61316.804439145206</v>
      </c>
      <c r="AL179" s="148"/>
      <c r="AM179" s="148">
        <f t="shared" si="31"/>
        <v>5330.071296215907</v>
      </c>
      <c r="AN179" s="148"/>
      <c r="AO179" s="148">
        <f t="shared" si="32"/>
        <v>15402.646974104237</v>
      </c>
      <c r="AP179" s="148"/>
      <c r="AQ179" s="148">
        <f t="shared" si="33"/>
        <v>80076.97663921221</v>
      </c>
      <c r="AR179" s="148"/>
      <c r="AS179" s="148">
        <f t="shared" si="33"/>
        <v>29378.345727174295</v>
      </c>
      <c r="AT179" s="148"/>
      <c r="AU179" s="148">
        <f t="shared" si="34"/>
        <v>11079.833245677162</v>
      </c>
      <c r="AV179" s="148"/>
      <c r="AW179" s="148">
        <f t="shared" si="34"/>
        <v>11247.709506975301</v>
      </c>
      <c r="AY179" s="193"/>
    </row>
    <row r="180" spans="1:51" ht="12.75">
      <c r="A180" s="358"/>
      <c r="B180" s="359"/>
      <c r="C180" s="236"/>
      <c r="D180" s="241" t="s">
        <v>198</v>
      </c>
      <c r="E180" s="310"/>
      <c r="F180" s="311">
        <v>16</v>
      </c>
      <c r="G180" s="241"/>
      <c r="H180" s="376">
        <v>3969883.774297207</v>
      </c>
      <c r="I180" s="219"/>
      <c r="J180" s="235">
        <f t="shared" si="35"/>
        <v>2221546.960096717</v>
      </c>
      <c r="K180" s="373"/>
      <c r="L180" s="235">
        <f t="shared" si="20"/>
        <v>982149.2457611291</v>
      </c>
      <c r="M180" s="373"/>
      <c r="N180" s="235">
        <f t="shared" si="21"/>
        <v>109171.8037931732</v>
      </c>
      <c r="O180" s="373"/>
      <c r="P180" s="235">
        <f t="shared" si="22"/>
        <v>333470.2370409654</v>
      </c>
      <c r="Q180" s="373"/>
      <c r="R180" s="235">
        <f t="shared" si="23"/>
        <v>94880.22220570325</v>
      </c>
      <c r="S180" s="373"/>
      <c r="T180" s="235">
        <f t="shared" si="24"/>
        <v>112744.69919004069</v>
      </c>
      <c r="U180" s="373"/>
      <c r="V180" s="235">
        <f t="shared" si="25"/>
        <v>115920.60620947844</v>
      </c>
      <c r="W180" s="236"/>
      <c r="X180" s="236"/>
      <c r="AA180" s="241" t="s">
        <v>198</v>
      </c>
      <c r="AC180" s="280">
        <f t="shared" si="26"/>
        <v>16</v>
      </c>
      <c r="AE180" s="161">
        <f t="shared" si="27"/>
        <v>3969883.774297207</v>
      </c>
      <c r="AG180" s="148">
        <f t="shared" si="28"/>
        <v>1544284.7882016136</v>
      </c>
      <c r="AH180" s="148"/>
      <c r="AI180" s="148">
        <f t="shared" si="29"/>
        <v>724503.7888092403</v>
      </c>
      <c r="AJ180" s="148"/>
      <c r="AK180" s="148">
        <f t="shared" si="30"/>
        <v>657809.7414010472</v>
      </c>
      <c r="AL180" s="148"/>
      <c r="AM180" s="148">
        <f t="shared" si="31"/>
        <v>61136.21012417699</v>
      </c>
      <c r="AN180" s="148"/>
      <c r="AO180" s="148">
        <f t="shared" si="32"/>
        <v>177056.81633365544</v>
      </c>
      <c r="AP180" s="148"/>
      <c r="AQ180" s="148">
        <f t="shared" si="33"/>
        <v>533552.3792655446</v>
      </c>
      <c r="AR180" s="148"/>
      <c r="AS180" s="148">
        <f t="shared" si="33"/>
        <v>48829.57042385565</v>
      </c>
      <c r="AT180" s="148"/>
      <c r="AU180" s="148">
        <f t="shared" si="34"/>
        <v>106789.87352859488</v>
      </c>
      <c r="AV180" s="148"/>
      <c r="AW180" s="148">
        <f t="shared" si="34"/>
        <v>115920.60620947844</v>
      </c>
      <c r="AY180" s="193"/>
    </row>
    <row r="181" spans="1:51" ht="12.75">
      <c r="A181" s="464"/>
      <c r="B181" s="464"/>
      <c r="C181" s="236"/>
      <c r="D181" s="241" t="s">
        <v>199</v>
      </c>
      <c r="E181" s="310"/>
      <c r="F181" s="311">
        <v>19</v>
      </c>
      <c r="G181" s="241"/>
      <c r="H181" s="376">
        <v>366462</v>
      </c>
      <c r="I181" s="219"/>
      <c r="J181" s="235">
        <f t="shared" si="35"/>
        <v>198036.0648</v>
      </c>
      <c r="K181" s="373"/>
      <c r="L181" s="235">
        <f t="shared" si="20"/>
        <v>92128.54680000001</v>
      </c>
      <c r="M181" s="373"/>
      <c r="N181" s="235">
        <f t="shared" si="21"/>
        <v>10480.8132</v>
      </c>
      <c r="O181" s="373"/>
      <c r="P181" s="235">
        <f t="shared" si="22"/>
        <v>32212.009800000003</v>
      </c>
      <c r="Q181" s="373"/>
      <c r="R181" s="235">
        <f t="shared" si="23"/>
        <v>9234.8424</v>
      </c>
      <c r="S181" s="373"/>
      <c r="T181" s="235">
        <f t="shared" si="24"/>
        <v>10077.705</v>
      </c>
      <c r="U181" s="373"/>
      <c r="V181" s="235">
        <f t="shared" si="25"/>
        <v>14292.018</v>
      </c>
      <c r="W181" s="236"/>
      <c r="X181" s="236"/>
      <c r="AA181" s="241" t="s">
        <v>199</v>
      </c>
      <c r="AC181" s="280">
        <f t="shared" si="26"/>
        <v>19</v>
      </c>
      <c r="AE181" s="161">
        <f t="shared" si="27"/>
        <v>366462</v>
      </c>
      <c r="AG181" s="148">
        <f t="shared" si="28"/>
        <v>163185.5286</v>
      </c>
      <c r="AH181" s="148"/>
      <c r="AI181" s="148">
        <f t="shared" si="29"/>
        <v>72156.36779999999</v>
      </c>
      <c r="AJ181" s="148"/>
      <c r="AK181" s="148">
        <f t="shared" si="30"/>
        <v>39467.9574</v>
      </c>
      <c r="AL181" s="148"/>
      <c r="AM181" s="148">
        <f t="shared" si="31"/>
        <v>16747.3134</v>
      </c>
      <c r="AN181" s="148"/>
      <c r="AO181" s="148">
        <f t="shared" si="32"/>
        <v>10150.9974</v>
      </c>
      <c r="AP181" s="148"/>
      <c r="AQ181" s="148">
        <f t="shared" si="33"/>
        <v>34044.3198</v>
      </c>
      <c r="AR181" s="148"/>
      <c r="AS181" s="148">
        <f t="shared" si="33"/>
        <v>6889.4856</v>
      </c>
      <c r="AT181" s="148"/>
      <c r="AU181" s="148">
        <f t="shared" si="34"/>
        <v>9674.5968</v>
      </c>
      <c r="AV181" s="148"/>
      <c r="AW181" s="148">
        <f t="shared" si="34"/>
        <v>14182.079399999999</v>
      </c>
      <c r="AY181" s="193"/>
    </row>
    <row r="182" spans="1:51" ht="12.75">
      <c r="A182" s="464"/>
      <c r="B182" s="464"/>
      <c r="C182" s="236"/>
      <c r="D182" s="241" t="s">
        <v>200</v>
      </c>
      <c r="E182" s="310"/>
      <c r="F182" s="311">
        <v>15</v>
      </c>
      <c r="G182" s="241"/>
      <c r="H182" s="376">
        <v>1385081.6201475644</v>
      </c>
      <c r="I182" s="459"/>
      <c r="J182" s="235">
        <f t="shared" si="35"/>
        <v>832572.5618707009</v>
      </c>
      <c r="K182" s="459"/>
      <c r="L182" s="235">
        <f t="shared" si="20"/>
        <v>312058.8890192463</v>
      </c>
      <c r="M182" s="459"/>
      <c r="N182" s="235">
        <f t="shared" si="21"/>
        <v>32964.942559512034</v>
      </c>
      <c r="O182" s="459"/>
      <c r="P182" s="235">
        <f t="shared" si="22"/>
        <v>100972.45010875746</v>
      </c>
      <c r="Q182" s="459"/>
      <c r="R182" s="235">
        <f t="shared" si="23"/>
        <v>28532.68137503983</v>
      </c>
      <c r="S182" s="459"/>
      <c r="T182" s="235">
        <f t="shared" si="24"/>
        <v>40859.90779435315</v>
      </c>
      <c r="U182" s="459"/>
      <c r="V182" s="235">
        <f t="shared" si="25"/>
        <v>37120.18741995473</v>
      </c>
      <c r="W182" s="236"/>
      <c r="X182" s="236"/>
      <c r="AA182" s="241" t="s">
        <v>200</v>
      </c>
      <c r="AC182" s="280">
        <f t="shared" si="26"/>
        <v>15</v>
      </c>
      <c r="AE182" s="161">
        <f t="shared" si="27"/>
        <v>1385081.6201475644</v>
      </c>
      <c r="AG182" s="148">
        <f t="shared" si="28"/>
        <v>463863.8345874193</v>
      </c>
      <c r="AH182" s="148"/>
      <c r="AI182" s="148">
        <f t="shared" si="29"/>
        <v>215518.700094961</v>
      </c>
      <c r="AJ182" s="148"/>
      <c r="AK182" s="148">
        <f t="shared" si="30"/>
        <v>202360.42470355917</v>
      </c>
      <c r="AL182" s="148"/>
      <c r="AM182" s="148">
        <f t="shared" si="31"/>
        <v>17590.536575874066</v>
      </c>
      <c r="AN182" s="148"/>
      <c r="AO182" s="148">
        <f t="shared" si="32"/>
        <v>50832.49545941562</v>
      </c>
      <c r="AP182" s="148"/>
      <c r="AQ182" s="148">
        <f t="shared" si="33"/>
        <v>264273.5731241553</v>
      </c>
      <c r="AR182" s="148"/>
      <c r="AS182" s="148">
        <f t="shared" si="33"/>
        <v>96955.71341032952</v>
      </c>
      <c r="AT182" s="148"/>
      <c r="AU182" s="148">
        <f t="shared" si="34"/>
        <v>36566.1547718957</v>
      </c>
      <c r="AV182" s="148"/>
      <c r="AW182" s="148">
        <f t="shared" si="34"/>
        <v>37120.18741995473</v>
      </c>
      <c r="AY182" s="193"/>
    </row>
    <row r="183" spans="1:51" ht="12.75">
      <c r="A183" s="464"/>
      <c r="B183" s="464"/>
      <c r="C183" s="236"/>
      <c r="D183" s="241" t="s">
        <v>201</v>
      </c>
      <c r="E183" s="310"/>
      <c r="F183" s="311">
        <v>15</v>
      </c>
      <c r="G183" s="241"/>
      <c r="H183" s="469">
        <v>19728</v>
      </c>
      <c r="I183" s="459"/>
      <c r="J183" s="468">
        <f t="shared" si="35"/>
        <v>11858.5008</v>
      </c>
      <c r="K183" s="459"/>
      <c r="L183" s="468">
        <f t="shared" si="20"/>
        <v>4444.7184</v>
      </c>
      <c r="M183" s="459"/>
      <c r="N183" s="468">
        <f t="shared" si="21"/>
        <v>469.5264</v>
      </c>
      <c r="O183" s="459"/>
      <c r="P183" s="468">
        <f t="shared" si="22"/>
        <v>1438.1712000000002</v>
      </c>
      <c r="Q183" s="459"/>
      <c r="R183" s="468">
        <f t="shared" si="23"/>
        <v>406.3968</v>
      </c>
      <c r="S183" s="459"/>
      <c r="T183" s="468">
        <f t="shared" si="24"/>
        <v>581.976</v>
      </c>
      <c r="U183" s="459"/>
      <c r="V183" s="468">
        <f t="shared" si="25"/>
        <v>528.7104</v>
      </c>
      <c r="W183" s="236"/>
      <c r="X183" s="236"/>
      <c r="AA183" s="241"/>
      <c r="AC183" s="280">
        <f t="shared" si="26"/>
        <v>15</v>
      </c>
      <c r="AE183" s="161">
        <f>+H183</f>
        <v>19728</v>
      </c>
      <c r="AG183" s="148">
        <f t="shared" si="28"/>
        <v>6606.9072</v>
      </c>
      <c r="AH183" s="148"/>
      <c r="AI183" s="148">
        <f t="shared" si="29"/>
        <v>3069.6767999999997</v>
      </c>
      <c r="AJ183" s="148"/>
      <c r="AK183" s="148">
        <f t="shared" si="30"/>
        <v>2882.2608</v>
      </c>
      <c r="AL183" s="148"/>
      <c r="AM183" s="148">
        <f t="shared" si="31"/>
        <v>250.54559999999998</v>
      </c>
      <c r="AN183" s="148"/>
      <c r="AO183" s="148">
        <f t="shared" si="32"/>
        <v>724.0176</v>
      </c>
      <c r="AP183" s="148"/>
      <c r="AQ183" s="148">
        <f t="shared" si="33"/>
        <v>3764.1023999999998</v>
      </c>
      <c r="AR183" s="148"/>
      <c r="AS183" s="148">
        <f t="shared" si="33"/>
        <v>1380.96</v>
      </c>
      <c r="AT183" s="148"/>
      <c r="AU183" s="148">
        <f t="shared" si="34"/>
        <v>520.8192</v>
      </c>
      <c r="AV183" s="148"/>
      <c r="AW183" s="148">
        <f t="shared" si="34"/>
        <v>528.7104</v>
      </c>
      <c r="AY183" s="193"/>
    </row>
    <row r="184" spans="1:51" ht="12.75">
      <c r="A184" s="464"/>
      <c r="B184" s="464"/>
      <c r="C184" s="236"/>
      <c r="D184" s="241"/>
      <c r="E184" s="310"/>
      <c r="F184" s="311"/>
      <c r="G184" s="241"/>
      <c r="H184" s="376"/>
      <c r="I184" s="219"/>
      <c r="J184" s="162"/>
      <c r="K184" s="219"/>
      <c r="L184" s="162"/>
      <c r="M184" s="219"/>
      <c r="N184" s="162"/>
      <c r="O184" s="219"/>
      <c r="P184" s="162"/>
      <c r="Q184" s="219"/>
      <c r="R184" s="162"/>
      <c r="S184" s="219"/>
      <c r="T184" s="162"/>
      <c r="U184" s="219"/>
      <c r="V184" s="162"/>
      <c r="X184" s="193"/>
      <c r="AA184" s="241"/>
      <c r="AC184" s="280"/>
      <c r="AE184" s="461"/>
      <c r="AF184" s="163"/>
      <c r="AG184" s="162"/>
      <c r="AH184" s="163"/>
      <c r="AI184" s="162"/>
      <c r="AJ184" s="163"/>
      <c r="AK184" s="162"/>
      <c r="AL184" s="163"/>
      <c r="AM184" s="162"/>
      <c r="AN184" s="163"/>
      <c r="AO184" s="162"/>
      <c r="AP184" s="163"/>
      <c r="AQ184" s="162"/>
      <c r="AR184" s="163"/>
      <c r="AS184" s="162"/>
      <c r="AT184" s="163"/>
      <c r="AU184" s="162"/>
      <c r="AV184" s="163"/>
      <c r="AW184" s="162"/>
      <c r="AY184" s="193"/>
    </row>
    <row r="185" spans="1:51" ht="12.75">
      <c r="A185" s="464"/>
      <c r="B185" s="464"/>
      <c r="C185" s="236"/>
      <c r="D185" s="241" t="s">
        <v>129</v>
      </c>
      <c r="E185" s="310"/>
      <c r="F185" s="311"/>
      <c r="G185" s="241"/>
      <c r="H185" s="376">
        <f>SUM(H169:H184)</f>
        <v>18508142.485830285</v>
      </c>
      <c r="I185" s="241"/>
      <c r="J185" s="376">
        <f>SUM(J169:J184)</f>
        <v>11428077.845432933</v>
      </c>
      <c r="K185" s="241"/>
      <c r="L185" s="376">
        <f>SUM(L169:L184)</f>
        <v>4021748.603917249</v>
      </c>
      <c r="M185" s="241"/>
      <c r="N185" s="376">
        <f>SUM(N169:N184)</f>
        <v>420357.0458904915</v>
      </c>
      <c r="O185" s="241"/>
      <c r="P185" s="376">
        <f>SUM(P169:P184)</f>
        <v>1294729.1899518413</v>
      </c>
      <c r="Q185" s="241"/>
      <c r="R185" s="376">
        <f>SUM(R169:R184)</f>
        <v>364516.5304199727</v>
      </c>
      <c r="S185" s="241"/>
      <c r="T185" s="376">
        <f>SUM(T169:T184)</f>
        <v>520185.31935246853</v>
      </c>
      <c r="U185" s="241"/>
      <c r="V185" s="376">
        <f>SUM(V169:V184)</f>
        <v>458527.95086532924</v>
      </c>
      <c r="X185" s="193"/>
      <c r="AA185" s="241" t="s">
        <v>129</v>
      </c>
      <c r="AC185" s="280"/>
      <c r="AE185" s="376">
        <f>SUM(AE169:AE184)</f>
        <v>18508142.485830285</v>
      </c>
      <c r="AG185" s="376">
        <f>SUM(AG169:AG184)</f>
        <v>6017259.475725359</v>
      </c>
      <c r="AI185" s="376">
        <f>SUM(AI169:AI184)</f>
        <v>2703234.0355135314</v>
      </c>
      <c r="AK185" s="376">
        <f>SUM(AK169:AK184)</f>
        <v>2484315.578109069</v>
      </c>
      <c r="AM185" s="376">
        <f>SUM(AM169:AM184)</f>
        <v>233776.4556378537</v>
      </c>
      <c r="AO185" s="376">
        <f>SUM(AO169:AO184)</f>
        <v>637755.6146126156</v>
      </c>
      <c r="AQ185" s="376">
        <f>SUM(AQ169:AQ184)</f>
        <v>4621604.383743931</v>
      </c>
      <c r="AS185" s="376">
        <f>SUM(AS169:AS184)</f>
        <v>874790.1860619533</v>
      </c>
      <c r="AU185" s="376">
        <f>SUM(AU169:AU184)</f>
        <v>477025.39036064094</v>
      </c>
      <c r="AW185" s="376">
        <f>SUM(AW169:AW184)</f>
        <v>458418.01226532925</v>
      </c>
      <c r="AY185" s="193"/>
    </row>
    <row r="186" spans="1:51" ht="12.75">
      <c r="A186" s="464"/>
      <c r="B186" s="464"/>
      <c r="C186" s="236"/>
      <c r="D186" s="241" t="s">
        <v>130</v>
      </c>
      <c r="E186" s="310"/>
      <c r="F186" s="311"/>
      <c r="G186" s="241"/>
      <c r="H186" s="376"/>
      <c r="I186" s="241"/>
      <c r="J186" s="376"/>
      <c r="K186" s="241"/>
      <c r="L186" s="376"/>
      <c r="M186" s="241"/>
      <c r="N186" s="376"/>
      <c r="O186" s="241"/>
      <c r="P186" s="376"/>
      <c r="Q186" s="241"/>
      <c r="R186" s="376"/>
      <c r="S186" s="241"/>
      <c r="T186" s="376"/>
      <c r="U186" s="241"/>
      <c r="V186" s="376"/>
      <c r="X186" s="193"/>
      <c r="AA186" s="241" t="s">
        <v>130</v>
      </c>
      <c r="AC186" s="280"/>
      <c r="AE186" s="461"/>
      <c r="AF186" s="163"/>
      <c r="AG186" s="162"/>
      <c r="AH186" s="162"/>
      <c r="AI186" s="162"/>
      <c r="AJ186" s="162"/>
      <c r="AK186" s="162"/>
      <c r="AL186" s="162"/>
      <c r="AM186" s="162"/>
      <c r="AN186" s="162"/>
      <c r="AO186" s="162"/>
      <c r="AP186" s="162"/>
      <c r="AQ186" s="162"/>
      <c r="AR186" s="162"/>
      <c r="AS186" s="162"/>
      <c r="AT186" s="162"/>
      <c r="AU186" s="162"/>
      <c r="AV186" s="162"/>
      <c r="AW186" s="162"/>
      <c r="AY186" s="193"/>
    </row>
    <row r="187" spans="1:51" ht="12.75">
      <c r="A187" s="464"/>
      <c r="B187" s="464"/>
      <c r="C187" s="236"/>
      <c r="D187" s="241" t="s">
        <v>202</v>
      </c>
      <c r="E187" s="310"/>
      <c r="F187" s="311">
        <v>15</v>
      </c>
      <c r="G187" s="241"/>
      <c r="H187" s="469">
        <v>191101</v>
      </c>
      <c r="I187" s="241"/>
      <c r="J187" s="468">
        <f>(VLOOKUP($F187,Factors,J$384))*$H187</f>
        <v>114870.81109999999</v>
      </c>
      <c r="K187" s="241"/>
      <c r="L187" s="468">
        <f>(VLOOKUP($F187,Factors,L$384))*$H187</f>
        <v>43055.0553</v>
      </c>
      <c r="M187" s="241"/>
      <c r="N187" s="468">
        <f>(VLOOKUP($F187,Factors,N$384))*$H187</f>
        <v>4548.2038</v>
      </c>
      <c r="O187" s="241"/>
      <c r="P187" s="468">
        <f>(VLOOKUP($F187,Factors,P$384))*$H187</f>
        <v>13931.262900000002</v>
      </c>
      <c r="Q187" s="241"/>
      <c r="R187" s="468">
        <f>(VLOOKUP($F187,Factors,R$384))*$H187</f>
        <v>3936.6806</v>
      </c>
      <c r="S187" s="241"/>
      <c r="T187" s="468">
        <f>(VLOOKUP($F187,Factors,T$384))*$H187</f>
        <v>5637.4794999999995</v>
      </c>
      <c r="U187" s="241"/>
      <c r="V187" s="468">
        <f>(VLOOKUP($F187,Factors,V$384))*$H187</f>
        <v>5121.5068</v>
      </c>
      <c r="W187" s="236"/>
      <c r="X187" s="236"/>
      <c r="AA187" s="241" t="s">
        <v>202</v>
      </c>
      <c r="AC187" s="280">
        <f>+F187</f>
        <v>15</v>
      </c>
      <c r="AE187" s="317">
        <f>+H187</f>
        <v>191101</v>
      </c>
      <c r="AG187" s="149">
        <f>(VLOOKUP($AC187,func,AG$384))*$AE187</f>
        <v>63999.724899999994</v>
      </c>
      <c r="AI187" s="149">
        <f>(VLOOKUP($AC187,func,AI$384))*$AE187</f>
        <v>29735.315599999998</v>
      </c>
      <c r="AK187" s="149">
        <f>(VLOOKUP($AC187,func,AK$384))*$AE187</f>
        <v>27919.8561</v>
      </c>
      <c r="AM187" s="149">
        <f>(VLOOKUP($AC187,func,AM$384))*$AE187</f>
        <v>2426.9827</v>
      </c>
      <c r="AO187" s="149">
        <f>(VLOOKUP($AC187,func,AO$384))*$AE187</f>
        <v>7013.4067000000005</v>
      </c>
      <c r="AQ187" s="149">
        <f>(VLOOKUP($AC187,func,AQ$384))*$AE187</f>
        <v>36462.0708</v>
      </c>
      <c r="AS187" s="149">
        <f>(VLOOKUP($AC187,func,AS$384))*$AE187</f>
        <v>13377.070000000002</v>
      </c>
      <c r="AU187" s="149">
        <f>(VLOOKUP($AC187,func,AU$384))*$AE187</f>
        <v>5045.0664</v>
      </c>
      <c r="AW187" s="149">
        <f>(VLOOKUP($AC187,func,AW$384))*$AE187</f>
        <v>5121.5068</v>
      </c>
      <c r="AY187" s="193"/>
    </row>
    <row r="188" spans="1:51" ht="12.75">
      <c r="A188" s="464"/>
      <c r="B188" s="464"/>
      <c r="C188" s="236"/>
      <c r="D188" s="241" t="s">
        <v>138</v>
      </c>
      <c r="E188" s="310"/>
      <c r="F188" s="311"/>
      <c r="G188" s="241"/>
      <c r="H188" s="376"/>
      <c r="I188" s="219"/>
      <c r="J188" s="162"/>
      <c r="K188" s="219"/>
      <c r="L188" s="162"/>
      <c r="M188" s="219"/>
      <c r="N188" s="162"/>
      <c r="O188" s="219"/>
      <c r="P188" s="162"/>
      <c r="Q188" s="219"/>
      <c r="R188" s="162"/>
      <c r="S188" s="219"/>
      <c r="T188" s="162"/>
      <c r="U188" s="219"/>
      <c r="V188" s="162"/>
      <c r="X188" s="193"/>
      <c r="AA188" s="241" t="s">
        <v>138</v>
      </c>
      <c r="AC188" s="280"/>
      <c r="AE188" s="461"/>
      <c r="AF188" s="163"/>
      <c r="AG188" s="162"/>
      <c r="AH188" s="163"/>
      <c r="AI188" s="162"/>
      <c r="AJ188" s="163"/>
      <c r="AK188" s="162"/>
      <c r="AL188" s="163"/>
      <c r="AM188" s="162"/>
      <c r="AN188" s="163"/>
      <c r="AO188" s="162"/>
      <c r="AP188" s="163"/>
      <c r="AQ188" s="162"/>
      <c r="AR188" s="163"/>
      <c r="AS188" s="162"/>
      <c r="AT188" s="163"/>
      <c r="AU188" s="162"/>
      <c r="AV188" s="163"/>
      <c r="AW188" s="162"/>
      <c r="AY188" s="193"/>
    </row>
    <row r="189" spans="1:51" ht="12.75">
      <c r="A189" s="358"/>
      <c r="B189" s="359"/>
      <c r="C189" s="236"/>
      <c r="D189" s="241"/>
      <c r="E189" s="310"/>
      <c r="F189" s="311"/>
      <c r="G189" s="241"/>
      <c r="H189" s="376"/>
      <c r="I189" s="241"/>
      <c r="J189" s="376"/>
      <c r="K189" s="241"/>
      <c r="L189" s="376"/>
      <c r="M189" s="241"/>
      <c r="N189" s="376"/>
      <c r="O189" s="241"/>
      <c r="P189" s="376"/>
      <c r="Q189" s="241"/>
      <c r="R189" s="376"/>
      <c r="S189" s="241"/>
      <c r="T189" s="376"/>
      <c r="U189" s="241"/>
      <c r="V189" s="376"/>
      <c r="X189" s="193"/>
      <c r="AA189" s="241"/>
      <c r="AC189" s="280"/>
      <c r="AE189" s="461"/>
      <c r="AG189" s="461"/>
      <c r="AI189" s="461"/>
      <c r="AK189" s="461"/>
      <c r="AM189" s="461"/>
      <c r="AO189" s="461"/>
      <c r="AQ189" s="461"/>
      <c r="AS189" s="461"/>
      <c r="AU189" s="461"/>
      <c r="AW189" s="461"/>
      <c r="AY189" s="193"/>
    </row>
    <row r="190" spans="1:51" ht="12.75">
      <c r="A190" s="464"/>
      <c r="B190" s="464"/>
      <c r="C190" s="236"/>
      <c r="D190" s="241" t="s">
        <v>203</v>
      </c>
      <c r="E190" s="310"/>
      <c r="F190" s="311"/>
      <c r="G190" s="241"/>
      <c r="H190" s="469">
        <f>H185+H187</f>
        <v>18699243.485830285</v>
      </c>
      <c r="I190" s="241"/>
      <c r="J190" s="469">
        <f>J185+J187</f>
        <v>11542948.656532934</v>
      </c>
      <c r="K190" s="241"/>
      <c r="L190" s="469">
        <f>L185+L187</f>
        <v>4064803.659217249</v>
      </c>
      <c r="M190" s="241"/>
      <c r="N190" s="469">
        <f>N185+N187</f>
        <v>424905.24969049153</v>
      </c>
      <c r="O190" s="241"/>
      <c r="P190" s="469">
        <f>P185+P187</f>
        <v>1308660.4528518412</v>
      </c>
      <c r="Q190" s="241"/>
      <c r="R190" s="469">
        <f>R185+R187</f>
        <v>368453.21101997275</v>
      </c>
      <c r="S190" s="241"/>
      <c r="T190" s="469">
        <f>T185+T187</f>
        <v>525822.7988524685</v>
      </c>
      <c r="U190" s="241"/>
      <c r="V190" s="469">
        <f>V185+V187</f>
        <v>463649.4576653292</v>
      </c>
      <c r="X190" s="193"/>
      <c r="AA190" s="241" t="s">
        <v>203</v>
      </c>
      <c r="AB190" s="310"/>
      <c r="AC190" s="311"/>
      <c r="AD190" s="241"/>
      <c r="AE190" s="469">
        <f>AE185+AE187</f>
        <v>18699243.485830285</v>
      </c>
      <c r="AF190" s="241"/>
      <c r="AG190" s="469">
        <f>AG185+AG187</f>
        <v>6081259.200625359</v>
      </c>
      <c r="AH190" s="241"/>
      <c r="AI190" s="469">
        <f>AI185+AI187</f>
        <v>2732969.3511135313</v>
      </c>
      <c r="AJ190" s="241"/>
      <c r="AK190" s="469">
        <f>AK185+AK187</f>
        <v>2512235.434209069</v>
      </c>
      <c r="AL190" s="241"/>
      <c r="AM190" s="469">
        <f>AM185+AM187</f>
        <v>236203.4383378537</v>
      </c>
      <c r="AN190" s="241"/>
      <c r="AO190" s="469">
        <f>AO185+AO187</f>
        <v>644769.0213126156</v>
      </c>
      <c r="AP190" s="241"/>
      <c r="AQ190" s="469">
        <f>AQ185+AQ187</f>
        <v>4658066.4545439305</v>
      </c>
      <c r="AR190" s="241"/>
      <c r="AS190" s="469">
        <f>AS185+AS187</f>
        <v>888167.2560619533</v>
      </c>
      <c r="AT190" s="241"/>
      <c r="AU190" s="469">
        <f>AU185+AU187</f>
        <v>482070.45676064095</v>
      </c>
      <c r="AV190" s="241"/>
      <c r="AW190" s="469">
        <f>AW185+AW187</f>
        <v>463539.5190653292</v>
      </c>
      <c r="AY190" s="193"/>
    </row>
    <row r="191" spans="1:51" ht="12.75">
      <c r="A191" s="464"/>
      <c r="B191" s="464"/>
      <c r="C191" s="236"/>
      <c r="D191" s="241" t="s">
        <v>204</v>
      </c>
      <c r="E191" s="310"/>
      <c r="F191" s="311"/>
      <c r="G191" s="241"/>
      <c r="H191" s="376"/>
      <c r="I191" s="219"/>
      <c r="J191" s="162"/>
      <c r="K191" s="220"/>
      <c r="L191" s="162"/>
      <c r="M191" s="220"/>
      <c r="N191" s="162"/>
      <c r="O191" s="220"/>
      <c r="P191" s="162"/>
      <c r="Q191" s="220"/>
      <c r="R191" s="162"/>
      <c r="S191" s="220"/>
      <c r="T191" s="162"/>
      <c r="U191" s="220"/>
      <c r="V191" s="162"/>
      <c r="X191" s="193"/>
      <c r="AA191" s="241" t="s">
        <v>204</v>
      </c>
      <c r="AB191" s="310"/>
      <c r="AC191" s="311"/>
      <c r="AD191" s="241"/>
      <c r="AE191" s="376"/>
      <c r="AF191" s="241"/>
      <c r="AG191" s="376"/>
      <c r="AH191" s="241"/>
      <c r="AI191" s="376"/>
      <c r="AJ191" s="241"/>
      <c r="AK191" s="376"/>
      <c r="AL191" s="241"/>
      <c r="AM191" s="376"/>
      <c r="AN191" s="241"/>
      <c r="AO191" s="376"/>
      <c r="AP191" s="241"/>
      <c r="AQ191" s="376"/>
      <c r="AR191" s="241"/>
      <c r="AS191" s="376"/>
      <c r="AT191" s="241"/>
      <c r="AU191" s="376"/>
      <c r="AV191" s="241"/>
      <c r="AW191" s="376"/>
      <c r="AY191" s="193"/>
    </row>
    <row r="192" spans="1:51" ht="12.75">
      <c r="A192" s="464"/>
      <c r="B192" s="464"/>
      <c r="C192" s="236"/>
      <c r="D192" s="241"/>
      <c r="E192" s="310"/>
      <c r="F192" s="311"/>
      <c r="G192" s="241"/>
      <c r="H192" s="376"/>
      <c r="I192" s="219"/>
      <c r="J192" s="162"/>
      <c r="K192" s="220"/>
      <c r="L192" s="162"/>
      <c r="M192" s="220"/>
      <c r="N192" s="162"/>
      <c r="O192" s="220"/>
      <c r="P192" s="162"/>
      <c r="Q192" s="220"/>
      <c r="R192" s="162"/>
      <c r="S192" s="220"/>
      <c r="T192" s="162"/>
      <c r="U192" s="220"/>
      <c r="V192" s="162"/>
      <c r="X192" s="193"/>
      <c r="AA192" s="241"/>
      <c r="AB192" s="310"/>
      <c r="AC192" s="311"/>
      <c r="AD192" s="241"/>
      <c r="AE192" s="376"/>
      <c r="AF192" s="241"/>
      <c r="AG192" s="376"/>
      <c r="AH192" s="241"/>
      <c r="AI192" s="376"/>
      <c r="AJ192" s="241"/>
      <c r="AK192" s="376"/>
      <c r="AL192" s="241"/>
      <c r="AM192" s="376"/>
      <c r="AN192" s="241"/>
      <c r="AO192" s="376"/>
      <c r="AP192" s="241"/>
      <c r="AQ192" s="376"/>
      <c r="AR192" s="241"/>
      <c r="AS192" s="376"/>
      <c r="AT192" s="241"/>
      <c r="AU192" s="376"/>
      <c r="AV192" s="241"/>
      <c r="AW192" s="376"/>
      <c r="AY192" s="193"/>
    </row>
    <row r="193" spans="1:51" ht="12.75">
      <c r="A193" s="242"/>
      <c r="B193" s="243"/>
      <c r="C193" s="236"/>
      <c r="D193" s="241" t="s">
        <v>205</v>
      </c>
      <c r="E193" s="310"/>
      <c r="F193" s="311"/>
      <c r="G193" s="241"/>
      <c r="H193" s="376"/>
      <c r="I193" s="241"/>
      <c r="J193" s="376"/>
      <c r="K193" s="241"/>
      <c r="L193" s="376"/>
      <c r="M193" s="241"/>
      <c r="N193" s="376"/>
      <c r="O193" s="241"/>
      <c r="P193" s="376"/>
      <c r="Q193" s="241"/>
      <c r="R193" s="376"/>
      <c r="S193" s="241"/>
      <c r="T193" s="376"/>
      <c r="U193" s="241"/>
      <c r="V193" s="376"/>
      <c r="X193" s="193"/>
      <c r="AA193" s="241" t="s">
        <v>205</v>
      </c>
      <c r="AB193" s="310"/>
      <c r="AC193" s="311"/>
      <c r="AD193" s="241"/>
      <c r="AE193" s="376"/>
      <c r="AF193" s="241"/>
      <c r="AG193" s="376"/>
      <c r="AH193" s="241"/>
      <c r="AI193" s="376"/>
      <c r="AJ193" s="241"/>
      <c r="AK193" s="376"/>
      <c r="AL193" s="241"/>
      <c r="AM193" s="376"/>
      <c r="AN193" s="241"/>
      <c r="AO193" s="376"/>
      <c r="AP193" s="241"/>
      <c r="AQ193" s="376"/>
      <c r="AR193" s="241"/>
      <c r="AS193" s="376"/>
      <c r="AT193" s="241"/>
      <c r="AU193" s="376"/>
      <c r="AV193" s="241"/>
      <c r="AW193" s="376"/>
      <c r="AY193" s="193"/>
    </row>
    <row r="194" spans="1:51" s="137" customFormat="1" ht="12.75">
      <c r="A194" s="242"/>
      <c r="B194" s="243"/>
      <c r="C194" s="236"/>
      <c r="D194" s="241" t="s">
        <v>204</v>
      </c>
      <c r="E194" s="310"/>
      <c r="F194" s="311"/>
      <c r="G194" s="241"/>
      <c r="H194" s="469">
        <f>H37+H66+H95+H148+H163+H190</f>
        <v>35661911.39680962</v>
      </c>
      <c r="I194" s="241"/>
      <c r="J194" s="469">
        <f>J37+J66+J95+J148+J163+J190</f>
        <v>20994508.656741407</v>
      </c>
      <c r="K194" s="241"/>
      <c r="L194" s="469">
        <f>L37+L66+L95+L148+L163+L190</f>
        <v>8418746.101119244</v>
      </c>
      <c r="M194" s="241"/>
      <c r="N194" s="469">
        <f>N37+N66+N95+N148+N163+N190</f>
        <v>941853.5693783611</v>
      </c>
      <c r="O194" s="241"/>
      <c r="P194" s="469">
        <f>P37+P66+P95+P148+P163+P190</f>
        <v>2871938.9422817067</v>
      </c>
      <c r="Q194" s="241"/>
      <c r="R194" s="469">
        <f>R37+R66+R95+R148+R163+R190</f>
        <v>826764.0821837469</v>
      </c>
      <c r="S194" s="241"/>
      <c r="T194" s="469">
        <f>T37+T66+T95+T148+T163+T190</f>
        <v>847310.4411782401</v>
      </c>
      <c r="U194" s="241"/>
      <c r="V194" s="469">
        <f>V37+V66+V95+V148+V163+V190</f>
        <v>760789.6039269231</v>
      </c>
      <c r="W194"/>
      <c r="X194" s="193"/>
      <c r="AA194" s="241" t="s">
        <v>204</v>
      </c>
      <c r="AB194" s="310"/>
      <c r="AC194" s="311"/>
      <c r="AD194" s="241"/>
      <c r="AE194" s="469">
        <f>AE37+AE66+AE95+AE148+AE163+AE190</f>
        <v>35661911.39680962</v>
      </c>
      <c r="AF194" s="241"/>
      <c r="AG194" s="469">
        <f>AG37+AG66+AG95+AG148+AG163+AG190</f>
        <v>16121910.14483051</v>
      </c>
      <c r="AH194" s="241"/>
      <c r="AI194" s="469">
        <f>AI37+AI66+AI95+AI148+AI163+AI190</f>
        <v>4343942.740872824</v>
      </c>
      <c r="AJ194" s="241"/>
      <c r="AK194" s="469">
        <f>AK37+AK66+AK95+AK148+AK163+AK190</f>
        <v>4024395.711640683</v>
      </c>
      <c r="AL194" s="241"/>
      <c r="AM194" s="469">
        <f>AM37+AM66+AM95+AM148+AM163+AM190</f>
        <v>367824.1212224937</v>
      </c>
      <c r="AN194" s="241"/>
      <c r="AO194" s="469">
        <f>AO37+AO66+AO95+AO148+AO163+AO190</f>
        <v>1024921.4735980886</v>
      </c>
      <c r="AP194" s="241"/>
      <c r="AQ194" s="469">
        <f>AQ37+AQ66+AQ95+AQ148+AQ163+AQ190</f>
        <v>6633580.631968226</v>
      </c>
      <c r="AR194" s="241"/>
      <c r="AS194" s="469">
        <f>AS37+AS66+AS95+AS148+AS163+AS190</f>
        <v>1613263.2560619533</v>
      </c>
      <c r="AT194" s="241"/>
      <c r="AU194" s="469">
        <f>AU37+AU66+AU95+AU148+AU163+AU190</f>
        <v>771441.2366715826</v>
      </c>
      <c r="AV194" s="241"/>
      <c r="AW194" s="469">
        <f>AW37+AW66+AW95+AW148+AW163+AW190</f>
        <v>760668.7261432644</v>
      </c>
      <c r="AX194"/>
      <c r="AY194" s="193"/>
    </row>
    <row r="195" spans="1:51" ht="12.75">
      <c r="A195" s="242"/>
      <c r="B195" s="243"/>
      <c r="C195" s="374"/>
      <c r="D195" s="219"/>
      <c r="E195" s="218"/>
      <c r="F195" s="150"/>
      <c r="G195" s="141"/>
      <c r="H195" s="162"/>
      <c r="I195" s="219"/>
      <c r="J195" s="162"/>
      <c r="K195" s="220"/>
      <c r="L195" s="162"/>
      <c r="M195" s="220"/>
      <c r="N195" s="162"/>
      <c r="O195" s="220"/>
      <c r="P195" s="162"/>
      <c r="Q195" s="220"/>
      <c r="R195" s="162"/>
      <c r="S195" s="220"/>
      <c r="T195" s="162"/>
      <c r="U195" s="220"/>
      <c r="V195" s="162"/>
      <c r="X195" s="193"/>
      <c r="AA195" s="219"/>
      <c r="AB195" s="218"/>
      <c r="AC195" s="150"/>
      <c r="AD195" s="141"/>
      <c r="AE195" s="162"/>
      <c r="AF195" s="163"/>
      <c r="AG195" s="162"/>
      <c r="AH195" s="162"/>
      <c r="AI195" s="162"/>
      <c r="AJ195" s="162"/>
      <c r="AK195" s="162"/>
      <c r="AL195" s="162"/>
      <c r="AM195" s="162"/>
      <c r="AN195" s="162"/>
      <c r="AO195" s="162"/>
      <c r="AP195" s="162"/>
      <c r="AQ195" s="162"/>
      <c r="AR195" s="162"/>
      <c r="AS195" s="162"/>
      <c r="AT195" s="162"/>
      <c r="AU195" s="162"/>
      <c r="AV195" s="162"/>
      <c r="AW195" s="162"/>
      <c r="AY195" s="193"/>
    </row>
    <row r="196" spans="1:51" ht="12.75">
      <c r="A196" s="358"/>
      <c r="B196" s="359"/>
      <c r="C196" s="236"/>
      <c r="D196" s="470" t="s">
        <v>206</v>
      </c>
      <c r="E196" s="310"/>
      <c r="F196" s="311"/>
      <c r="G196" s="141"/>
      <c r="H196" s="162"/>
      <c r="I196" s="219"/>
      <c r="J196" s="162"/>
      <c r="K196" s="220"/>
      <c r="L196" s="162"/>
      <c r="M196" s="220"/>
      <c r="N196" s="162"/>
      <c r="O196" s="220"/>
      <c r="P196" s="162"/>
      <c r="Q196" s="220"/>
      <c r="R196" s="162"/>
      <c r="S196" s="220"/>
      <c r="T196" s="162"/>
      <c r="U196" s="220"/>
      <c r="V196" s="162"/>
      <c r="X196" s="193"/>
      <c r="AA196" s="470" t="s">
        <v>206</v>
      </c>
      <c r="AC196" s="280"/>
      <c r="AE196" s="461"/>
      <c r="AF196" s="163"/>
      <c r="AG196" s="162"/>
      <c r="AH196" s="162"/>
      <c r="AI196" s="162"/>
      <c r="AJ196" s="162"/>
      <c r="AK196" s="162"/>
      <c r="AL196" s="162"/>
      <c r="AM196" s="162"/>
      <c r="AN196" s="162"/>
      <c r="AO196" s="162"/>
      <c r="AP196" s="162"/>
      <c r="AQ196" s="162"/>
      <c r="AR196" s="162"/>
      <c r="AS196" s="162"/>
      <c r="AT196" s="162"/>
      <c r="AU196" s="162"/>
      <c r="AV196" s="162"/>
      <c r="AW196" s="162"/>
      <c r="AY196" s="193"/>
    </row>
    <row r="197" spans="1:51" ht="12.75">
      <c r="A197" s="464"/>
      <c r="B197" s="464"/>
      <c r="C197" s="236"/>
      <c r="D197" s="241" t="s">
        <v>598</v>
      </c>
      <c r="E197" s="310"/>
      <c r="F197" s="311"/>
      <c r="G197" s="141"/>
      <c r="H197" s="162"/>
      <c r="I197" s="219"/>
      <c r="J197" s="162"/>
      <c r="K197" s="220"/>
      <c r="L197" s="162"/>
      <c r="M197" s="220"/>
      <c r="N197" s="162"/>
      <c r="O197" s="220"/>
      <c r="P197" s="162"/>
      <c r="Q197" s="220"/>
      <c r="R197" s="162"/>
      <c r="S197" s="220"/>
      <c r="T197" s="162"/>
      <c r="U197" s="220"/>
      <c r="V197" s="162"/>
      <c r="X197" s="193"/>
      <c r="AA197" s="241" t="s">
        <v>598</v>
      </c>
      <c r="AC197" s="280"/>
      <c r="AE197" s="461"/>
      <c r="AF197" s="163"/>
      <c r="AG197" s="162"/>
      <c r="AH197" s="162"/>
      <c r="AI197" s="162"/>
      <c r="AJ197" s="162"/>
      <c r="AK197" s="162"/>
      <c r="AL197" s="162"/>
      <c r="AM197" s="162"/>
      <c r="AN197" s="162"/>
      <c r="AO197" s="162"/>
      <c r="AP197" s="162"/>
      <c r="AQ197" s="162"/>
      <c r="AR197" s="162"/>
      <c r="AS197" s="162"/>
      <c r="AT197" s="162"/>
      <c r="AU197" s="162"/>
      <c r="AV197" s="162"/>
      <c r="AW197" s="162"/>
      <c r="AY197" s="193"/>
    </row>
    <row r="198" spans="1:51" ht="12.75">
      <c r="A198" s="464"/>
      <c r="B198" s="464"/>
      <c r="C198" s="236"/>
      <c r="D198" s="241" t="s">
        <v>209</v>
      </c>
      <c r="E198" s="310"/>
      <c r="F198" s="311">
        <v>17</v>
      </c>
      <c r="G198" s="141"/>
      <c r="H198" s="376">
        <v>63771</v>
      </c>
      <c r="I198" s="219"/>
      <c r="J198" s="235">
        <f aca="true" t="shared" si="36" ref="J198:J215">(VLOOKUP($F198,Factors,J$384))*$H198</f>
        <v>31757.958</v>
      </c>
      <c r="K198" s="373"/>
      <c r="L198" s="235">
        <f aca="true" t="shared" si="37" ref="L198:L215">(VLOOKUP($F198,Factors,L$384))*$H198</f>
        <v>16937.5776</v>
      </c>
      <c r="M198" s="373"/>
      <c r="N198" s="235">
        <f aca="true" t="shared" si="38" ref="N198:N215">(VLOOKUP($F198,Factors,N$384))*$H198</f>
        <v>1964.1468</v>
      </c>
      <c r="O198" s="373"/>
      <c r="P198" s="235">
        <f aca="true" t="shared" si="39" ref="P198:P215">(VLOOKUP($F198,Factors,P$384))*$H198</f>
        <v>6045.4908</v>
      </c>
      <c r="Q198" s="373"/>
      <c r="R198" s="235">
        <f aca="true" t="shared" si="40" ref="R198:R215">(VLOOKUP($F198,Factors,R$384))*$H198</f>
        <v>1728.1941</v>
      </c>
      <c r="S198" s="373"/>
      <c r="T198" s="235">
        <f aca="true" t="shared" si="41" ref="T198:T215">(VLOOKUP($F198,Factors,T$384))*$H198</f>
        <v>1951.3926</v>
      </c>
      <c r="U198" s="373"/>
      <c r="V198" s="235">
        <f aca="true" t="shared" si="42" ref="V198:V215">(VLOOKUP($F198,Factors,V$384))*$H198</f>
        <v>3386.2401</v>
      </c>
      <c r="W198" s="236"/>
      <c r="X198" s="236"/>
      <c r="AA198" s="241" t="s">
        <v>209</v>
      </c>
      <c r="AC198" s="280">
        <f aca="true" t="shared" si="43" ref="AC198:AC245">+F198</f>
        <v>17</v>
      </c>
      <c r="AE198" s="161">
        <f aca="true" t="shared" si="44" ref="AE198:AE245">+H198</f>
        <v>63771</v>
      </c>
      <c r="AG198" s="148">
        <f aca="true" t="shared" si="45" ref="AG198:AG215">(VLOOKUP($AC198,func,AG$384))*$AE198</f>
        <v>29009.4279</v>
      </c>
      <c r="AH198" s="148"/>
      <c r="AI198" s="148">
        <f aca="true" t="shared" si="46" ref="AI198:AI215">(VLOOKUP($AC198,func,AI$384))*$AE198</f>
        <v>15853.470599999999</v>
      </c>
      <c r="AJ198" s="148"/>
      <c r="AK198" s="148">
        <f aca="true" t="shared" si="47" ref="AK198:AK215">(VLOOKUP($AC198,func,AK$384))*$AE198</f>
        <v>6900.0222</v>
      </c>
      <c r="AL198" s="148"/>
      <c r="AM198" s="148">
        <f aca="true" t="shared" si="48" ref="AM198:AM215">(VLOOKUP($AC198,func,AM$384))*$AE198</f>
        <v>4279.034100000001</v>
      </c>
      <c r="AN198" s="148"/>
      <c r="AO198" s="148">
        <f aca="true" t="shared" si="49" ref="AO198:AO215">(VLOOKUP($AC198,func,AO$384))*$AE198</f>
        <v>1447.6017000000002</v>
      </c>
      <c r="AP198" s="148"/>
      <c r="AQ198" s="148">
        <f aca="true" t="shared" si="50" ref="AQ198:AS215">(VLOOKUP($AC198,func,AQ$384))*$AE198</f>
        <v>841.7772</v>
      </c>
      <c r="AR198" s="148"/>
      <c r="AS198" s="148">
        <f t="shared" si="50"/>
        <v>178.5588</v>
      </c>
      <c r="AT198" s="148"/>
      <c r="AU198" s="148">
        <f aca="true" t="shared" si="51" ref="AU198:AW215">(VLOOKUP($AC198,func,AU$384))*$AE198</f>
        <v>1913.1299999999999</v>
      </c>
      <c r="AV198" s="148"/>
      <c r="AW198" s="148">
        <f t="shared" si="51"/>
        <v>3347.9775</v>
      </c>
      <c r="AY198" s="193"/>
    </row>
    <row r="199" spans="1:51" ht="12.75">
      <c r="A199" s="464"/>
      <c r="B199" s="464"/>
      <c r="C199" s="236"/>
      <c r="D199" s="241" t="s">
        <v>210</v>
      </c>
      <c r="E199" s="310"/>
      <c r="F199" s="311">
        <v>2</v>
      </c>
      <c r="G199" s="141"/>
      <c r="H199" s="376">
        <v>0</v>
      </c>
      <c r="I199" s="219"/>
      <c r="J199" s="235">
        <f t="shared" si="36"/>
        <v>0</v>
      </c>
      <c r="K199" s="373"/>
      <c r="L199" s="235">
        <f t="shared" si="37"/>
        <v>0</v>
      </c>
      <c r="M199" s="373"/>
      <c r="N199" s="235">
        <f t="shared" si="38"/>
        <v>0</v>
      </c>
      <c r="O199" s="373"/>
      <c r="P199" s="235">
        <f t="shared" si="39"/>
        <v>0</v>
      </c>
      <c r="Q199" s="373"/>
      <c r="R199" s="235">
        <f t="shared" si="40"/>
        <v>0</v>
      </c>
      <c r="S199" s="373"/>
      <c r="T199" s="235">
        <f t="shared" si="41"/>
        <v>0</v>
      </c>
      <c r="U199" s="373"/>
      <c r="V199" s="235">
        <f t="shared" si="42"/>
        <v>0</v>
      </c>
      <c r="W199" s="236"/>
      <c r="X199" s="236"/>
      <c r="AA199" s="241" t="s">
        <v>210</v>
      </c>
      <c r="AC199" s="280">
        <f t="shared" si="43"/>
        <v>2</v>
      </c>
      <c r="AE199" s="161">
        <f t="shared" si="44"/>
        <v>0</v>
      </c>
      <c r="AG199" s="148">
        <f t="shared" si="45"/>
        <v>0</v>
      </c>
      <c r="AH199" s="148"/>
      <c r="AI199" s="148">
        <f t="shared" si="46"/>
        <v>0</v>
      </c>
      <c r="AJ199" s="148"/>
      <c r="AK199" s="148">
        <f t="shared" si="47"/>
        <v>0</v>
      </c>
      <c r="AL199" s="148"/>
      <c r="AM199" s="148">
        <f t="shared" si="48"/>
        <v>0</v>
      </c>
      <c r="AN199" s="148"/>
      <c r="AO199" s="148">
        <f t="shared" si="49"/>
        <v>0</v>
      </c>
      <c r="AP199" s="148"/>
      <c r="AQ199" s="148">
        <f t="shared" si="50"/>
        <v>0</v>
      </c>
      <c r="AR199" s="148"/>
      <c r="AS199" s="148">
        <f t="shared" si="50"/>
        <v>0</v>
      </c>
      <c r="AT199" s="148"/>
      <c r="AU199" s="148">
        <f t="shared" si="51"/>
        <v>0</v>
      </c>
      <c r="AV199" s="148"/>
      <c r="AW199" s="148">
        <f t="shared" si="51"/>
        <v>0</v>
      </c>
      <c r="AY199" s="193"/>
    </row>
    <row r="200" spans="1:51" ht="12.75">
      <c r="A200" s="464"/>
      <c r="B200" s="464"/>
      <c r="C200" s="236"/>
      <c r="D200" s="241" t="s">
        <v>211</v>
      </c>
      <c r="E200" s="310"/>
      <c r="F200" s="311">
        <v>2</v>
      </c>
      <c r="G200" s="141"/>
      <c r="H200" s="376">
        <v>545936</v>
      </c>
      <c r="I200" s="219"/>
      <c r="J200" s="235">
        <f t="shared" si="36"/>
        <v>273350.1552</v>
      </c>
      <c r="K200" s="373"/>
      <c r="L200" s="235">
        <f t="shared" si="37"/>
        <v>167220.1968</v>
      </c>
      <c r="M200" s="373"/>
      <c r="N200" s="235">
        <f t="shared" si="38"/>
        <v>20909.3488</v>
      </c>
      <c r="O200" s="373"/>
      <c r="P200" s="235">
        <f t="shared" si="39"/>
        <v>63765.3248</v>
      </c>
      <c r="Q200" s="373"/>
      <c r="R200" s="235">
        <f t="shared" si="40"/>
        <v>18889.385599999998</v>
      </c>
      <c r="S200" s="373"/>
      <c r="T200" s="235">
        <f t="shared" si="41"/>
        <v>818.904</v>
      </c>
      <c r="U200" s="373"/>
      <c r="V200" s="235">
        <f t="shared" si="42"/>
        <v>982.6848</v>
      </c>
      <c r="W200" s="236"/>
      <c r="X200" s="236"/>
      <c r="AA200" s="241" t="s">
        <v>211</v>
      </c>
      <c r="AC200" s="280">
        <f t="shared" si="43"/>
        <v>2</v>
      </c>
      <c r="AE200" s="161">
        <f t="shared" si="44"/>
        <v>545936</v>
      </c>
      <c r="AG200" s="148">
        <f t="shared" si="45"/>
        <v>329090.2208</v>
      </c>
      <c r="AH200" s="148"/>
      <c r="AI200" s="148">
        <f t="shared" si="46"/>
        <v>215044.1904</v>
      </c>
      <c r="AJ200" s="148"/>
      <c r="AK200" s="148">
        <f t="shared" si="47"/>
        <v>0</v>
      </c>
      <c r="AL200" s="148"/>
      <c r="AM200" s="148">
        <f t="shared" si="48"/>
        <v>0</v>
      </c>
      <c r="AN200" s="148"/>
      <c r="AO200" s="148">
        <f t="shared" si="49"/>
        <v>0</v>
      </c>
      <c r="AP200" s="148"/>
      <c r="AQ200" s="148">
        <f t="shared" si="50"/>
        <v>0</v>
      </c>
      <c r="AR200" s="148"/>
      <c r="AS200" s="148">
        <f t="shared" si="50"/>
        <v>0</v>
      </c>
      <c r="AT200" s="148"/>
      <c r="AU200" s="148">
        <f t="shared" si="51"/>
        <v>818.904</v>
      </c>
      <c r="AV200" s="148"/>
      <c r="AW200" s="148">
        <f t="shared" si="51"/>
        <v>982.6848</v>
      </c>
      <c r="AY200" s="193"/>
    </row>
    <row r="201" spans="1:51" ht="12.75">
      <c r="A201" s="464"/>
      <c r="B201" s="464"/>
      <c r="C201" s="236"/>
      <c r="D201" s="241" t="s">
        <v>212</v>
      </c>
      <c r="E201" s="310"/>
      <c r="F201" s="311">
        <v>1</v>
      </c>
      <c r="G201" s="241"/>
      <c r="H201" s="376">
        <v>13167</v>
      </c>
      <c r="I201" s="219"/>
      <c r="J201" s="235">
        <f t="shared" si="36"/>
        <v>6429.4461</v>
      </c>
      <c r="K201" s="373"/>
      <c r="L201" s="235">
        <f t="shared" si="37"/>
        <v>4026.4686</v>
      </c>
      <c r="M201" s="373"/>
      <c r="N201" s="235">
        <f t="shared" si="38"/>
        <v>539.847</v>
      </c>
      <c r="O201" s="373"/>
      <c r="P201" s="235">
        <f t="shared" si="39"/>
        <v>1610.3241</v>
      </c>
      <c r="Q201" s="373"/>
      <c r="R201" s="235">
        <f t="shared" si="40"/>
        <v>488.4957</v>
      </c>
      <c r="S201" s="373"/>
      <c r="T201" s="235">
        <f t="shared" si="41"/>
        <v>32.917500000000004</v>
      </c>
      <c r="U201" s="373"/>
      <c r="V201" s="235">
        <f t="shared" si="42"/>
        <v>39.501</v>
      </c>
      <c r="W201" s="236"/>
      <c r="X201" s="236"/>
      <c r="AA201" s="241" t="s">
        <v>212</v>
      </c>
      <c r="AC201" s="280">
        <f t="shared" si="43"/>
        <v>1</v>
      </c>
      <c r="AE201" s="161">
        <f t="shared" si="44"/>
        <v>13167</v>
      </c>
      <c r="AG201" s="148">
        <f t="shared" si="45"/>
        <v>13094.5815</v>
      </c>
      <c r="AH201" s="148"/>
      <c r="AI201" s="148">
        <f t="shared" si="46"/>
        <v>0</v>
      </c>
      <c r="AJ201" s="148"/>
      <c r="AK201" s="148">
        <f t="shared" si="47"/>
        <v>0</v>
      </c>
      <c r="AL201" s="148"/>
      <c r="AM201" s="148">
        <f t="shared" si="48"/>
        <v>0</v>
      </c>
      <c r="AN201" s="148"/>
      <c r="AO201" s="148">
        <f t="shared" si="49"/>
        <v>0</v>
      </c>
      <c r="AP201" s="148"/>
      <c r="AQ201" s="148">
        <f t="shared" si="50"/>
        <v>0</v>
      </c>
      <c r="AR201" s="148"/>
      <c r="AS201" s="148">
        <f t="shared" si="50"/>
        <v>0</v>
      </c>
      <c r="AT201" s="148"/>
      <c r="AU201" s="148">
        <f t="shared" si="51"/>
        <v>32.917500000000004</v>
      </c>
      <c r="AV201" s="148"/>
      <c r="AW201" s="148">
        <f t="shared" si="51"/>
        <v>39.501</v>
      </c>
      <c r="AY201" s="193"/>
    </row>
    <row r="202" spans="1:51" ht="12.75">
      <c r="A202" s="464"/>
      <c r="B202" s="464"/>
      <c r="C202" s="236"/>
      <c r="D202" s="241" t="s">
        <v>213</v>
      </c>
      <c r="E202" s="310"/>
      <c r="F202" s="311">
        <v>2</v>
      </c>
      <c r="G202" s="141"/>
      <c r="H202" s="376">
        <v>161554</v>
      </c>
      <c r="I202" s="219"/>
      <c r="J202" s="235">
        <f t="shared" si="36"/>
        <v>80890.0878</v>
      </c>
      <c r="K202" s="373"/>
      <c r="L202" s="235">
        <f t="shared" si="37"/>
        <v>49483.9902</v>
      </c>
      <c r="M202" s="373"/>
      <c r="N202" s="235">
        <f t="shared" si="38"/>
        <v>6187.5182</v>
      </c>
      <c r="O202" s="373"/>
      <c r="P202" s="235">
        <f t="shared" si="39"/>
        <v>18869.5072</v>
      </c>
      <c r="Q202" s="373"/>
      <c r="R202" s="235">
        <f t="shared" si="40"/>
        <v>5589.7684</v>
      </c>
      <c r="S202" s="373"/>
      <c r="T202" s="235">
        <f t="shared" si="41"/>
        <v>242.33100000000002</v>
      </c>
      <c r="U202" s="373"/>
      <c r="V202" s="235">
        <f t="shared" si="42"/>
        <v>290.7972</v>
      </c>
      <c r="W202" s="236"/>
      <c r="X202" s="236"/>
      <c r="AA202" s="241" t="s">
        <v>213</v>
      </c>
      <c r="AC202" s="280">
        <f t="shared" si="43"/>
        <v>2</v>
      </c>
      <c r="AE202" s="161">
        <f t="shared" si="44"/>
        <v>161554</v>
      </c>
      <c r="AG202" s="148">
        <f t="shared" si="45"/>
        <v>97384.7512</v>
      </c>
      <c r="AH202" s="148"/>
      <c r="AI202" s="148">
        <f t="shared" si="46"/>
        <v>63636.120599999995</v>
      </c>
      <c r="AJ202" s="148"/>
      <c r="AK202" s="148">
        <f t="shared" si="47"/>
        <v>0</v>
      </c>
      <c r="AL202" s="148"/>
      <c r="AM202" s="148">
        <f t="shared" si="48"/>
        <v>0</v>
      </c>
      <c r="AN202" s="148"/>
      <c r="AO202" s="148">
        <f t="shared" si="49"/>
        <v>0</v>
      </c>
      <c r="AP202" s="148"/>
      <c r="AQ202" s="148">
        <f t="shared" si="50"/>
        <v>0</v>
      </c>
      <c r="AR202" s="148"/>
      <c r="AS202" s="148">
        <f t="shared" si="50"/>
        <v>0</v>
      </c>
      <c r="AT202" s="148"/>
      <c r="AU202" s="148">
        <f t="shared" si="51"/>
        <v>242.33100000000002</v>
      </c>
      <c r="AV202" s="148"/>
      <c r="AW202" s="148">
        <f t="shared" si="51"/>
        <v>290.7972</v>
      </c>
      <c r="AY202" s="193"/>
    </row>
    <row r="203" spans="1:51" ht="12.75">
      <c r="A203" s="464"/>
      <c r="B203" s="464"/>
      <c r="C203" s="236"/>
      <c r="D203" s="241" t="s">
        <v>214</v>
      </c>
      <c r="E203" s="310"/>
      <c r="F203" s="311">
        <v>2</v>
      </c>
      <c r="G203" s="141"/>
      <c r="H203" s="376">
        <v>0</v>
      </c>
      <c r="I203" s="219"/>
      <c r="J203" s="235">
        <f t="shared" si="36"/>
        <v>0</v>
      </c>
      <c r="K203" s="373"/>
      <c r="L203" s="235">
        <f t="shared" si="37"/>
        <v>0</v>
      </c>
      <c r="M203" s="373"/>
      <c r="N203" s="235">
        <f t="shared" si="38"/>
        <v>0</v>
      </c>
      <c r="O203" s="373"/>
      <c r="P203" s="235">
        <f t="shared" si="39"/>
        <v>0</v>
      </c>
      <c r="Q203" s="373"/>
      <c r="R203" s="235">
        <f t="shared" si="40"/>
        <v>0</v>
      </c>
      <c r="S203" s="373"/>
      <c r="T203" s="235">
        <f t="shared" si="41"/>
        <v>0</v>
      </c>
      <c r="U203" s="373"/>
      <c r="V203" s="235">
        <f t="shared" si="42"/>
        <v>0</v>
      </c>
      <c r="W203" s="236"/>
      <c r="X203" s="236"/>
      <c r="AA203" s="241" t="s">
        <v>214</v>
      </c>
      <c r="AC203" s="280">
        <f t="shared" si="43"/>
        <v>2</v>
      </c>
      <c r="AE203" s="161">
        <f t="shared" si="44"/>
        <v>0</v>
      </c>
      <c r="AG203" s="148">
        <f t="shared" si="45"/>
        <v>0</v>
      </c>
      <c r="AH203" s="148"/>
      <c r="AI203" s="148">
        <f t="shared" si="46"/>
        <v>0</v>
      </c>
      <c r="AJ203" s="148"/>
      <c r="AK203" s="148">
        <f t="shared" si="47"/>
        <v>0</v>
      </c>
      <c r="AL203" s="148"/>
      <c r="AM203" s="148">
        <f t="shared" si="48"/>
        <v>0</v>
      </c>
      <c r="AN203" s="148"/>
      <c r="AO203" s="148">
        <f t="shared" si="49"/>
        <v>0</v>
      </c>
      <c r="AP203" s="148"/>
      <c r="AQ203" s="148">
        <f t="shared" si="50"/>
        <v>0</v>
      </c>
      <c r="AR203" s="148"/>
      <c r="AS203" s="148">
        <f t="shared" si="50"/>
        <v>0</v>
      </c>
      <c r="AT203" s="148"/>
      <c r="AU203" s="148">
        <f t="shared" si="51"/>
        <v>0</v>
      </c>
      <c r="AV203" s="148"/>
      <c r="AW203" s="148">
        <f t="shared" si="51"/>
        <v>0</v>
      </c>
      <c r="AY203" s="193"/>
    </row>
    <row r="204" spans="1:51" ht="12.75">
      <c r="A204" s="464"/>
      <c r="B204" s="464"/>
      <c r="C204" s="236"/>
      <c r="D204" s="241" t="s">
        <v>215</v>
      </c>
      <c r="E204" s="310"/>
      <c r="F204" s="311">
        <v>2</v>
      </c>
      <c r="G204" s="141"/>
      <c r="H204" s="376">
        <v>131049</v>
      </c>
      <c r="I204" s="219"/>
      <c r="J204" s="235">
        <f t="shared" si="36"/>
        <v>65616.2343</v>
      </c>
      <c r="K204" s="373"/>
      <c r="L204" s="235">
        <f t="shared" si="37"/>
        <v>40140.3087</v>
      </c>
      <c r="M204" s="373"/>
      <c r="N204" s="235">
        <f t="shared" si="38"/>
        <v>5019.1767</v>
      </c>
      <c r="O204" s="373"/>
      <c r="P204" s="235">
        <f t="shared" si="39"/>
        <v>15306.5232</v>
      </c>
      <c r="Q204" s="373"/>
      <c r="R204" s="235">
        <f t="shared" si="40"/>
        <v>4534.2954</v>
      </c>
      <c r="S204" s="373"/>
      <c r="T204" s="235">
        <f t="shared" si="41"/>
        <v>196.5735</v>
      </c>
      <c r="U204" s="373"/>
      <c r="V204" s="235">
        <f t="shared" si="42"/>
        <v>235.88819999999998</v>
      </c>
      <c r="W204" s="236"/>
      <c r="X204" s="236"/>
      <c r="AA204" s="241" t="s">
        <v>215</v>
      </c>
      <c r="AC204" s="280">
        <f t="shared" si="43"/>
        <v>2</v>
      </c>
      <c r="AE204" s="161">
        <f t="shared" si="44"/>
        <v>131049</v>
      </c>
      <c r="AG204" s="148">
        <f t="shared" si="45"/>
        <v>78996.3372</v>
      </c>
      <c r="AH204" s="148"/>
      <c r="AI204" s="148">
        <f t="shared" si="46"/>
        <v>51620.2011</v>
      </c>
      <c r="AJ204" s="148"/>
      <c r="AK204" s="148">
        <f t="shared" si="47"/>
        <v>0</v>
      </c>
      <c r="AL204" s="148"/>
      <c r="AM204" s="148">
        <f t="shared" si="48"/>
        <v>0</v>
      </c>
      <c r="AN204" s="148"/>
      <c r="AO204" s="148">
        <f t="shared" si="49"/>
        <v>0</v>
      </c>
      <c r="AP204" s="148"/>
      <c r="AQ204" s="148">
        <f t="shared" si="50"/>
        <v>0</v>
      </c>
      <c r="AR204" s="148"/>
      <c r="AS204" s="148">
        <f t="shared" si="50"/>
        <v>0</v>
      </c>
      <c r="AT204" s="148"/>
      <c r="AU204" s="148">
        <f t="shared" si="51"/>
        <v>196.5735</v>
      </c>
      <c r="AV204" s="148"/>
      <c r="AW204" s="148">
        <f t="shared" si="51"/>
        <v>235.88819999999998</v>
      </c>
      <c r="AY204" s="193"/>
    </row>
    <row r="205" spans="1:51" ht="12.75">
      <c r="A205" s="464"/>
      <c r="B205" s="464"/>
      <c r="C205" s="236"/>
      <c r="D205" s="241" t="s">
        <v>216</v>
      </c>
      <c r="E205" s="310"/>
      <c r="F205" s="311">
        <v>6</v>
      </c>
      <c r="G205" s="141"/>
      <c r="H205" s="376">
        <v>310658</v>
      </c>
      <c r="I205" s="219"/>
      <c r="J205" s="235">
        <f t="shared" si="36"/>
        <v>147314.0236</v>
      </c>
      <c r="K205" s="373"/>
      <c r="L205" s="235">
        <f t="shared" si="37"/>
        <v>89780.162</v>
      </c>
      <c r="M205" s="373"/>
      <c r="N205" s="235">
        <f t="shared" si="38"/>
        <v>10904.0958</v>
      </c>
      <c r="O205" s="373"/>
      <c r="P205" s="235">
        <f t="shared" si="39"/>
        <v>32929.74800000001</v>
      </c>
      <c r="Q205" s="373"/>
      <c r="R205" s="235">
        <f t="shared" si="40"/>
        <v>9568.2664</v>
      </c>
      <c r="S205" s="373"/>
      <c r="T205" s="235">
        <f t="shared" si="41"/>
        <v>9040.1478</v>
      </c>
      <c r="U205" s="373"/>
      <c r="V205" s="235">
        <f t="shared" si="42"/>
        <v>11121.5564</v>
      </c>
      <c r="W205" s="236"/>
      <c r="X205" s="236"/>
      <c r="AA205" s="241" t="s">
        <v>216</v>
      </c>
      <c r="AC205" s="280">
        <f t="shared" si="43"/>
        <v>6</v>
      </c>
      <c r="AE205" s="161">
        <f t="shared" si="44"/>
        <v>310658</v>
      </c>
      <c r="AG205" s="148">
        <f t="shared" si="45"/>
        <v>160777.78599099998</v>
      </c>
      <c r="AH205" s="148"/>
      <c r="AI205" s="148">
        <f t="shared" si="46"/>
        <v>86176.52919999999</v>
      </c>
      <c r="AJ205" s="148"/>
      <c r="AK205" s="148">
        <f t="shared" si="47"/>
        <v>43555.121442400006</v>
      </c>
      <c r="AL205" s="148"/>
      <c r="AM205" s="148">
        <f t="shared" si="48"/>
        <v>0</v>
      </c>
      <c r="AN205" s="148"/>
      <c r="AO205" s="148">
        <f t="shared" si="49"/>
        <v>0</v>
      </c>
      <c r="AP205" s="148"/>
      <c r="AQ205" s="148">
        <f t="shared" si="50"/>
        <v>0</v>
      </c>
      <c r="AR205" s="148"/>
      <c r="AS205" s="148">
        <f t="shared" si="50"/>
        <v>0</v>
      </c>
      <c r="AT205" s="148"/>
      <c r="AU205" s="148">
        <f t="shared" si="51"/>
        <v>9035.8607196</v>
      </c>
      <c r="AV205" s="148"/>
      <c r="AW205" s="148">
        <f t="shared" si="51"/>
        <v>11112.702647000002</v>
      </c>
      <c r="AY205" s="193"/>
    </row>
    <row r="206" spans="1:51" ht="12.75">
      <c r="A206" s="358"/>
      <c r="B206" s="359"/>
      <c r="C206" s="236"/>
      <c r="D206" s="241" t="s">
        <v>217</v>
      </c>
      <c r="E206" s="310"/>
      <c r="F206" s="311">
        <v>6</v>
      </c>
      <c r="G206" s="141"/>
      <c r="H206" s="376">
        <v>91149</v>
      </c>
      <c r="I206" s="219"/>
      <c r="J206" s="235">
        <f t="shared" si="36"/>
        <v>43222.8558</v>
      </c>
      <c r="K206" s="373"/>
      <c r="L206" s="235">
        <f t="shared" si="37"/>
        <v>26342.060999999998</v>
      </c>
      <c r="M206" s="373"/>
      <c r="N206" s="235">
        <f t="shared" si="38"/>
        <v>3199.3298999999997</v>
      </c>
      <c r="O206" s="373"/>
      <c r="P206" s="235">
        <f t="shared" si="39"/>
        <v>9661.794000000002</v>
      </c>
      <c r="Q206" s="373"/>
      <c r="R206" s="235">
        <f t="shared" si="40"/>
        <v>2807.3892</v>
      </c>
      <c r="S206" s="373"/>
      <c r="T206" s="235">
        <f t="shared" si="41"/>
        <v>2652.4359</v>
      </c>
      <c r="U206" s="373"/>
      <c r="V206" s="235">
        <f t="shared" si="42"/>
        <v>3263.1342</v>
      </c>
      <c r="W206" s="236"/>
      <c r="X206" s="236"/>
      <c r="AA206" s="241" t="s">
        <v>217</v>
      </c>
      <c r="AC206" s="280">
        <f t="shared" si="43"/>
        <v>6</v>
      </c>
      <c r="AE206" s="161">
        <f t="shared" si="44"/>
        <v>91149</v>
      </c>
      <c r="AG206" s="148">
        <f t="shared" si="45"/>
        <v>47173.20788549999</v>
      </c>
      <c r="AH206" s="148"/>
      <c r="AI206" s="148">
        <f t="shared" si="46"/>
        <v>25284.7326</v>
      </c>
      <c r="AJ206" s="148"/>
      <c r="AK206" s="148">
        <f t="shared" si="47"/>
        <v>12779.345017200001</v>
      </c>
      <c r="AL206" s="148"/>
      <c r="AM206" s="148">
        <f t="shared" si="48"/>
        <v>0</v>
      </c>
      <c r="AN206" s="148"/>
      <c r="AO206" s="148">
        <f t="shared" si="49"/>
        <v>0</v>
      </c>
      <c r="AP206" s="148"/>
      <c r="AQ206" s="148">
        <f t="shared" si="50"/>
        <v>0</v>
      </c>
      <c r="AR206" s="148"/>
      <c r="AS206" s="148">
        <f t="shared" si="50"/>
        <v>0</v>
      </c>
      <c r="AT206" s="148"/>
      <c r="AU206" s="148">
        <f t="shared" si="51"/>
        <v>2651.1780438</v>
      </c>
      <c r="AV206" s="148"/>
      <c r="AW206" s="148">
        <f t="shared" si="51"/>
        <v>3260.5364535000003</v>
      </c>
      <c r="AY206" s="193"/>
    </row>
    <row r="207" spans="1:51" ht="12.75">
      <c r="A207" s="464"/>
      <c r="B207" s="464"/>
      <c r="C207" s="236"/>
      <c r="D207" s="241" t="s">
        <v>218</v>
      </c>
      <c r="E207" s="310"/>
      <c r="F207" s="311">
        <v>6</v>
      </c>
      <c r="G207" s="141"/>
      <c r="H207" s="376">
        <v>397622</v>
      </c>
      <c r="I207" s="219"/>
      <c r="J207" s="235">
        <f t="shared" si="36"/>
        <v>188552.35239999997</v>
      </c>
      <c r="K207" s="373"/>
      <c r="L207" s="235">
        <f t="shared" si="37"/>
        <v>114912.75799999999</v>
      </c>
      <c r="M207" s="373"/>
      <c r="N207" s="235">
        <f t="shared" si="38"/>
        <v>13956.5322</v>
      </c>
      <c r="O207" s="373"/>
      <c r="P207" s="235">
        <f t="shared" si="39"/>
        <v>42147.932</v>
      </c>
      <c r="Q207" s="373"/>
      <c r="R207" s="235">
        <f t="shared" si="40"/>
        <v>12246.7576</v>
      </c>
      <c r="S207" s="373"/>
      <c r="T207" s="235">
        <f t="shared" si="41"/>
        <v>11570.8002</v>
      </c>
      <c r="U207" s="373"/>
      <c r="V207" s="235">
        <f t="shared" si="42"/>
        <v>14234.8676</v>
      </c>
      <c r="W207" s="236"/>
      <c r="X207" s="236"/>
      <c r="AA207" s="241" t="s">
        <v>218</v>
      </c>
      <c r="AC207" s="280">
        <f t="shared" si="43"/>
        <v>6</v>
      </c>
      <c r="AE207" s="161">
        <f t="shared" si="44"/>
        <v>397622</v>
      </c>
      <c r="AG207" s="148">
        <f t="shared" si="45"/>
        <v>205785.09106899996</v>
      </c>
      <c r="AH207" s="148"/>
      <c r="AI207" s="148">
        <f t="shared" si="46"/>
        <v>110300.3428</v>
      </c>
      <c r="AJ207" s="148"/>
      <c r="AK207" s="148">
        <f t="shared" si="47"/>
        <v>55747.717741600005</v>
      </c>
      <c r="AL207" s="148"/>
      <c r="AM207" s="148">
        <f t="shared" si="48"/>
        <v>0</v>
      </c>
      <c r="AN207" s="148"/>
      <c r="AO207" s="148">
        <f t="shared" si="49"/>
        <v>0</v>
      </c>
      <c r="AP207" s="148"/>
      <c r="AQ207" s="148">
        <f t="shared" si="50"/>
        <v>0</v>
      </c>
      <c r="AR207" s="148"/>
      <c r="AS207" s="148">
        <f t="shared" si="50"/>
        <v>0</v>
      </c>
      <c r="AT207" s="148"/>
      <c r="AU207" s="148">
        <f t="shared" si="51"/>
        <v>11565.3130164</v>
      </c>
      <c r="AV207" s="148"/>
      <c r="AW207" s="148">
        <f t="shared" si="51"/>
        <v>14223.535373000002</v>
      </c>
      <c r="AY207" s="193"/>
    </row>
    <row r="208" spans="1:51" ht="12.75">
      <c r="A208" s="464"/>
      <c r="B208" s="464"/>
      <c r="C208" s="236"/>
      <c r="D208" s="241" t="s">
        <v>219</v>
      </c>
      <c r="E208" s="310"/>
      <c r="F208" s="311">
        <v>6</v>
      </c>
      <c r="G208" s="141"/>
      <c r="H208" s="376">
        <v>16094</v>
      </c>
      <c r="I208" s="219"/>
      <c r="J208" s="235">
        <f t="shared" si="36"/>
        <v>7631.774799999999</v>
      </c>
      <c r="K208" s="373"/>
      <c r="L208" s="235">
        <f t="shared" si="37"/>
        <v>4651.165999999999</v>
      </c>
      <c r="M208" s="373"/>
      <c r="N208" s="235">
        <f t="shared" si="38"/>
        <v>564.8994</v>
      </c>
      <c r="O208" s="373"/>
      <c r="P208" s="235">
        <f t="shared" si="39"/>
        <v>1705.9640000000002</v>
      </c>
      <c r="Q208" s="373"/>
      <c r="R208" s="235">
        <f t="shared" si="40"/>
        <v>495.6952</v>
      </c>
      <c r="S208" s="373"/>
      <c r="T208" s="235">
        <f t="shared" si="41"/>
        <v>468.3354</v>
      </c>
      <c r="U208" s="373"/>
      <c r="V208" s="235">
        <f t="shared" si="42"/>
        <v>576.1652</v>
      </c>
      <c r="W208" s="236"/>
      <c r="X208" s="236"/>
      <c r="AA208" s="241" t="s">
        <v>219</v>
      </c>
      <c r="AC208" s="280">
        <f t="shared" si="43"/>
        <v>6</v>
      </c>
      <c r="AE208" s="161">
        <f t="shared" si="44"/>
        <v>16094</v>
      </c>
      <c r="AG208" s="148">
        <f t="shared" si="45"/>
        <v>8329.280712999998</v>
      </c>
      <c r="AH208" s="148"/>
      <c r="AI208" s="148">
        <f t="shared" si="46"/>
        <v>4464.4756</v>
      </c>
      <c r="AJ208" s="148"/>
      <c r="AK208" s="148">
        <f t="shared" si="47"/>
        <v>2256.4238632</v>
      </c>
      <c r="AL208" s="148"/>
      <c r="AM208" s="148">
        <f t="shared" si="48"/>
        <v>0</v>
      </c>
      <c r="AN208" s="148"/>
      <c r="AO208" s="148">
        <f t="shared" si="49"/>
        <v>0</v>
      </c>
      <c r="AP208" s="148"/>
      <c r="AQ208" s="148">
        <f t="shared" si="50"/>
        <v>0</v>
      </c>
      <c r="AR208" s="148"/>
      <c r="AS208" s="148">
        <f t="shared" si="50"/>
        <v>0</v>
      </c>
      <c r="AT208" s="148"/>
      <c r="AU208" s="148">
        <f t="shared" si="51"/>
        <v>468.1133028</v>
      </c>
      <c r="AV208" s="148"/>
      <c r="AW208" s="148">
        <f t="shared" si="51"/>
        <v>575.7065210000001</v>
      </c>
      <c r="AY208" s="193"/>
    </row>
    <row r="209" spans="1:51" ht="12.75">
      <c r="A209" s="464"/>
      <c r="B209" s="464"/>
      <c r="C209" s="236"/>
      <c r="D209" s="241" t="s">
        <v>220</v>
      </c>
      <c r="E209" s="310"/>
      <c r="F209" s="311">
        <v>6</v>
      </c>
      <c r="G209" s="141"/>
      <c r="H209" s="376">
        <v>191</v>
      </c>
      <c r="I209" s="219"/>
      <c r="J209" s="235">
        <f t="shared" si="36"/>
        <v>90.5722</v>
      </c>
      <c r="K209" s="373"/>
      <c r="L209" s="235">
        <f t="shared" si="37"/>
        <v>55.199</v>
      </c>
      <c r="M209" s="373"/>
      <c r="N209" s="235">
        <f t="shared" si="38"/>
        <v>6.7040999999999995</v>
      </c>
      <c r="O209" s="373"/>
      <c r="P209" s="235">
        <f t="shared" si="39"/>
        <v>20.246000000000002</v>
      </c>
      <c r="Q209" s="373"/>
      <c r="R209" s="235">
        <f t="shared" si="40"/>
        <v>5.8828000000000005</v>
      </c>
      <c r="S209" s="373"/>
      <c r="T209" s="235">
        <f t="shared" si="41"/>
        <v>5.5581000000000005</v>
      </c>
      <c r="U209" s="373"/>
      <c r="V209" s="235">
        <f t="shared" si="42"/>
        <v>6.8378</v>
      </c>
      <c r="W209" s="236"/>
      <c r="X209" s="236"/>
      <c r="AA209" s="241" t="s">
        <v>220</v>
      </c>
      <c r="AC209" s="280">
        <f t="shared" si="43"/>
        <v>6</v>
      </c>
      <c r="AE209" s="161">
        <f t="shared" si="44"/>
        <v>191</v>
      </c>
      <c r="AG209" s="148">
        <f t="shared" si="45"/>
        <v>98.85004449999998</v>
      </c>
      <c r="AH209" s="148"/>
      <c r="AI209" s="148">
        <f t="shared" si="46"/>
        <v>52.983399999999996</v>
      </c>
      <c r="AJ209" s="148"/>
      <c r="AK209" s="148">
        <f t="shared" si="47"/>
        <v>26.778734800000002</v>
      </c>
      <c r="AL209" s="148"/>
      <c r="AM209" s="148">
        <f t="shared" si="48"/>
        <v>0</v>
      </c>
      <c r="AN209" s="148"/>
      <c r="AO209" s="148">
        <f t="shared" si="49"/>
        <v>0</v>
      </c>
      <c r="AP209" s="148"/>
      <c r="AQ209" s="148">
        <f t="shared" si="50"/>
        <v>0</v>
      </c>
      <c r="AR209" s="148"/>
      <c r="AS209" s="148">
        <f t="shared" si="50"/>
        <v>0</v>
      </c>
      <c r="AT209" s="148"/>
      <c r="AU209" s="148">
        <f t="shared" si="51"/>
        <v>5.5554642</v>
      </c>
      <c r="AV209" s="148"/>
      <c r="AW209" s="148">
        <f t="shared" si="51"/>
        <v>6.832356500000001</v>
      </c>
      <c r="AY209" s="193"/>
    </row>
    <row r="210" spans="1:51" ht="12.75">
      <c r="A210" s="464"/>
      <c r="B210" s="464"/>
      <c r="C210" s="236"/>
      <c r="D210" s="241" t="s">
        <v>221</v>
      </c>
      <c r="E210" s="310"/>
      <c r="F210" s="311">
        <v>6</v>
      </c>
      <c r="G210" s="141"/>
      <c r="H210" s="376">
        <v>207195</v>
      </c>
      <c r="I210" s="219"/>
      <c r="J210" s="235">
        <f t="shared" si="36"/>
        <v>98251.86899999999</v>
      </c>
      <c r="K210" s="373"/>
      <c r="L210" s="235">
        <f t="shared" si="37"/>
        <v>59879.354999999996</v>
      </c>
      <c r="M210" s="373"/>
      <c r="N210" s="235">
        <f t="shared" si="38"/>
        <v>7272.5445</v>
      </c>
      <c r="O210" s="373"/>
      <c r="P210" s="235">
        <f t="shared" si="39"/>
        <v>21962.670000000002</v>
      </c>
      <c r="Q210" s="373"/>
      <c r="R210" s="235">
        <f t="shared" si="40"/>
        <v>6381.606</v>
      </c>
      <c r="S210" s="373"/>
      <c r="T210" s="235">
        <f t="shared" si="41"/>
        <v>6029.3745</v>
      </c>
      <c r="U210" s="373"/>
      <c r="V210" s="235">
        <f t="shared" si="42"/>
        <v>7417.581</v>
      </c>
      <c r="W210" s="236"/>
      <c r="X210" s="236"/>
      <c r="AA210" s="241" t="s">
        <v>221</v>
      </c>
      <c r="AC210" s="280">
        <f t="shared" si="43"/>
        <v>6</v>
      </c>
      <c r="AE210" s="161">
        <f t="shared" si="44"/>
        <v>207195</v>
      </c>
      <c r="AG210" s="148">
        <f t="shared" si="45"/>
        <v>107231.59670249998</v>
      </c>
      <c r="AH210" s="148"/>
      <c r="AI210" s="148">
        <f t="shared" si="46"/>
        <v>57475.893</v>
      </c>
      <c r="AJ210" s="148"/>
      <c r="AK210" s="148">
        <f t="shared" si="47"/>
        <v>29049.319146</v>
      </c>
      <c r="AL210" s="148"/>
      <c r="AM210" s="148">
        <f t="shared" si="48"/>
        <v>0</v>
      </c>
      <c r="AN210" s="148"/>
      <c r="AO210" s="148">
        <f t="shared" si="49"/>
        <v>0</v>
      </c>
      <c r="AP210" s="148"/>
      <c r="AQ210" s="148">
        <f t="shared" si="50"/>
        <v>0</v>
      </c>
      <c r="AR210" s="148"/>
      <c r="AS210" s="148">
        <f t="shared" si="50"/>
        <v>0</v>
      </c>
      <c r="AT210" s="148"/>
      <c r="AU210" s="148">
        <f t="shared" si="51"/>
        <v>6026.515209</v>
      </c>
      <c r="AV210" s="148"/>
      <c r="AW210" s="148">
        <f t="shared" si="51"/>
        <v>7411.675942500001</v>
      </c>
      <c r="AY210" s="193"/>
    </row>
    <row r="211" spans="1:51" ht="12.75">
      <c r="A211" s="464"/>
      <c r="B211" s="464"/>
      <c r="C211" s="236"/>
      <c r="D211" s="241" t="s">
        <v>222</v>
      </c>
      <c r="E211" s="310"/>
      <c r="F211" s="311">
        <v>2</v>
      </c>
      <c r="G211" s="141"/>
      <c r="H211" s="376">
        <v>1643197</v>
      </c>
      <c r="I211" s="219"/>
      <c r="J211" s="235">
        <f t="shared" si="36"/>
        <v>822748.7378999998</v>
      </c>
      <c r="K211" s="373"/>
      <c r="L211" s="235">
        <f t="shared" si="37"/>
        <v>503311.24110000004</v>
      </c>
      <c r="M211" s="373"/>
      <c r="N211" s="235">
        <f t="shared" si="38"/>
        <v>62934.445100000004</v>
      </c>
      <c r="O211" s="373"/>
      <c r="P211" s="235">
        <f t="shared" si="39"/>
        <v>191925.4096</v>
      </c>
      <c r="Q211" s="373"/>
      <c r="R211" s="235">
        <f t="shared" si="40"/>
        <v>56854.6162</v>
      </c>
      <c r="S211" s="373"/>
      <c r="T211" s="235">
        <f t="shared" si="41"/>
        <v>2464.7955</v>
      </c>
      <c r="U211" s="373"/>
      <c r="V211" s="235">
        <f t="shared" si="42"/>
        <v>2957.7545999999998</v>
      </c>
      <c r="W211" s="236"/>
      <c r="X211" s="236"/>
      <c r="AA211" s="241" t="s">
        <v>222</v>
      </c>
      <c r="AC211" s="280">
        <f t="shared" si="43"/>
        <v>2</v>
      </c>
      <c r="AE211" s="161">
        <f t="shared" si="44"/>
        <v>1643197</v>
      </c>
      <c r="AG211" s="148">
        <f t="shared" si="45"/>
        <v>990519.1516</v>
      </c>
      <c r="AH211" s="148"/>
      <c r="AI211" s="148">
        <f t="shared" si="46"/>
        <v>647255.2982999999</v>
      </c>
      <c r="AJ211" s="148"/>
      <c r="AK211" s="148">
        <f t="shared" si="47"/>
        <v>0</v>
      </c>
      <c r="AL211" s="148"/>
      <c r="AM211" s="148">
        <f t="shared" si="48"/>
        <v>0</v>
      </c>
      <c r="AN211" s="148"/>
      <c r="AO211" s="148">
        <f t="shared" si="49"/>
        <v>0</v>
      </c>
      <c r="AP211" s="148"/>
      <c r="AQ211" s="148">
        <f t="shared" si="50"/>
        <v>0</v>
      </c>
      <c r="AR211" s="148"/>
      <c r="AS211" s="148">
        <f t="shared" si="50"/>
        <v>0</v>
      </c>
      <c r="AT211" s="148"/>
      <c r="AU211" s="148">
        <f t="shared" si="51"/>
        <v>2464.7955</v>
      </c>
      <c r="AV211" s="148"/>
      <c r="AW211" s="148">
        <f t="shared" si="51"/>
        <v>2957.7545999999998</v>
      </c>
      <c r="AY211" s="193"/>
    </row>
    <row r="212" spans="1:51" ht="12.75">
      <c r="A212" s="464"/>
      <c r="B212" s="464"/>
      <c r="C212" s="236"/>
      <c r="D212" s="241" t="s">
        <v>223</v>
      </c>
      <c r="E212" s="310"/>
      <c r="F212" s="311">
        <v>2</v>
      </c>
      <c r="G212" s="141"/>
      <c r="H212" s="376">
        <v>1220102</v>
      </c>
      <c r="I212" s="219"/>
      <c r="J212" s="235">
        <f t="shared" si="36"/>
        <v>610905.0713999999</v>
      </c>
      <c r="K212" s="373"/>
      <c r="L212" s="235">
        <f t="shared" si="37"/>
        <v>373717.2426</v>
      </c>
      <c r="M212" s="373"/>
      <c r="N212" s="235">
        <f t="shared" si="38"/>
        <v>46729.9066</v>
      </c>
      <c r="O212" s="373"/>
      <c r="P212" s="235">
        <f t="shared" si="39"/>
        <v>142507.9136</v>
      </c>
      <c r="Q212" s="373"/>
      <c r="R212" s="235">
        <f t="shared" si="40"/>
        <v>42215.5292</v>
      </c>
      <c r="S212" s="373"/>
      <c r="T212" s="235">
        <f t="shared" si="41"/>
        <v>1830.153</v>
      </c>
      <c r="U212" s="373"/>
      <c r="V212" s="235">
        <f t="shared" si="42"/>
        <v>2196.1836</v>
      </c>
      <c r="W212" s="236"/>
      <c r="X212" s="236"/>
      <c r="AA212" s="241" t="s">
        <v>223</v>
      </c>
      <c r="AC212" s="280">
        <f t="shared" si="43"/>
        <v>2</v>
      </c>
      <c r="AE212" s="161">
        <f t="shared" si="44"/>
        <v>1220102</v>
      </c>
      <c r="AG212" s="148">
        <f t="shared" si="45"/>
        <v>735477.4856</v>
      </c>
      <c r="AH212" s="148"/>
      <c r="AI212" s="148">
        <f t="shared" si="46"/>
        <v>480598.17779999995</v>
      </c>
      <c r="AJ212" s="148"/>
      <c r="AK212" s="148">
        <f t="shared" si="47"/>
        <v>0</v>
      </c>
      <c r="AL212" s="148"/>
      <c r="AM212" s="148">
        <f t="shared" si="48"/>
        <v>0</v>
      </c>
      <c r="AN212" s="148"/>
      <c r="AO212" s="148">
        <f t="shared" si="49"/>
        <v>0</v>
      </c>
      <c r="AP212" s="148"/>
      <c r="AQ212" s="148">
        <f t="shared" si="50"/>
        <v>0</v>
      </c>
      <c r="AR212" s="148"/>
      <c r="AS212" s="148">
        <f t="shared" si="50"/>
        <v>0</v>
      </c>
      <c r="AT212" s="148"/>
      <c r="AU212" s="148">
        <f t="shared" si="51"/>
        <v>1830.153</v>
      </c>
      <c r="AV212" s="148"/>
      <c r="AW212" s="148">
        <f t="shared" si="51"/>
        <v>2196.1836</v>
      </c>
      <c r="AY212" s="193"/>
    </row>
    <row r="213" spans="1:51" ht="12.75">
      <c r="A213" s="464"/>
      <c r="B213" s="464"/>
      <c r="C213" s="236"/>
      <c r="D213" s="241" t="s">
        <v>224</v>
      </c>
      <c r="E213" s="310"/>
      <c r="F213" s="311">
        <v>2</v>
      </c>
      <c r="G213" s="141"/>
      <c r="H213" s="376">
        <v>40355</v>
      </c>
      <c r="I213" s="219"/>
      <c r="J213" s="235">
        <f t="shared" si="36"/>
        <v>20205.748499999998</v>
      </c>
      <c r="K213" s="373"/>
      <c r="L213" s="235">
        <f t="shared" si="37"/>
        <v>12360.7365</v>
      </c>
      <c r="M213" s="373"/>
      <c r="N213" s="235">
        <f t="shared" si="38"/>
        <v>1545.5965</v>
      </c>
      <c r="O213" s="373"/>
      <c r="P213" s="235">
        <f t="shared" si="39"/>
        <v>4713.464</v>
      </c>
      <c r="Q213" s="373"/>
      <c r="R213" s="235">
        <f t="shared" si="40"/>
        <v>1396.283</v>
      </c>
      <c r="S213" s="373"/>
      <c r="T213" s="235">
        <f t="shared" si="41"/>
        <v>60.5325</v>
      </c>
      <c r="U213" s="373"/>
      <c r="V213" s="235">
        <f t="shared" si="42"/>
        <v>72.639</v>
      </c>
      <c r="W213" s="236"/>
      <c r="X213" s="236"/>
      <c r="AA213" s="241" t="s">
        <v>224</v>
      </c>
      <c r="AC213" s="280">
        <f t="shared" si="43"/>
        <v>2</v>
      </c>
      <c r="AE213" s="161">
        <f t="shared" si="44"/>
        <v>40355</v>
      </c>
      <c r="AG213" s="148">
        <f t="shared" si="45"/>
        <v>24325.994</v>
      </c>
      <c r="AH213" s="148"/>
      <c r="AI213" s="148">
        <f t="shared" si="46"/>
        <v>15895.834499999999</v>
      </c>
      <c r="AJ213" s="148"/>
      <c r="AK213" s="148">
        <f t="shared" si="47"/>
        <v>0</v>
      </c>
      <c r="AL213" s="148"/>
      <c r="AM213" s="148">
        <f t="shared" si="48"/>
        <v>0</v>
      </c>
      <c r="AN213" s="148"/>
      <c r="AO213" s="148">
        <f t="shared" si="49"/>
        <v>0</v>
      </c>
      <c r="AP213" s="148"/>
      <c r="AQ213" s="148">
        <f t="shared" si="50"/>
        <v>0</v>
      </c>
      <c r="AR213" s="148"/>
      <c r="AS213" s="148">
        <f t="shared" si="50"/>
        <v>0</v>
      </c>
      <c r="AT213" s="148"/>
      <c r="AU213" s="148">
        <f t="shared" si="51"/>
        <v>60.5325</v>
      </c>
      <c r="AV213" s="148"/>
      <c r="AW213" s="148">
        <f t="shared" si="51"/>
        <v>72.639</v>
      </c>
      <c r="AY213" s="193"/>
    </row>
    <row r="214" spans="1:51" ht="12.75">
      <c r="A214" s="358"/>
      <c r="B214" s="359"/>
      <c r="C214" s="236"/>
      <c r="D214" s="241" t="s">
        <v>225</v>
      </c>
      <c r="E214" s="310"/>
      <c r="F214" s="311">
        <v>7</v>
      </c>
      <c r="G214" s="141"/>
      <c r="H214" s="376">
        <v>26660</v>
      </c>
      <c r="I214" s="219"/>
      <c r="J214" s="235">
        <f t="shared" si="36"/>
        <v>12066.316</v>
      </c>
      <c r="K214" s="373"/>
      <c r="L214" s="235">
        <f t="shared" si="37"/>
        <v>7304.84</v>
      </c>
      <c r="M214" s="373"/>
      <c r="N214" s="235">
        <f t="shared" si="38"/>
        <v>831.7919999999999</v>
      </c>
      <c r="O214" s="373"/>
      <c r="P214" s="235">
        <f t="shared" si="39"/>
        <v>2458.052</v>
      </c>
      <c r="Q214" s="373"/>
      <c r="R214" s="235">
        <f t="shared" si="40"/>
        <v>690.494</v>
      </c>
      <c r="S214" s="373"/>
      <c r="T214" s="235">
        <f t="shared" si="41"/>
        <v>1484.962</v>
      </c>
      <c r="U214" s="373"/>
      <c r="V214" s="235">
        <f t="shared" si="42"/>
        <v>1823.544</v>
      </c>
      <c r="W214" s="236"/>
      <c r="X214" s="236"/>
      <c r="AA214" s="241" t="s">
        <v>225</v>
      </c>
      <c r="AC214" s="280">
        <f t="shared" si="43"/>
        <v>7</v>
      </c>
      <c r="AE214" s="161">
        <f t="shared" si="44"/>
        <v>26660</v>
      </c>
      <c r="AG214" s="148">
        <f t="shared" si="45"/>
        <v>10381.403999999999</v>
      </c>
      <c r="AH214" s="148"/>
      <c r="AI214" s="148">
        <f t="shared" si="46"/>
        <v>2055.486</v>
      </c>
      <c r="AJ214" s="148"/>
      <c r="AK214" s="148">
        <f t="shared" si="47"/>
        <v>10914.604</v>
      </c>
      <c r="AL214" s="148"/>
      <c r="AM214" s="148">
        <f t="shared" si="48"/>
        <v>0</v>
      </c>
      <c r="AN214" s="148"/>
      <c r="AO214" s="148">
        <f t="shared" si="49"/>
        <v>0</v>
      </c>
      <c r="AP214" s="148"/>
      <c r="AQ214" s="148">
        <f t="shared" si="50"/>
        <v>0</v>
      </c>
      <c r="AR214" s="148"/>
      <c r="AS214" s="148">
        <f t="shared" si="50"/>
        <v>0</v>
      </c>
      <c r="AT214" s="148"/>
      <c r="AU214" s="148">
        <f t="shared" si="51"/>
        <v>1484.962</v>
      </c>
      <c r="AV214" s="148"/>
      <c r="AW214" s="148">
        <f t="shared" si="51"/>
        <v>1823.544</v>
      </c>
      <c r="AY214" s="193"/>
    </row>
    <row r="215" spans="1:51" ht="12.75">
      <c r="A215" s="464"/>
      <c r="B215" s="464"/>
      <c r="C215" s="236"/>
      <c r="D215" s="241" t="s">
        <v>226</v>
      </c>
      <c r="E215" s="310"/>
      <c r="F215" s="311">
        <v>5</v>
      </c>
      <c r="G215" s="141"/>
      <c r="H215" s="376">
        <v>285656</v>
      </c>
      <c r="I215" s="219"/>
      <c r="J215" s="235">
        <f t="shared" si="36"/>
        <v>115947.77040000001</v>
      </c>
      <c r="K215" s="373"/>
      <c r="L215" s="235">
        <f t="shared" si="37"/>
        <v>69957.1544</v>
      </c>
      <c r="M215" s="373"/>
      <c r="N215" s="235">
        <f t="shared" si="38"/>
        <v>7769.8432</v>
      </c>
      <c r="O215" s="373"/>
      <c r="P215" s="235">
        <f t="shared" si="39"/>
        <v>22652.5208</v>
      </c>
      <c r="Q215" s="373"/>
      <c r="R215" s="235">
        <f t="shared" si="40"/>
        <v>6227.3008</v>
      </c>
      <c r="S215" s="373"/>
      <c r="T215" s="235">
        <f t="shared" si="41"/>
        <v>28279.943999999996</v>
      </c>
      <c r="U215" s="373"/>
      <c r="V215" s="235">
        <f t="shared" si="42"/>
        <v>34821.4664</v>
      </c>
      <c r="W215" s="236"/>
      <c r="X215" s="236"/>
      <c r="AA215" s="241" t="s">
        <v>226</v>
      </c>
      <c r="AC215" s="280">
        <f t="shared" si="43"/>
        <v>5</v>
      </c>
      <c r="AE215" s="161">
        <f t="shared" si="44"/>
        <v>285656</v>
      </c>
      <c r="AG215" s="148">
        <f t="shared" si="45"/>
        <v>88724.7536</v>
      </c>
      <c r="AH215" s="148"/>
      <c r="AI215" s="148">
        <f t="shared" si="46"/>
        <v>0</v>
      </c>
      <c r="AJ215" s="148"/>
      <c r="AK215" s="148">
        <f t="shared" si="47"/>
        <v>133829.836</v>
      </c>
      <c r="AL215" s="148"/>
      <c r="AM215" s="148">
        <f t="shared" si="48"/>
        <v>0</v>
      </c>
      <c r="AN215" s="148"/>
      <c r="AO215" s="148">
        <f t="shared" si="49"/>
        <v>0</v>
      </c>
      <c r="AP215" s="148"/>
      <c r="AQ215" s="148">
        <f t="shared" si="50"/>
        <v>0</v>
      </c>
      <c r="AR215" s="148"/>
      <c r="AS215" s="148">
        <f t="shared" si="50"/>
        <v>0</v>
      </c>
      <c r="AT215" s="148"/>
      <c r="AU215" s="148">
        <f t="shared" si="51"/>
        <v>28279.943999999996</v>
      </c>
      <c r="AV215" s="148"/>
      <c r="AW215" s="148">
        <f t="shared" si="51"/>
        <v>34821.4664</v>
      </c>
      <c r="AY215" s="193"/>
    </row>
    <row r="216" spans="1:51" ht="12.75">
      <c r="A216" s="464"/>
      <c r="B216" s="495"/>
      <c r="C216" s="236"/>
      <c r="D216" s="241" t="s">
        <v>227</v>
      </c>
      <c r="E216" s="310"/>
      <c r="F216" s="311"/>
      <c r="G216" s="141"/>
      <c r="H216" s="162"/>
      <c r="I216" s="162"/>
      <c r="J216" s="162"/>
      <c r="K216" s="220"/>
      <c r="L216" s="162"/>
      <c r="M216" s="220"/>
      <c r="N216" s="162"/>
      <c r="O216" s="220"/>
      <c r="P216" s="162"/>
      <c r="Q216" s="220"/>
      <c r="R216" s="162"/>
      <c r="S216" s="220"/>
      <c r="T216" s="162"/>
      <c r="U216" s="220"/>
      <c r="V216" s="162"/>
      <c r="X216" s="193"/>
      <c r="AA216" s="241" t="s">
        <v>227</v>
      </c>
      <c r="AC216" s="280"/>
      <c r="AE216" s="161"/>
      <c r="AG216" s="148"/>
      <c r="AH216" s="148"/>
      <c r="AI216" s="148"/>
      <c r="AJ216" s="148"/>
      <c r="AK216" s="148"/>
      <c r="AL216" s="148"/>
      <c r="AM216" s="148"/>
      <c r="AN216" s="148"/>
      <c r="AO216" s="148"/>
      <c r="AP216" s="148"/>
      <c r="AQ216" s="148"/>
      <c r="AR216" s="148"/>
      <c r="AS216" s="148"/>
      <c r="AT216" s="148"/>
      <c r="AU216" s="148"/>
      <c r="AV216" s="148"/>
      <c r="AW216" s="148"/>
      <c r="AY216" s="193"/>
    </row>
    <row r="217" spans="2:51" ht="12.75">
      <c r="B217" s="376"/>
      <c r="C217" s="236"/>
      <c r="D217" t="s">
        <v>228</v>
      </c>
      <c r="E217" s="310"/>
      <c r="F217" s="311">
        <v>4</v>
      </c>
      <c r="G217" s="141"/>
      <c r="H217" s="376">
        <v>981517</v>
      </c>
      <c r="I217" s="219"/>
      <c r="J217" s="235">
        <f aca="true" t="shared" si="52" ref="J217:J245">(VLOOKUP($F217,Factors,J$384))*$H217</f>
        <v>443253.0772</v>
      </c>
      <c r="K217" s="373"/>
      <c r="L217" s="235">
        <f aca="true" t="shared" si="53" ref="L217:L245">(VLOOKUP($F217,Factors,L$384))*$H217</f>
        <v>267365.23079999996</v>
      </c>
      <c r="M217" s="373"/>
      <c r="N217" s="235">
        <f aca="true" t="shared" si="54" ref="N217:N245">(VLOOKUP($F217,Factors,N$384))*$H217</f>
        <v>29641.813400000003</v>
      </c>
      <c r="O217" s="373"/>
      <c r="P217" s="235">
        <f aca="true" t="shared" si="55" ref="P217:P245">(VLOOKUP($F217,Factors,P$384))*$H217</f>
        <v>86569.7994</v>
      </c>
      <c r="Q217" s="373"/>
      <c r="R217" s="235">
        <f aca="true" t="shared" si="56" ref="R217:R245">(VLOOKUP($F217,Factors,R$384))*$H217</f>
        <v>23850.863100000002</v>
      </c>
      <c r="S217" s="373"/>
      <c r="T217" s="235">
        <f aca="true" t="shared" si="57" ref="T217:T245">(VLOOKUP($F217,Factors,T$384))*$H217</f>
        <v>58694.7166</v>
      </c>
      <c r="U217" s="373"/>
      <c r="V217" s="235">
        <f aca="true" t="shared" si="58" ref="V217:V245">(VLOOKUP($F217,Factors,V$384))*$H217</f>
        <v>72141.4995</v>
      </c>
      <c r="W217" s="236"/>
      <c r="X217" s="236"/>
      <c r="AA217" t="s">
        <v>228</v>
      </c>
      <c r="AC217" s="280">
        <f t="shared" si="43"/>
        <v>4</v>
      </c>
      <c r="AE217" s="161">
        <f t="shared" si="44"/>
        <v>981517</v>
      </c>
      <c r="AG217" s="148">
        <f aca="true" t="shared" si="59" ref="AG217:AG230">(VLOOKUP($AC217,func,AG$384))*$AE217</f>
        <v>339114.1235</v>
      </c>
      <c r="AH217" s="148"/>
      <c r="AI217" s="148">
        <f aca="true" t="shared" si="60" ref="AI217:AI230">(VLOOKUP($AC217,func,AI$384))*$AE217</f>
        <v>0</v>
      </c>
      <c r="AJ217" s="148"/>
      <c r="AK217" s="148">
        <f aca="true" t="shared" si="61" ref="AK217:AK230">(VLOOKUP($AC217,func,AK$384))*$AE217</f>
        <v>511566.6604</v>
      </c>
      <c r="AL217" s="148"/>
      <c r="AM217" s="148">
        <f aca="true" t="shared" si="62" ref="AM217:AM230">(VLOOKUP($AC217,func,AM$384))*$AE217</f>
        <v>0</v>
      </c>
      <c r="AN217" s="148"/>
      <c r="AO217" s="148">
        <f aca="true" t="shared" si="63" ref="AO217:AO230">(VLOOKUP($AC217,func,AO$384))*$AE217</f>
        <v>0</v>
      </c>
      <c r="AP217" s="148"/>
      <c r="AQ217" s="148">
        <f aca="true" t="shared" si="64" ref="AQ217:AS230">(VLOOKUP($AC217,func,AQ$384))*$AE217</f>
        <v>0</v>
      </c>
      <c r="AR217" s="148"/>
      <c r="AS217" s="148">
        <f t="shared" si="64"/>
        <v>0</v>
      </c>
      <c r="AT217" s="148"/>
      <c r="AU217" s="148">
        <f aca="true" t="shared" si="65" ref="AU217:AW230">(VLOOKUP($AC217,func,AU$384))*$AE217</f>
        <v>58694.7166</v>
      </c>
      <c r="AV217" s="148"/>
      <c r="AW217" s="148">
        <f t="shared" si="65"/>
        <v>72141.4995</v>
      </c>
      <c r="AY217" s="193"/>
    </row>
    <row r="218" spans="1:51" ht="12.75">
      <c r="A218" s="464"/>
      <c r="B218" s="464"/>
      <c r="C218" s="236"/>
      <c r="D218" s="241" t="s">
        <v>229</v>
      </c>
      <c r="E218" s="310"/>
      <c r="F218" s="311">
        <v>3</v>
      </c>
      <c r="G218" s="141"/>
      <c r="H218" s="376">
        <v>2604593</v>
      </c>
      <c r="I218" s="219"/>
      <c r="J218" s="235">
        <f t="shared" si="52"/>
        <v>1190299.001</v>
      </c>
      <c r="K218" s="373"/>
      <c r="L218" s="235">
        <f t="shared" si="53"/>
        <v>728504.6621</v>
      </c>
      <c r="M218" s="373"/>
      <c r="N218" s="235">
        <f t="shared" si="54"/>
        <v>90900.2957</v>
      </c>
      <c r="O218" s="373"/>
      <c r="P218" s="235">
        <f t="shared" si="55"/>
        <v>277910.0731</v>
      </c>
      <c r="Q218" s="373"/>
      <c r="R218" s="235">
        <f t="shared" si="56"/>
        <v>82044.6795</v>
      </c>
      <c r="S218" s="373"/>
      <c r="T218" s="235">
        <f t="shared" si="57"/>
        <v>105486.0165</v>
      </c>
      <c r="U218" s="373"/>
      <c r="V218" s="235">
        <f t="shared" si="58"/>
        <v>129448.2721</v>
      </c>
      <c r="W218" s="236"/>
      <c r="X218" s="236"/>
      <c r="AA218" s="241" t="s">
        <v>229</v>
      </c>
      <c r="AC218" s="280">
        <f t="shared" si="43"/>
        <v>3</v>
      </c>
      <c r="AE218" s="161">
        <f t="shared" si="44"/>
        <v>2604593</v>
      </c>
      <c r="AG218" s="148">
        <f t="shared" si="59"/>
        <v>1441121.3069</v>
      </c>
      <c r="AH218" s="148"/>
      <c r="AI218" s="148">
        <f t="shared" si="60"/>
        <v>936611.6427999999</v>
      </c>
      <c r="AJ218" s="148"/>
      <c r="AK218" s="148">
        <f t="shared" si="61"/>
        <v>0</v>
      </c>
      <c r="AL218" s="148"/>
      <c r="AM218" s="148">
        <f t="shared" si="62"/>
        <v>0</v>
      </c>
      <c r="AN218" s="148"/>
      <c r="AO218" s="148">
        <f t="shared" si="63"/>
        <v>0</v>
      </c>
      <c r="AP218" s="148"/>
      <c r="AQ218" s="148">
        <f t="shared" si="64"/>
        <v>0</v>
      </c>
      <c r="AR218" s="148"/>
      <c r="AS218" s="148">
        <f t="shared" si="64"/>
        <v>0</v>
      </c>
      <c r="AT218" s="148"/>
      <c r="AU218" s="148">
        <f t="shared" si="65"/>
        <v>101839.58630000001</v>
      </c>
      <c r="AV218" s="148"/>
      <c r="AW218" s="148">
        <f t="shared" si="65"/>
        <v>125020.464</v>
      </c>
      <c r="AY218" s="193"/>
    </row>
    <row r="219" spans="1:51" ht="12.75">
      <c r="A219" s="464"/>
      <c r="B219" s="464"/>
      <c r="C219" s="236"/>
      <c r="D219" s="241" t="s">
        <v>230</v>
      </c>
      <c r="E219" s="310"/>
      <c r="F219" s="311">
        <v>10</v>
      </c>
      <c r="G219" s="141"/>
      <c r="H219" s="376">
        <v>564524</v>
      </c>
      <c r="I219" s="219"/>
      <c r="J219" s="235">
        <f t="shared" si="52"/>
        <v>472393.68319999997</v>
      </c>
      <c r="K219" s="373"/>
      <c r="L219" s="235">
        <f t="shared" si="53"/>
        <v>59783.0916</v>
      </c>
      <c r="M219" s="373"/>
      <c r="N219" s="235">
        <f t="shared" si="54"/>
        <v>508.0716</v>
      </c>
      <c r="O219" s="373"/>
      <c r="P219" s="235">
        <f t="shared" si="55"/>
        <v>6661.3832</v>
      </c>
      <c r="Q219" s="373"/>
      <c r="R219" s="235">
        <f t="shared" si="56"/>
        <v>282.262</v>
      </c>
      <c r="S219" s="373"/>
      <c r="T219" s="235">
        <f t="shared" si="57"/>
        <v>24895.5084</v>
      </c>
      <c r="U219" s="373"/>
      <c r="V219" s="235">
        <f t="shared" si="58"/>
        <v>0</v>
      </c>
      <c r="W219" s="236"/>
      <c r="X219" s="236"/>
      <c r="AA219" s="241" t="s">
        <v>230</v>
      </c>
      <c r="AC219" s="280">
        <f t="shared" si="43"/>
        <v>10</v>
      </c>
      <c r="AE219" s="161">
        <f t="shared" si="44"/>
        <v>564524</v>
      </c>
      <c r="AG219" s="148">
        <f t="shared" si="59"/>
        <v>0</v>
      </c>
      <c r="AH219" s="148"/>
      <c r="AI219" s="148">
        <f t="shared" si="60"/>
        <v>0</v>
      </c>
      <c r="AJ219" s="148"/>
      <c r="AK219" s="148">
        <f t="shared" si="61"/>
        <v>0</v>
      </c>
      <c r="AL219" s="148"/>
      <c r="AM219" s="148">
        <f t="shared" si="62"/>
        <v>0</v>
      </c>
      <c r="AN219" s="148"/>
      <c r="AO219" s="148">
        <f t="shared" si="63"/>
        <v>539628.4916</v>
      </c>
      <c r="AP219" s="148"/>
      <c r="AQ219" s="148">
        <f t="shared" si="64"/>
        <v>0</v>
      </c>
      <c r="AR219" s="148"/>
      <c r="AS219" s="148">
        <f t="shared" si="64"/>
        <v>0</v>
      </c>
      <c r="AT219" s="148"/>
      <c r="AU219" s="148">
        <f t="shared" si="65"/>
        <v>24895.5084</v>
      </c>
      <c r="AV219" s="148"/>
      <c r="AW219" s="148">
        <f t="shared" si="65"/>
        <v>0</v>
      </c>
      <c r="AY219" s="193"/>
    </row>
    <row r="220" spans="1:51" ht="12.75">
      <c r="A220" s="464"/>
      <c r="B220" s="464"/>
      <c r="C220" s="236"/>
      <c r="D220" s="241" t="s">
        <v>231</v>
      </c>
      <c r="E220" s="310"/>
      <c r="F220" s="311">
        <v>9</v>
      </c>
      <c r="G220" s="141"/>
      <c r="H220" s="376">
        <v>472941</v>
      </c>
      <c r="I220" s="219"/>
      <c r="J220" s="235">
        <f t="shared" si="52"/>
        <v>369745.2738</v>
      </c>
      <c r="K220" s="373"/>
      <c r="L220" s="235">
        <f t="shared" si="53"/>
        <v>79501.3821</v>
      </c>
      <c r="M220" s="373"/>
      <c r="N220" s="235">
        <f t="shared" si="54"/>
        <v>2175.5286</v>
      </c>
      <c r="O220" s="373"/>
      <c r="P220" s="235">
        <f t="shared" si="55"/>
        <v>15181.406099999998</v>
      </c>
      <c r="Q220" s="373"/>
      <c r="R220" s="235">
        <f t="shared" si="56"/>
        <v>1513.4112</v>
      </c>
      <c r="S220" s="373"/>
      <c r="T220" s="235">
        <f t="shared" si="57"/>
        <v>4823.9982</v>
      </c>
      <c r="U220" s="373"/>
      <c r="V220" s="235">
        <f t="shared" si="58"/>
        <v>0</v>
      </c>
      <c r="W220" s="236"/>
      <c r="X220" s="236"/>
      <c r="AA220" s="241" t="s">
        <v>231</v>
      </c>
      <c r="AC220" s="280">
        <f t="shared" si="43"/>
        <v>9</v>
      </c>
      <c r="AE220" s="161">
        <f t="shared" si="44"/>
        <v>472941</v>
      </c>
      <c r="AG220" s="148">
        <f t="shared" si="59"/>
        <v>0</v>
      </c>
      <c r="AH220" s="148"/>
      <c r="AI220" s="148">
        <f t="shared" si="60"/>
        <v>0</v>
      </c>
      <c r="AJ220" s="148"/>
      <c r="AK220" s="148">
        <f t="shared" si="61"/>
        <v>0</v>
      </c>
      <c r="AL220" s="148"/>
      <c r="AM220" s="148">
        <f t="shared" si="62"/>
        <v>468117.0018</v>
      </c>
      <c r="AN220" s="148"/>
      <c r="AO220" s="148">
        <f t="shared" si="63"/>
        <v>0</v>
      </c>
      <c r="AP220" s="148"/>
      <c r="AQ220" s="148">
        <f t="shared" si="64"/>
        <v>0</v>
      </c>
      <c r="AR220" s="148"/>
      <c r="AS220" s="148">
        <f t="shared" si="64"/>
        <v>0</v>
      </c>
      <c r="AT220" s="148"/>
      <c r="AU220" s="148">
        <f t="shared" si="65"/>
        <v>4823.9982</v>
      </c>
      <c r="AV220" s="148"/>
      <c r="AW220" s="148">
        <f t="shared" si="65"/>
        <v>0</v>
      </c>
      <c r="AY220" s="193"/>
    </row>
    <row r="221" spans="1:51" ht="12.75">
      <c r="A221" s="464"/>
      <c r="B221" s="464"/>
      <c r="C221" s="236"/>
      <c r="D221" s="241" t="s">
        <v>232</v>
      </c>
      <c r="E221" s="310"/>
      <c r="F221" s="311">
        <v>9</v>
      </c>
      <c r="G221" s="141"/>
      <c r="H221" s="376">
        <v>463733</v>
      </c>
      <c r="I221" s="219"/>
      <c r="J221" s="235">
        <f t="shared" si="52"/>
        <v>362546.45940000005</v>
      </c>
      <c r="K221" s="373"/>
      <c r="L221" s="235">
        <f t="shared" si="53"/>
        <v>77953.5173</v>
      </c>
      <c r="M221" s="373"/>
      <c r="N221" s="235">
        <f t="shared" si="54"/>
        <v>2133.1718</v>
      </c>
      <c r="O221" s="373"/>
      <c r="P221" s="235">
        <f t="shared" si="55"/>
        <v>14885.829299999998</v>
      </c>
      <c r="Q221" s="373"/>
      <c r="R221" s="235">
        <f t="shared" si="56"/>
        <v>1483.9456</v>
      </c>
      <c r="S221" s="373"/>
      <c r="T221" s="235">
        <f t="shared" si="57"/>
        <v>4730.0766</v>
      </c>
      <c r="U221" s="373"/>
      <c r="V221" s="235">
        <f t="shared" si="58"/>
        <v>0</v>
      </c>
      <c r="W221" s="236"/>
      <c r="X221" s="236"/>
      <c r="AA221" s="241" t="s">
        <v>232</v>
      </c>
      <c r="AC221" s="280">
        <f t="shared" si="43"/>
        <v>9</v>
      </c>
      <c r="AE221" s="161">
        <f t="shared" si="44"/>
        <v>463733</v>
      </c>
      <c r="AG221" s="148">
        <f t="shared" si="59"/>
        <v>0</v>
      </c>
      <c r="AH221" s="148"/>
      <c r="AI221" s="148">
        <f t="shared" si="60"/>
        <v>0</v>
      </c>
      <c r="AJ221" s="148"/>
      <c r="AK221" s="148">
        <f t="shared" si="61"/>
        <v>0</v>
      </c>
      <c r="AL221" s="148"/>
      <c r="AM221" s="148">
        <f t="shared" si="62"/>
        <v>459002.9234</v>
      </c>
      <c r="AN221" s="148"/>
      <c r="AO221" s="148">
        <f t="shared" si="63"/>
        <v>0</v>
      </c>
      <c r="AP221" s="148"/>
      <c r="AQ221" s="148">
        <f t="shared" si="64"/>
        <v>0</v>
      </c>
      <c r="AR221" s="148"/>
      <c r="AS221" s="148">
        <f t="shared" si="64"/>
        <v>0</v>
      </c>
      <c r="AT221" s="148"/>
      <c r="AU221" s="148">
        <f t="shared" si="65"/>
        <v>4730.0766</v>
      </c>
      <c r="AV221" s="148"/>
      <c r="AW221" s="148">
        <f t="shared" si="65"/>
        <v>0</v>
      </c>
      <c r="AY221" s="193"/>
    </row>
    <row r="222" spans="1:51" ht="12.75">
      <c r="A222" s="464"/>
      <c r="B222" s="464"/>
      <c r="C222" s="236"/>
      <c r="D222" s="241" t="s">
        <v>645</v>
      </c>
      <c r="E222" s="310"/>
      <c r="F222" s="311">
        <v>8</v>
      </c>
      <c r="G222" s="141"/>
      <c r="H222" s="376">
        <v>160681</v>
      </c>
      <c r="I222" s="219"/>
      <c r="J222" s="235">
        <f t="shared" si="52"/>
        <v>0</v>
      </c>
      <c r="K222" s="373"/>
      <c r="L222" s="235">
        <f t="shared" si="53"/>
        <v>0</v>
      </c>
      <c r="M222" s="373"/>
      <c r="N222" s="235">
        <f t="shared" si="54"/>
        <v>0</v>
      </c>
      <c r="O222" s="373"/>
      <c r="P222" s="235">
        <f t="shared" si="55"/>
        <v>0</v>
      </c>
      <c r="Q222" s="373"/>
      <c r="R222" s="235">
        <f t="shared" si="56"/>
        <v>0</v>
      </c>
      <c r="S222" s="373"/>
      <c r="T222" s="235">
        <f t="shared" si="57"/>
        <v>0</v>
      </c>
      <c r="U222" s="373"/>
      <c r="V222" s="235">
        <f t="shared" si="58"/>
        <v>160681</v>
      </c>
      <c r="W222" s="236"/>
      <c r="X222" s="236"/>
      <c r="AA222" s="241" t="s">
        <v>645</v>
      </c>
      <c r="AC222" s="280">
        <f t="shared" si="43"/>
        <v>8</v>
      </c>
      <c r="AE222" s="161">
        <f>+H222</f>
        <v>160681</v>
      </c>
      <c r="AG222" s="148">
        <f t="shared" si="59"/>
        <v>0</v>
      </c>
      <c r="AH222" s="148"/>
      <c r="AI222" s="148">
        <f t="shared" si="60"/>
        <v>0</v>
      </c>
      <c r="AJ222" s="148"/>
      <c r="AK222" s="148">
        <f t="shared" si="61"/>
        <v>0</v>
      </c>
      <c r="AL222" s="148"/>
      <c r="AM222" s="148">
        <f t="shared" si="62"/>
        <v>0</v>
      </c>
      <c r="AN222" s="148"/>
      <c r="AO222" s="148">
        <f t="shared" si="63"/>
        <v>0</v>
      </c>
      <c r="AP222" s="148"/>
      <c r="AQ222" s="148">
        <f t="shared" si="64"/>
        <v>0</v>
      </c>
      <c r="AR222" s="148"/>
      <c r="AS222" s="148">
        <f t="shared" si="64"/>
        <v>0</v>
      </c>
      <c r="AT222" s="148"/>
      <c r="AU222" s="148">
        <f t="shared" si="65"/>
        <v>0</v>
      </c>
      <c r="AV222" s="148"/>
      <c r="AW222" s="148">
        <f t="shared" si="65"/>
        <v>160681</v>
      </c>
      <c r="AY222" s="193"/>
    </row>
    <row r="223" spans="1:51" ht="12.75">
      <c r="A223" s="464"/>
      <c r="B223" s="464"/>
      <c r="C223" s="236"/>
      <c r="D223" s="241" t="s">
        <v>234</v>
      </c>
      <c r="E223" s="310"/>
      <c r="F223" s="311">
        <v>15</v>
      </c>
      <c r="G223" s="141"/>
      <c r="H223" s="376">
        <v>88888</v>
      </c>
      <c r="I223" s="219"/>
      <c r="J223" s="235">
        <f t="shared" si="52"/>
        <v>53430.576799999995</v>
      </c>
      <c r="K223" s="373"/>
      <c r="L223" s="235">
        <f t="shared" si="53"/>
        <v>20026.4664</v>
      </c>
      <c r="M223" s="373"/>
      <c r="N223" s="235">
        <f t="shared" si="54"/>
        <v>2115.5344</v>
      </c>
      <c r="O223" s="373"/>
      <c r="P223" s="235">
        <f t="shared" si="55"/>
        <v>6479.935200000001</v>
      </c>
      <c r="Q223" s="373"/>
      <c r="R223" s="235">
        <f t="shared" si="56"/>
        <v>1831.0928000000001</v>
      </c>
      <c r="S223" s="373"/>
      <c r="T223" s="235">
        <f t="shared" si="57"/>
        <v>2622.196</v>
      </c>
      <c r="U223" s="373"/>
      <c r="V223" s="235">
        <f t="shared" si="58"/>
        <v>2382.1984</v>
      </c>
      <c r="W223" s="236"/>
      <c r="X223" s="236"/>
      <c r="AA223" s="241" t="s">
        <v>234</v>
      </c>
      <c r="AC223" s="280">
        <f t="shared" si="43"/>
        <v>15</v>
      </c>
      <c r="AE223" s="161">
        <f t="shared" si="44"/>
        <v>88888</v>
      </c>
      <c r="AG223" s="148">
        <f t="shared" si="59"/>
        <v>29768.5912</v>
      </c>
      <c r="AH223" s="148"/>
      <c r="AI223" s="148">
        <f t="shared" si="60"/>
        <v>13830.9728</v>
      </c>
      <c r="AJ223" s="148"/>
      <c r="AK223" s="148">
        <f t="shared" si="61"/>
        <v>12986.5368</v>
      </c>
      <c r="AL223" s="148"/>
      <c r="AM223" s="148">
        <f t="shared" si="62"/>
        <v>1128.8776</v>
      </c>
      <c r="AN223" s="148"/>
      <c r="AO223" s="148">
        <f t="shared" si="63"/>
        <v>3262.1896</v>
      </c>
      <c r="AP223" s="148"/>
      <c r="AQ223" s="148">
        <f t="shared" si="64"/>
        <v>16959.8304</v>
      </c>
      <c r="AR223" s="148"/>
      <c r="AS223" s="148">
        <f t="shared" si="64"/>
        <v>6222.160000000001</v>
      </c>
      <c r="AT223" s="148"/>
      <c r="AU223" s="148">
        <f t="shared" si="65"/>
        <v>2346.6432</v>
      </c>
      <c r="AV223" s="148"/>
      <c r="AW223" s="148">
        <f t="shared" si="65"/>
        <v>2382.1984</v>
      </c>
      <c r="AY223" s="193"/>
    </row>
    <row r="224" spans="1:51" ht="12" customHeight="1">
      <c r="A224" s="464"/>
      <c r="B224" s="464"/>
      <c r="C224" s="236"/>
      <c r="D224" s="241" t="s">
        <v>235</v>
      </c>
      <c r="E224" s="310"/>
      <c r="F224" s="311">
        <v>15</v>
      </c>
      <c r="G224" s="141"/>
      <c r="H224" s="376">
        <v>63462</v>
      </c>
      <c r="I224" s="219"/>
      <c r="J224" s="235">
        <f t="shared" si="52"/>
        <v>38147.0082</v>
      </c>
      <c r="K224" s="373"/>
      <c r="L224" s="235">
        <f t="shared" si="53"/>
        <v>14297.9886</v>
      </c>
      <c r="M224" s="373"/>
      <c r="N224" s="235">
        <f t="shared" si="54"/>
        <v>1510.3956</v>
      </c>
      <c r="O224" s="373"/>
      <c r="P224" s="235">
        <f t="shared" si="55"/>
        <v>4626.379800000001</v>
      </c>
      <c r="Q224" s="373"/>
      <c r="R224" s="235">
        <f t="shared" si="56"/>
        <v>1307.3172</v>
      </c>
      <c r="S224" s="373"/>
      <c r="T224" s="235">
        <f t="shared" si="57"/>
        <v>1872.129</v>
      </c>
      <c r="U224" s="373"/>
      <c r="V224" s="235">
        <f t="shared" si="58"/>
        <v>1700.7816</v>
      </c>
      <c r="W224" s="236"/>
      <c r="X224" s="236"/>
      <c r="AA224" s="241" t="s">
        <v>235</v>
      </c>
      <c r="AC224" s="280">
        <f t="shared" si="43"/>
        <v>15</v>
      </c>
      <c r="AE224" s="161">
        <f t="shared" si="44"/>
        <v>63462</v>
      </c>
      <c r="AG224" s="148">
        <f t="shared" si="59"/>
        <v>21253.423799999997</v>
      </c>
      <c r="AH224" s="148"/>
      <c r="AI224" s="148">
        <f t="shared" si="60"/>
        <v>9874.687199999998</v>
      </c>
      <c r="AJ224" s="148"/>
      <c r="AK224" s="148">
        <f t="shared" si="61"/>
        <v>9271.798200000001</v>
      </c>
      <c r="AL224" s="148"/>
      <c r="AM224" s="148">
        <f t="shared" si="62"/>
        <v>805.9674</v>
      </c>
      <c r="AN224" s="148"/>
      <c r="AO224" s="148">
        <f t="shared" si="63"/>
        <v>2329.0554</v>
      </c>
      <c r="AP224" s="148"/>
      <c r="AQ224" s="148">
        <f t="shared" si="64"/>
        <v>12108.5496</v>
      </c>
      <c r="AR224" s="148"/>
      <c r="AS224" s="148">
        <f t="shared" si="64"/>
        <v>4442.34</v>
      </c>
      <c r="AT224" s="148"/>
      <c r="AU224" s="148">
        <f t="shared" si="65"/>
        <v>1675.3968</v>
      </c>
      <c r="AV224" s="148"/>
      <c r="AW224" s="148">
        <f t="shared" si="65"/>
        <v>1700.7816</v>
      </c>
      <c r="AY224" s="193"/>
    </row>
    <row r="225" spans="1:51" ht="12.75">
      <c r="A225" s="464"/>
      <c r="B225" s="464"/>
      <c r="C225" s="236"/>
      <c r="D225" s="241" t="s">
        <v>236</v>
      </c>
      <c r="E225" s="310"/>
      <c r="F225" s="311">
        <v>15</v>
      </c>
      <c r="G225" s="141"/>
      <c r="H225" s="376">
        <v>66333</v>
      </c>
      <c r="I225" s="219"/>
      <c r="J225" s="235">
        <f t="shared" si="52"/>
        <v>39872.766299999996</v>
      </c>
      <c r="K225" s="373"/>
      <c r="L225" s="235">
        <f t="shared" si="53"/>
        <v>14944.8249</v>
      </c>
      <c r="M225" s="373"/>
      <c r="N225" s="235">
        <f t="shared" si="54"/>
        <v>1578.7254</v>
      </c>
      <c r="O225" s="373"/>
      <c r="P225" s="235">
        <f t="shared" si="55"/>
        <v>4835.675700000001</v>
      </c>
      <c r="Q225" s="373"/>
      <c r="R225" s="235">
        <f t="shared" si="56"/>
        <v>1366.4598</v>
      </c>
      <c r="S225" s="373"/>
      <c r="T225" s="235">
        <f t="shared" si="57"/>
        <v>1956.8235</v>
      </c>
      <c r="U225" s="373"/>
      <c r="V225" s="235">
        <f t="shared" si="58"/>
        <v>1777.7244</v>
      </c>
      <c r="W225" s="236"/>
      <c r="X225" s="236"/>
      <c r="AA225" s="241" t="s">
        <v>236</v>
      </c>
      <c r="AC225" s="280">
        <f t="shared" si="43"/>
        <v>15</v>
      </c>
      <c r="AE225" s="161">
        <f t="shared" si="44"/>
        <v>66333</v>
      </c>
      <c r="AG225" s="148">
        <f t="shared" si="59"/>
        <v>22214.9217</v>
      </c>
      <c r="AH225" s="148"/>
      <c r="AI225" s="148">
        <f t="shared" si="60"/>
        <v>10321.414799999999</v>
      </c>
      <c r="AJ225" s="148"/>
      <c r="AK225" s="148">
        <f t="shared" si="61"/>
        <v>9691.2513</v>
      </c>
      <c r="AL225" s="148"/>
      <c r="AM225" s="148">
        <f t="shared" si="62"/>
        <v>842.4291</v>
      </c>
      <c r="AN225" s="148"/>
      <c r="AO225" s="148">
        <f t="shared" si="63"/>
        <v>2434.4211</v>
      </c>
      <c r="AP225" s="148"/>
      <c r="AQ225" s="148">
        <f t="shared" si="64"/>
        <v>12656.3364</v>
      </c>
      <c r="AR225" s="148"/>
      <c r="AS225" s="148">
        <f t="shared" si="64"/>
        <v>4643.31</v>
      </c>
      <c r="AT225" s="148"/>
      <c r="AU225" s="148">
        <f t="shared" si="65"/>
        <v>1751.1912</v>
      </c>
      <c r="AV225" s="148"/>
      <c r="AW225" s="148">
        <f t="shared" si="65"/>
        <v>1777.7244</v>
      </c>
      <c r="AY225" s="193"/>
    </row>
    <row r="226" spans="1:51" ht="12.75">
      <c r="A226" s="464"/>
      <c r="B226" s="464"/>
      <c r="C226" s="236"/>
      <c r="D226" s="241" t="s">
        <v>237</v>
      </c>
      <c r="E226" s="310"/>
      <c r="F226" s="311">
        <v>15</v>
      </c>
      <c r="G226" s="141"/>
      <c r="H226" s="376">
        <v>95784</v>
      </c>
      <c r="I226" s="219"/>
      <c r="J226" s="235">
        <f t="shared" si="52"/>
        <v>57575.7624</v>
      </c>
      <c r="K226" s="373"/>
      <c r="L226" s="235">
        <f t="shared" si="53"/>
        <v>21580.1352</v>
      </c>
      <c r="M226" s="373"/>
      <c r="N226" s="235">
        <f t="shared" si="54"/>
        <v>2279.6592</v>
      </c>
      <c r="O226" s="373"/>
      <c r="P226" s="235">
        <f t="shared" si="55"/>
        <v>6982.653600000001</v>
      </c>
      <c r="Q226" s="373"/>
      <c r="R226" s="235">
        <f t="shared" si="56"/>
        <v>1973.1504</v>
      </c>
      <c r="S226" s="373"/>
      <c r="T226" s="235">
        <f t="shared" si="57"/>
        <v>2825.6279999999997</v>
      </c>
      <c r="U226" s="373"/>
      <c r="V226" s="235">
        <f t="shared" si="58"/>
        <v>2567.0112</v>
      </c>
      <c r="W226" s="236"/>
      <c r="X226" s="236"/>
      <c r="AA226" s="241" t="s">
        <v>237</v>
      </c>
      <c r="AC226" s="280">
        <f t="shared" si="43"/>
        <v>15</v>
      </c>
      <c r="AE226" s="161">
        <f t="shared" si="44"/>
        <v>95784</v>
      </c>
      <c r="AG226" s="148">
        <f t="shared" si="59"/>
        <v>32078.061599999997</v>
      </c>
      <c r="AH226" s="148"/>
      <c r="AI226" s="148">
        <f t="shared" si="60"/>
        <v>14903.990399999999</v>
      </c>
      <c r="AJ226" s="148"/>
      <c r="AK226" s="148">
        <f t="shared" si="61"/>
        <v>13994.0424</v>
      </c>
      <c r="AL226" s="148"/>
      <c r="AM226" s="148">
        <f t="shared" si="62"/>
        <v>1216.4568</v>
      </c>
      <c r="AN226" s="148"/>
      <c r="AO226" s="148">
        <f t="shared" si="63"/>
        <v>3515.2728</v>
      </c>
      <c r="AP226" s="148"/>
      <c r="AQ226" s="148">
        <f t="shared" si="64"/>
        <v>18275.587199999998</v>
      </c>
      <c r="AR226" s="148"/>
      <c r="AS226" s="148">
        <f t="shared" si="64"/>
        <v>6704.880000000001</v>
      </c>
      <c r="AT226" s="148"/>
      <c r="AU226" s="148">
        <f t="shared" si="65"/>
        <v>2528.6976</v>
      </c>
      <c r="AV226" s="148"/>
      <c r="AW226" s="148">
        <f t="shared" si="65"/>
        <v>2567.0112</v>
      </c>
      <c r="AY226" s="193"/>
    </row>
    <row r="227" spans="1:51" ht="12.75">
      <c r="A227" s="464"/>
      <c r="B227" s="464"/>
      <c r="C227" s="236"/>
      <c r="D227" s="241" t="s">
        <v>238</v>
      </c>
      <c r="E227" s="310"/>
      <c r="F227" s="311">
        <v>15</v>
      </c>
      <c r="G227" s="141"/>
      <c r="H227" s="376">
        <v>15596</v>
      </c>
      <c r="I227" s="219"/>
      <c r="J227" s="235">
        <f t="shared" si="52"/>
        <v>9374.755599999999</v>
      </c>
      <c r="K227" s="373"/>
      <c r="L227" s="235">
        <f t="shared" si="53"/>
        <v>3513.7788</v>
      </c>
      <c r="M227" s="373"/>
      <c r="N227" s="235">
        <f t="shared" si="54"/>
        <v>371.18480000000005</v>
      </c>
      <c r="O227" s="373"/>
      <c r="P227" s="235">
        <f t="shared" si="55"/>
        <v>1136.9484</v>
      </c>
      <c r="Q227" s="373"/>
      <c r="R227" s="235">
        <f t="shared" si="56"/>
        <v>321.2776</v>
      </c>
      <c r="S227" s="373"/>
      <c r="T227" s="235">
        <f t="shared" si="57"/>
        <v>460.082</v>
      </c>
      <c r="U227" s="373"/>
      <c r="V227" s="235">
        <f t="shared" si="58"/>
        <v>417.9728</v>
      </c>
      <c r="W227" s="236"/>
      <c r="X227" s="236"/>
      <c r="AA227" s="241" t="s">
        <v>238</v>
      </c>
      <c r="AC227" s="280">
        <f t="shared" si="43"/>
        <v>15</v>
      </c>
      <c r="AE227" s="161">
        <f t="shared" si="44"/>
        <v>15596</v>
      </c>
      <c r="AG227" s="148">
        <f t="shared" si="59"/>
        <v>5223.100399999999</v>
      </c>
      <c r="AH227" s="148"/>
      <c r="AI227" s="148">
        <f t="shared" si="60"/>
        <v>2426.7376</v>
      </c>
      <c r="AJ227" s="148"/>
      <c r="AK227" s="148">
        <f t="shared" si="61"/>
        <v>2278.5756</v>
      </c>
      <c r="AL227" s="148"/>
      <c r="AM227" s="148">
        <f t="shared" si="62"/>
        <v>198.0692</v>
      </c>
      <c r="AN227" s="148"/>
      <c r="AO227" s="148">
        <f t="shared" si="63"/>
        <v>572.3732</v>
      </c>
      <c r="AP227" s="148"/>
      <c r="AQ227" s="148">
        <f t="shared" si="64"/>
        <v>2975.7168</v>
      </c>
      <c r="AR227" s="148"/>
      <c r="AS227" s="148">
        <f t="shared" si="64"/>
        <v>1091.72</v>
      </c>
      <c r="AT227" s="148"/>
      <c r="AU227" s="148">
        <f t="shared" si="65"/>
        <v>411.7344</v>
      </c>
      <c r="AV227" s="148"/>
      <c r="AW227" s="148">
        <f t="shared" si="65"/>
        <v>417.9728</v>
      </c>
      <c r="AY227" s="193"/>
    </row>
    <row r="228" spans="1:51" s="163" customFormat="1" ht="12.75">
      <c r="A228" s="464"/>
      <c r="B228" s="464"/>
      <c r="C228" s="236"/>
      <c r="D228" s="241" t="s">
        <v>239</v>
      </c>
      <c r="E228" s="310"/>
      <c r="F228" s="311">
        <v>15</v>
      </c>
      <c r="G228" s="141"/>
      <c r="H228" s="376">
        <v>51072</v>
      </c>
      <c r="I228" s="219"/>
      <c r="J228" s="235">
        <f t="shared" si="52"/>
        <v>30699.3792</v>
      </c>
      <c r="K228" s="373"/>
      <c r="L228" s="235">
        <f t="shared" si="53"/>
        <v>11506.5216</v>
      </c>
      <c r="M228" s="373"/>
      <c r="N228" s="235">
        <f t="shared" si="54"/>
        <v>1215.5136</v>
      </c>
      <c r="O228" s="373"/>
      <c r="P228" s="235">
        <f t="shared" si="55"/>
        <v>3723.1488000000004</v>
      </c>
      <c r="Q228" s="373"/>
      <c r="R228" s="235">
        <f t="shared" si="56"/>
        <v>1052.0832</v>
      </c>
      <c r="S228" s="373"/>
      <c r="T228" s="235">
        <f t="shared" si="57"/>
        <v>1506.624</v>
      </c>
      <c r="U228" s="373"/>
      <c r="V228" s="235">
        <f t="shared" si="58"/>
        <v>1368.7296000000001</v>
      </c>
      <c r="W228" s="236"/>
      <c r="X228" s="236"/>
      <c r="AA228" s="241" t="s">
        <v>239</v>
      </c>
      <c r="AC228" s="280">
        <f t="shared" si="43"/>
        <v>15</v>
      </c>
      <c r="AD228"/>
      <c r="AE228" s="161">
        <f t="shared" si="44"/>
        <v>51072</v>
      </c>
      <c r="AF228"/>
      <c r="AG228" s="148">
        <f t="shared" si="59"/>
        <v>17104.0128</v>
      </c>
      <c r="AH228" s="148"/>
      <c r="AI228" s="148">
        <f t="shared" si="60"/>
        <v>7946.803199999999</v>
      </c>
      <c r="AJ228" s="148"/>
      <c r="AK228" s="148">
        <f t="shared" si="61"/>
        <v>7461.6192</v>
      </c>
      <c r="AL228" s="148"/>
      <c r="AM228" s="148">
        <f t="shared" si="62"/>
        <v>648.6143999999999</v>
      </c>
      <c r="AN228" s="148"/>
      <c r="AO228" s="148">
        <f t="shared" si="63"/>
        <v>1874.3424000000002</v>
      </c>
      <c r="AP228" s="148"/>
      <c r="AQ228" s="148">
        <f t="shared" si="64"/>
        <v>9744.5376</v>
      </c>
      <c r="AR228" s="148"/>
      <c r="AS228" s="148">
        <f t="shared" si="64"/>
        <v>3575.0400000000004</v>
      </c>
      <c r="AT228" s="148"/>
      <c r="AU228" s="148">
        <f t="shared" si="65"/>
        <v>1348.3008</v>
      </c>
      <c r="AV228" s="148"/>
      <c r="AW228" s="148">
        <f t="shared" si="65"/>
        <v>1368.7296000000001</v>
      </c>
      <c r="AX228"/>
      <c r="AY228" s="193"/>
    </row>
    <row r="229" spans="1:51" s="163" customFormat="1" ht="12.75">
      <c r="A229" s="464"/>
      <c r="B229" s="464"/>
      <c r="C229" s="236"/>
      <c r="D229" s="241" t="s">
        <v>631</v>
      </c>
      <c r="E229" s="310"/>
      <c r="F229" s="311">
        <v>15</v>
      </c>
      <c r="G229" s="141"/>
      <c r="H229" s="376">
        <v>-98823</v>
      </c>
      <c r="I229" s="219"/>
      <c r="J229" s="235">
        <f t="shared" si="52"/>
        <v>-59402.5053</v>
      </c>
      <c r="K229" s="373"/>
      <c r="L229" s="235">
        <f t="shared" si="53"/>
        <v>-22264.8219</v>
      </c>
      <c r="M229" s="373"/>
      <c r="N229" s="235">
        <f t="shared" si="54"/>
        <v>-2351.9874</v>
      </c>
      <c r="O229" s="373"/>
      <c r="P229" s="235">
        <f t="shared" si="55"/>
        <v>-7204.1967</v>
      </c>
      <c r="Q229" s="373"/>
      <c r="R229" s="235">
        <f t="shared" si="56"/>
        <v>-2035.7538</v>
      </c>
      <c r="S229" s="373"/>
      <c r="T229" s="235">
        <f t="shared" si="57"/>
        <v>-2915.2785</v>
      </c>
      <c r="U229" s="373"/>
      <c r="V229" s="235">
        <f t="shared" si="58"/>
        <v>-2648.4564</v>
      </c>
      <c r="W229" s="236"/>
      <c r="X229" s="236"/>
      <c r="AA229" s="241" t="s">
        <v>631</v>
      </c>
      <c r="AC229" s="280">
        <f t="shared" si="43"/>
        <v>15</v>
      </c>
      <c r="AD229"/>
      <c r="AE229" s="161">
        <f>+H229</f>
        <v>-98823</v>
      </c>
      <c r="AF229"/>
      <c r="AG229" s="148">
        <f t="shared" si="59"/>
        <v>-33095.8227</v>
      </c>
      <c r="AH229" s="148"/>
      <c r="AI229" s="148">
        <f t="shared" si="60"/>
        <v>-15376.858799999998</v>
      </c>
      <c r="AJ229" s="148"/>
      <c r="AK229" s="148">
        <f t="shared" si="61"/>
        <v>-14438.0403</v>
      </c>
      <c r="AL229" s="148"/>
      <c r="AM229" s="148">
        <f t="shared" si="62"/>
        <v>-1255.0520999999999</v>
      </c>
      <c r="AN229" s="148"/>
      <c r="AO229" s="148">
        <f t="shared" si="63"/>
        <v>-3626.8041000000003</v>
      </c>
      <c r="AP229" s="148"/>
      <c r="AQ229" s="148">
        <f t="shared" si="64"/>
        <v>-18855.4284</v>
      </c>
      <c r="AR229" s="148"/>
      <c r="AS229" s="148">
        <f t="shared" si="64"/>
        <v>-6917.610000000001</v>
      </c>
      <c r="AT229" s="148"/>
      <c r="AU229" s="148">
        <f t="shared" si="65"/>
        <v>-2608.9272</v>
      </c>
      <c r="AV229" s="148"/>
      <c r="AW229" s="148">
        <f t="shared" si="65"/>
        <v>-2648.4564</v>
      </c>
      <c r="AX229"/>
      <c r="AY229" s="193"/>
    </row>
    <row r="230" spans="1:51" s="163" customFormat="1" ht="12.75">
      <c r="A230" s="464"/>
      <c r="B230" s="464"/>
      <c r="C230" s="236"/>
      <c r="D230" s="241" t="s">
        <v>630</v>
      </c>
      <c r="E230" s="310"/>
      <c r="F230" s="311">
        <v>15</v>
      </c>
      <c r="G230" s="141"/>
      <c r="H230" s="376">
        <v>52855</v>
      </c>
      <c r="I230" s="219"/>
      <c r="J230" s="235">
        <f t="shared" si="52"/>
        <v>31771.140499999998</v>
      </c>
      <c r="K230" s="373"/>
      <c r="L230" s="235">
        <f t="shared" si="53"/>
        <v>11908.2315</v>
      </c>
      <c r="M230" s="373"/>
      <c r="N230" s="235">
        <f t="shared" si="54"/>
        <v>1257.949</v>
      </c>
      <c r="O230" s="373"/>
      <c r="P230" s="235">
        <f t="shared" si="55"/>
        <v>3853.1295000000005</v>
      </c>
      <c r="Q230" s="373"/>
      <c r="R230" s="235">
        <f t="shared" si="56"/>
        <v>1088.813</v>
      </c>
      <c r="S230" s="373"/>
      <c r="T230" s="235">
        <f t="shared" si="57"/>
        <v>1559.2224999999999</v>
      </c>
      <c r="U230" s="373"/>
      <c r="V230" s="235">
        <f t="shared" si="58"/>
        <v>1416.5140000000001</v>
      </c>
      <c r="W230" s="236"/>
      <c r="X230" s="236"/>
      <c r="AA230" s="241" t="s">
        <v>630</v>
      </c>
      <c r="AC230" s="280">
        <f t="shared" si="43"/>
        <v>15</v>
      </c>
      <c r="AD230"/>
      <c r="AE230" s="161">
        <f>+H230</f>
        <v>52855</v>
      </c>
      <c r="AF230"/>
      <c r="AG230" s="148">
        <f t="shared" si="59"/>
        <v>17701.139499999997</v>
      </c>
      <c r="AH230" s="148"/>
      <c r="AI230" s="148">
        <f t="shared" si="60"/>
        <v>8224.238</v>
      </c>
      <c r="AJ230" s="148"/>
      <c r="AK230" s="148">
        <f t="shared" si="61"/>
        <v>7722.115500000001</v>
      </c>
      <c r="AL230" s="148"/>
      <c r="AM230" s="148">
        <f t="shared" si="62"/>
        <v>671.2585</v>
      </c>
      <c r="AN230" s="148"/>
      <c r="AO230" s="148">
        <f t="shared" si="63"/>
        <v>1939.7785000000001</v>
      </c>
      <c r="AP230" s="148"/>
      <c r="AQ230" s="148">
        <f t="shared" si="64"/>
        <v>10084.734</v>
      </c>
      <c r="AR230" s="148"/>
      <c r="AS230" s="148">
        <f t="shared" si="64"/>
        <v>3699.8500000000004</v>
      </c>
      <c r="AT230" s="148"/>
      <c r="AU230" s="148">
        <f t="shared" si="65"/>
        <v>1395.372</v>
      </c>
      <c r="AV230" s="148"/>
      <c r="AW230" s="148">
        <f t="shared" si="65"/>
        <v>1416.5140000000001</v>
      </c>
      <c r="AX230"/>
      <c r="AY230" s="193"/>
    </row>
    <row r="231" spans="1:51" ht="12.75">
      <c r="A231" s="464"/>
      <c r="B231" s="464"/>
      <c r="C231" s="236"/>
      <c r="D231" s="241" t="s">
        <v>632</v>
      </c>
      <c r="E231" s="310"/>
      <c r="F231" s="311">
        <v>15</v>
      </c>
      <c r="G231" s="141"/>
      <c r="H231" s="376">
        <v>-9631</v>
      </c>
      <c r="I231" s="219"/>
      <c r="J231" s="235">
        <f t="shared" si="52"/>
        <v>-5789.1941</v>
      </c>
      <c r="K231" s="373"/>
      <c r="L231" s="235">
        <f t="shared" si="53"/>
        <v>-2169.8643</v>
      </c>
      <c r="M231" s="373"/>
      <c r="N231" s="235">
        <f t="shared" si="54"/>
        <v>-229.2178</v>
      </c>
      <c r="O231" s="373"/>
      <c r="P231" s="235">
        <f t="shared" si="55"/>
        <v>-702.0999</v>
      </c>
      <c r="Q231" s="373"/>
      <c r="R231" s="235">
        <f t="shared" si="56"/>
        <v>-198.39860000000002</v>
      </c>
      <c r="S231" s="373"/>
      <c r="T231" s="235">
        <f t="shared" si="57"/>
        <v>-284.11449999999996</v>
      </c>
      <c r="U231" s="373"/>
      <c r="V231" s="235">
        <f t="shared" si="58"/>
        <v>-258.1108</v>
      </c>
      <c r="W231" s="236"/>
      <c r="X231" s="236"/>
      <c r="AA231" s="241" t="s">
        <v>240</v>
      </c>
      <c r="AC231" s="280">
        <f t="shared" si="43"/>
        <v>15</v>
      </c>
      <c r="AE231" s="161">
        <f t="shared" si="44"/>
        <v>-9631</v>
      </c>
      <c r="AG231" s="148">
        <f>(VLOOKUP($AC231,func,AG$384))*$AE231</f>
        <v>-3225.4219</v>
      </c>
      <c r="AH231" s="148"/>
      <c r="AI231" s="148">
        <f>(VLOOKUP($AC231,func,AI$384))*$AE231</f>
        <v>-1498.5836</v>
      </c>
      <c r="AJ231" s="148"/>
      <c r="AK231" s="148">
        <f>(VLOOKUP($AC231,func,AK$384))*$AE231</f>
        <v>-1407.0891000000001</v>
      </c>
      <c r="AL231" s="148"/>
      <c r="AM231" s="148">
        <f>(VLOOKUP($AC231,func,AM$384))*$AE231</f>
        <v>-122.3137</v>
      </c>
      <c r="AN231" s="148"/>
      <c r="AO231" s="148">
        <f>(VLOOKUP($AC231,func,AO$384))*$AE231</f>
        <v>-353.45770000000005</v>
      </c>
      <c r="AP231" s="148"/>
      <c r="AQ231" s="148">
        <f>(VLOOKUP($AC231,func,AQ$384))*$AE231</f>
        <v>-1837.5948</v>
      </c>
      <c r="AR231" s="148"/>
      <c r="AS231" s="148">
        <f>(VLOOKUP($AC231,func,AS$384))*$AE231</f>
        <v>-674.1700000000001</v>
      </c>
      <c r="AT231" s="148"/>
      <c r="AU231" s="148">
        <f>(VLOOKUP($AC231,func,AU$384))*$AE231</f>
        <v>-254.2584</v>
      </c>
      <c r="AV231" s="148"/>
      <c r="AW231" s="148">
        <f>(VLOOKUP($AC231,func,AW$384))*$AE231</f>
        <v>-258.1108</v>
      </c>
      <c r="AY231" s="193"/>
    </row>
    <row r="232" spans="1:51" s="489" customFormat="1" ht="12.75">
      <c r="A232" s="483"/>
      <c r="B232" s="483"/>
      <c r="C232" s="484"/>
      <c r="D232" s="485" t="s">
        <v>633</v>
      </c>
      <c r="E232" s="486"/>
      <c r="F232" s="487">
        <v>15</v>
      </c>
      <c r="G232" s="488"/>
      <c r="H232" s="376">
        <v>-87794</v>
      </c>
      <c r="I232" s="219"/>
      <c r="J232" s="235">
        <f t="shared" si="52"/>
        <v>-52772.973399999995</v>
      </c>
      <c r="K232" s="373"/>
      <c r="L232" s="235">
        <f t="shared" si="53"/>
        <v>-19779.9882</v>
      </c>
      <c r="M232" s="373"/>
      <c r="N232" s="235">
        <f t="shared" si="54"/>
        <v>-2089.4972000000002</v>
      </c>
      <c r="O232" s="373"/>
      <c r="P232" s="235">
        <f t="shared" si="55"/>
        <v>-6400.182600000001</v>
      </c>
      <c r="Q232" s="373"/>
      <c r="R232" s="235">
        <f t="shared" si="56"/>
        <v>-1808.5564</v>
      </c>
      <c r="S232" s="373"/>
      <c r="T232" s="235">
        <f t="shared" si="57"/>
        <v>-2589.923</v>
      </c>
      <c r="U232" s="373"/>
      <c r="V232" s="235">
        <f t="shared" si="58"/>
        <v>-2352.8792</v>
      </c>
      <c r="W232" s="236"/>
      <c r="X232" s="236"/>
      <c r="AA232" s="485" t="s">
        <v>241</v>
      </c>
      <c r="AC232" s="490">
        <f t="shared" si="43"/>
        <v>15</v>
      </c>
      <c r="AE232" s="303">
        <f t="shared" si="44"/>
        <v>-87794</v>
      </c>
      <c r="AG232" s="491">
        <f>(VLOOKUP($AC232,func,AG$384))*$AE232</f>
        <v>-29402.2106</v>
      </c>
      <c r="AH232" s="491"/>
      <c r="AI232" s="491">
        <f>(VLOOKUP($AC232,func,AI$384))*$AE232</f>
        <v>-13660.746399999998</v>
      </c>
      <c r="AJ232" s="491"/>
      <c r="AK232" s="491">
        <f>(VLOOKUP($AC232,func,AK$384))*$AE232</f>
        <v>-12826.7034</v>
      </c>
      <c r="AL232" s="491"/>
      <c r="AM232" s="491">
        <f>(VLOOKUP($AC232,func,AM$384))*$AE232</f>
        <v>-1114.9838</v>
      </c>
      <c r="AN232" s="491"/>
      <c r="AO232" s="491">
        <f>(VLOOKUP($AC232,func,AO$384))*$AE232</f>
        <v>-3222.0398000000005</v>
      </c>
      <c r="AP232" s="491"/>
      <c r="AQ232" s="491">
        <f>(VLOOKUP($AC232,func,AQ$384))*$AE232</f>
        <v>-16751.0952</v>
      </c>
      <c r="AR232" s="491"/>
      <c r="AS232" s="491">
        <f>(VLOOKUP($AC232,func,AS$384))*$AE232</f>
        <v>-6145.580000000001</v>
      </c>
      <c r="AT232" s="491"/>
      <c r="AU232" s="491">
        <f>(VLOOKUP($AC232,func,AU$384))*$AE232</f>
        <v>-2317.7616</v>
      </c>
      <c r="AV232" s="491"/>
      <c r="AW232" s="491">
        <f>(VLOOKUP($AC232,func,AW$384))*$AE232</f>
        <v>-2352.8792</v>
      </c>
      <c r="AY232" s="193"/>
    </row>
    <row r="233" spans="1:51" s="489" customFormat="1" ht="12.75">
      <c r="A233" s="483"/>
      <c r="B233" s="483"/>
      <c r="C233" s="484"/>
      <c r="D233" s="485" t="s">
        <v>634</v>
      </c>
      <c r="E233" s="486"/>
      <c r="F233" s="487">
        <v>15</v>
      </c>
      <c r="G233" s="488"/>
      <c r="H233" s="376">
        <v>-25571</v>
      </c>
      <c r="I233" s="219"/>
      <c r="J233" s="235">
        <f t="shared" si="52"/>
        <v>-15370.728099999998</v>
      </c>
      <c r="K233" s="373"/>
      <c r="L233" s="235">
        <f t="shared" si="53"/>
        <v>-5761.1463</v>
      </c>
      <c r="M233" s="373"/>
      <c r="N233" s="235">
        <f t="shared" si="54"/>
        <v>-608.5898000000001</v>
      </c>
      <c r="O233" s="373"/>
      <c r="P233" s="235">
        <f t="shared" si="55"/>
        <v>-1864.1259000000002</v>
      </c>
      <c r="Q233" s="373"/>
      <c r="R233" s="235">
        <f t="shared" si="56"/>
        <v>-526.7626</v>
      </c>
      <c r="S233" s="373"/>
      <c r="T233" s="235">
        <f t="shared" si="57"/>
        <v>-754.3444999999999</v>
      </c>
      <c r="U233" s="373"/>
      <c r="V233" s="235">
        <f t="shared" si="58"/>
        <v>-685.3028</v>
      </c>
      <c r="W233" s="236"/>
      <c r="X233" s="236"/>
      <c r="AA233" s="485" t="s">
        <v>634</v>
      </c>
      <c r="AC233" s="490">
        <f>+F233</f>
        <v>15</v>
      </c>
      <c r="AE233" s="303">
        <f>+H233</f>
        <v>-25571</v>
      </c>
      <c r="AG233" s="491">
        <f>(VLOOKUP($AC233,func,AG$384))*$AE233</f>
        <v>-8563.7279</v>
      </c>
      <c r="AH233" s="491"/>
      <c r="AI233" s="491">
        <f>(VLOOKUP($AC233,func,AI$384))*$AE233</f>
        <v>-3978.8475999999996</v>
      </c>
      <c r="AJ233" s="491"/>
      <c r="AK233" s="491">
        <f>(VLOOKUP($AC233,func,AK$384))*$AE233</f>
        <v>-3735.9231</v>
      </c>
      <c r="AL233" s="491"/>
      <c r="AM233" s="491">
        <f>(VLOOKUP($AC233,func,AM$384))*$AE233</f>
        <v>-324.75169999999997</v>
      </c>
      <c r="AN233" s="491"/>
      <c r="AO233" s="491">
        <f>(VLOOKUP($AC233,func,AO$384))*$AE233</f>
        <v>-938.4557000000001</v>
      </c>
      <c r="AP233" s="491"/>
      <c r="AQ233" s="491">
        <f>(VLOOKUP($AC233,func,AQ$384))*$AE233</f>
        <v>-4878.9468</v>
      </c>
      <c r="AR233" s="491"/>
      <c r="AS233" s="491">
        <f>(VLOOKUP($AC233,func,AS$384))*$AE233</f>
        <v>-1789.9700000000003</v>
      </c>
      <c r="AT233" s="491"/>
      <c r="AU233" s="491">
        <f>(VLOOKUP($AC233,func,AU$384))*$AE233</f>
        <v>-675.0744</v>
      </c>
      <c r="AV233" s="491"/>
      <c r="AW233" s="491">
        <f>(VLOOKUP($AC233,func,AW$384))*$AE233</f>
        <v>-685.3028</v>
      </c>
      <c r="AY233" s="193"/>
    </row>
    <row r="234" spans="1:51" ht="12.75">
      <c r="A234" s="464"/>
      <c r="B234" s="464"/>
      <c r="C234" s="236"/>
      <c r="D234" s="241" t="s">
        <v>242</v>
      </c>
      <c r="E234" s="310"/>
      <c r="F234" s="311">
        <v>15</v>
      </c>
      <c r="G234" s="141"/>
      <c r="H234" s="376">
        <v>413</v>
      </c>
      <c r="I234" s="219"/>
      <c r="J234" s="235">
        <f t="shared" si="52"/>
        <v>248.2543</v>
      </c>
      <c r="K234" s="373"/>
      <c r="L234" s="235">
        <f t="shared" si="53"/>
        <v>93.0489</v>
      </c>
      <c r="M234" s="373"/>
      <c r="N234" s="235">
        <f t="shared" si="54"/>
        <v>9.829400000000001</v>
      </c>
      <c r="O234" s="373"/>
      <c r="P234" s="235">
        <f t="shared" si="55"/>
        <v>30.1077</v>
      </c>
      <c r="Q234" s="373"/>
      <c r="R234" s="235">
        <f t="shared" si="56"/>
        <v>8.5078</v>
      </c>
      <c r="S234" s="373"/>
      <c r="T234" s="235">
        <f t="shared" si="57"/>
        <v>12.183499999999999</v>
      </c>
      <c r="U234" s="373"/>
      <c r="V234" s="235">
        <f t="shared" si="58"/>
        <v>11.0684</v>
      </c>
      <c r="W234" s="236"/>
      <c r="X234" s="236"/>
      <c r="AA234" s="241" t="s">
        <v>242</v>
      </c>
      <c r="AC234" s="280">
        <f t="shared" si="43"/>
        <v>15</v>
      </c>
      <c r="AE234" s="161">
        <f t="shared" si="44"/>
        <v>413</v>
      </c>
      <c r="AG234" s="148">
        <f aca="true" t="shared" si="66" ref="AG234:AG245">(VLOOKUP($AC234,func,AG$384))*$AE234</f>
        <v>138.31369999999998</v>
      </c>
      <c r="AH234" s="148"/>
      <c r="AI234" s="148">
        <f aca="true" t="shared" si="67" ref="AI234:AI245">(VLOOKUP($AC234,func,AI$384))*$AE234</f>
        <v>64.2628</v>
      </c>
      <c r="AJ234" s="148"/>
      <c r="AK234" s="148">
        <f aca="true" t="shared" si="68" ref="AK234:AK245">(VLOOKUP($AC234,func,AK$384))*$AE234</f>
        <v>60.3393</v>
      </c>
      <c r="AL234" s="148"/>
      <c r="AM234" s="148">
        <f aca="true" t="shared" si="69" ref="AM234:AM245">(VLOOKUP($AC234,func,AM$384))*$AE234</f>
        <v>5.2451</v>
      </c>
      <c r="AN234" s="148"/>
      <c r="AO234" s="148">
        <f aca="true" t="shared" si="70" ref="AO234:AO245">(VLOOKUP($AC234,func,AO$384))*$AE234</f>
        <v>15.157100000000002</v>
      </c>
      <c r="AP234" s="148"/>
      <c r="AQ234" s="148">
        <f aca="true" t="shared" si="71" ref="AQ234:AS245">(VLOOKUP($AC234,func,AQ$384))*$AE234</f>
        <v>78.8004</v>
      </c>
      <c r="AR234" s="148"/>
      <c r="AS234" s="148">
        <f t="shared" si="71"/>
        <v>28.910000000000004</v>
      </c>
      <c r="AT234" s="148"/>
      <c r="AU234" s="148">
        <f aca="true" t="shared" si="72" ref="AU234:AW245">(VLOOKUP($AC234,func,AU$384))*$AE234</f>
        <v>10.9032</v>
      </c>
      <c r="AV234" s="148"/>
      <c r="AW234" s="148">
        <f t="shared" si="72"/>
        <v>11.0684</v>
      </c>
      <c r="AY234" s="193"/>
    </row>
    <row r="235" spans="1:51" ht="12.75">
      <c r="A235" s="464"/>
      <c r="B235" s="464"/>
      <c r="C235" s="236"/>
      <c r="D235" s="241" t="s">
        <v>243</v>
      </c>
      <c r="E235" s="310"/>
      <c r="F235" s="311">
        <v>15</v>
      </c>
      <c r="G235" s="141"/>
      <c r="H235" s="376">
        <v>49751</v>
      </c>
      <c r="I235" s="219"/>
      <c r="J235" s="235">
        <f t="shared" si="52"/>
        <v>29905.3261</v>
      </c>
      <c r="K235" s="373"/>
      <c r="L235" s="235">
        <f t="shared" si="53"/>
        <v>11208.9003</v>
      </c>
      <c r="M235" s="373"/>
      <c r="N235" s="235">
        <f t="shared" si="54"/>
        <v>1184.0738000000001</v>
      </c>
      <c r="O235" s="373"/>
      <c r="P235" s="235">
        <f t="shared" si="55"/>
        <v>3626.8479</v>
      </c>
      <c r="Q235" s="373"/>
      <c r="R235" s="235">
        <f t="shared" si="56"/>
        <v>1024.8706</v>
      </c>
      <c r="S235" s="373"/>
      <c r="T235" s="235">
        <f t="shared" si="57"/>
        <v>1467.6544999999999</v>
      </c>
      <c r="U235" s="373"/>
      <c r="V235" s="235">
        <f t="shared" si="58"/>
        <v>1333.3268</v>
      </c>
      <c r="W235" s="236"/>
      <c r="X235" s="236"/>
      <c r="AA235" s="241" t="s">
        <v>243</v>
      </c>
      <c r="AC235" s="280">
        <f t="shared" si="43"/>
        <v>15</v>
      </c>
      <c r="AE235" s="161">
        <f t="shared" si="44"/>
        <v>49751</v>
      </c>
      <c r="AG235" s="148">
        <f t="shared" si="66"/>
        <v>16661.6099</v>
      </c>
      <c r="AH235" s="148"/>
      <c r="AI235" s="148">
        <f t="shared" si="67"/>
        <v>7741.2555999999995</v>
      </c>
      <c r="AJ235" s="148"/>
      <c r="AK235" s="148">
        <f t="shared" si="68"/>
        <v>7268.6211</v>
      </c>
      <c r="AL235" s="148"/>
      <c r="AM235" s="148">
        <f t="shared" si="69"/>
        <v>631.8376999999999</v>
      </c>
      <c r="AN235" s="148"/>
      <c r="AO235" s="148">
        <f t="shared" si="70"/>
        <v>1825.8617000000002</v>
      </c>
      <c r="AP235" s="148"/>
      <c r="AQ235" s="148">
        <f t="shared" si="71"/>
        <v>9492.4908</v>
      </c>
      <c r="AR235" s="148"/>
      <c r="AS235" s="148">
        <f t="shared" si="71"/>
        <v>3482.57</v>
      </c>
      <c r="AT235" s="148"/>
      <c r="AU235" s="148">
        <f t="shared" si="72"/>
        <v>1313.4264</v>
      </c>
      <c r="AV235" s="148"/>
      <c r="AW235" s="148">
        <f t="shared" si="72"/>
        <v>1333.3268</v>
      </c>
      <c r="AY235" s="193"/>
    </row>
    <row r="236" spans="1:51" ht="12.75">
      <c r="A236" s="464"/>
      <c r="B236" s="464"/>
      <c r="C236" s="236"/>
      <c r="D236" s="241" t="s">
        <v>244</v>
      </c>
      <c r="E236" s="310"/>
      <c r="F236" s="311">
        <v>15</v>
      </c>
      <c r="G236" s="141"/>
      <c r="H236" s="376">
        <v>24643</v>
      </c>
      <c r="I236" s="219"/>
      <c r="J236" s="235">
        <f t="shared" si="52"/>
        <v>14812.907299999999</v>
      </c>
      <c r="K236" s="373"/>
      <c r="L236" s="235">
        <f t="shared" si="53"/>
        <v>5552.0679</v>
      </c>
      <c r="M236" s="373"/>
      <c r="N236" s="235">
        <f t="shared" si="54"/>
        <v>586.5034</v>
      </c>
      <c r="O236" s="373"/>
      <c r="P236" s="235">
        <f t="shared" si="55"/>
        <v>1796.4747000000002</v>
      </c>
      <c r="Q236" s="373"/>
      <c r="R236" s="235">
        <f t="shared" si="56"/>
        <v>507.6458</v>
      </c>
      <c r="S236" s="373"/>
      <c r="T236" s="235">
        <f t="shared" si="57"/>
        <v>726.9685</v>
      </c>
      <c r="U236" s="373"/>
      <c r="V236" s="235">
        <f t="shared" si="58"/>
        <v>660.4324</v>
      </c>
      <c r="W236" s="236"/>
      <c r="X236" s="236"/>
      <c r="AA236" s="241" t="s">
        <v>244</v>
      </c>
      <c r="AC236" s="280">
        <f t="shared" si="43"/>
        <v>15</v>
      </c>
      <c r="AE236" s="161">
        <f t="shared" si="44"/>
        <v>24643</v>
      </c>
      <c r="AG236" s="148">
        <f t="shared" si="66"/>
        <v>8252.9407</v>
      </c>
      <c r="AH236" s="148"/>
      <c r="AI236" s="148">
        <f t="shared" si="67"/>
        <v>3834.4507999999996</v>
      </c>
      <c r="AJ236" s="148"/>
      <c r="AK236" s="148">
        <f t="shared" si="68"/>
        <v>3600.3423000000003</v>
      </c>
      <c r="AL236" s="148"/>
      <c r="AM236" s="148">
        <f t="shared" si="69"/>
        <v>312.9661</v>
      </c>
      <c r="AN236" s="148"/>
      <c r="AO236" s="148">
        <f t="shared" si="70"/>
        <v>904.3981000000001</v>
      </c>
      <c r="AP236" s="148"/>
      <c r="AQ236" s="148">
        <f t="shared" si="71"/>
        <v>4701.8844</v>
      </c>
      <c r="AR236" s="148"/>
      <c r="AS236" s="148">
        <f t="shared" si="71"/>
        <v>1725.0100000000002</v>
      </c>
      <c r="AT236" s="148"/>
      <c r="AU236" s="148">
        <f t="shared" si="72"/>
        <v>650.5752</v>
      </c>
      <c r="AV236" s="148"/>
      <c r="AW236" s="148">
        <f t="shared" si="72"/>
        <v>660.4324</v>
      </c>
      <c r="AY236" s="193"/>
    </row>
    <row r="237" spans="1:51" ht="12.75">
      <c r="A237" s="464"/>
      <c r="B237" s="464"/>
      <c r="C237" s="236"/>
      <c r="D237" s="241" t="s">
        <v>245</v>
      </c>
      <c r="E237" s="310"/>
      <c r="F237" s="311">
        <v>15</v>
      </c>
      <c r="G237" s="141"/>
      <c r="H237" s="376">
        <v>9412</v>
      </c>
      <c r="I237" s="219"/>
      <c r="J237" s="235">
        <f t="shared" si="52"/>
        <v>5657.553199999999</v>
      </c>
      <c r="K237" s="373"/>
      <c r="L237" s="235">
        <f t="shared" si="53"/>
        <v>2120.5236</v>
      </c>
      <c r="M237" s="373"/>
      <c r="N237" s="235">
        <f t="shared" si="54"/>
        <v>224.00560000000002</v>
      </c>
      <c r="O237" s="373"/>
      <c r="P237" s="235">
        <f t="shared" si="55"/>
        <v>686.1348</v>
      </c>
      <c r="Q237" s="373"/>
      <c r="R237" s="235">
        <f t="shared" si="56"/>
        <v>193.8872</v>
      </c>
      <c r="S237" s="373"/>
      <c r="T237" s="235">
        <f t="shared" si="57"/>
        <v>277.654</v>
      </c>
      <c r="U237" s="373"/>
      <c r="V237" s="235">
        <f t="shared" si="58"/>
        <v>252.2416</v>
      </c>
      <c r="W237" s="236"/>
      <c r="X237" s="236"/>
      <c r="AA237" s="241" t="s">
        <v>245</v>
      </c>
      <c r="AC237" s="280">
        <f t="shared" si="43"/>
        <v>15</v>
      </c>
      <c r="AE237" s="161">
        <f t="shared" si="44"/>
        <v>9412</v>
      </c>
      <c r="AG237" s="148">
        <f t="shared" si="66"/>
        <v>3152.0788</v>
      </c>
      <c r="AH237" s="148"/>
      <c r="AI237" s="148">
        <f t="shared" si="67"/>
        <v>1464.5071999999998</v>
      </c>
      <c r="AJ237" s="148"/>
      <c r="AK237" s="148">
        <f t="shared" si="68"/>
        <v>1375.0932</v>
      </c>
      <c r="AL237" s="148"/>
      <c r="AM237" s="148">
        <f t="shared" si="69"/>
        <v>119.5324</v>
      </c>
      <c r="AN237" s="148"/>
      <c r="AO237" s="148">
        <f t="shared" si="70"/>
        <v>345.42040000000003</v>
      </c>
      <c r="AP237" s="148"/>
      <c r="AQ237" s="148">
        <f t="shared" si="71"/>
        <v>1795.8096</v>
      </c>
      <c r="AR237" s="148"/>
      <c r="AS237" s="148">
        <f t="shared" si="71"/>
        <v>658.84</v>
      </c>
      <c r="AT237" s="148"/>
      <c r="AU237" s="148">
        <f t="shared" si="72"/>
        <v>248.4768</v>
      </c>
      <c r="AV237" s="148"/>
      <c r="AW237" s="148">
        <f t="shared" si="72"/>
        <v>252.2416</v>
      </c>
      <c r="AY237" s="193"/>
    </row>
    <row r="238" spans="1:51" ht="12.75">
      <c r="A238" s="464"/>
      <c r="B238" s="464"/>
      <c r="C238" s="236"/>
      <c r="D238" s="241" t="s">
        <v>246</v>
      </c>
      <c r="E238" s="310"/>
      <c r="F238" s="311">
        <v>15</v>
      </c>
      <c r="G238" s="141"/>
      <c r="H238" s="376">
        <v>22190</v>
      </c>
      <c r="I238" s="219"/>
      <c r="J238" s="235">
        <f t="shared" si="52"/>
        <v>13338.409</v>
      </c>
      <c r="K238" s="373"/>
      <c r="L238" s="235">
        <f t="shared" si="53"/>
        <v>4999.407</v>
      </c>
      <c r="M238" s="373"/>
      <c r="N238" s="235">
        <f t="shared" si="54"/>
        <v>528.1220000000001</v>
      </c>
      <c r="O238" s="373"/>
      <c r="P238" s="235">
        <f t="shared" si="55"/>
        <v>1617.651</v>
      </c>
      <c r="Q238" s="373"/>
      <c r="R238" s="235">
        <f t="shared" si="56"/>
        <v>457.11400000000003</v>
      </c>
      <c r="S238" s="373"/>
      <c r="T238" s="235">
        <f t="shared" si="57"/>
        <v>654.605</v>
      </c>
      <c r="U238" s="373"/>
      <c r="V238" s="235">
        <f t="shared" si="58"/>
        <v>594.692</v>
      </c>
      <c r="W238" s="236"/>
      <c r="X238" s="236"/>
      <c r="AA238" s="241" t="s">
        <v>246</v>
      </c>
      <c r="AC238" s="280">
        <f t="shared" si="43"/>
        <v>15</v>
      </c>
      <c r="AE238" s="161">
        <f t="shared" si="44"/>
        <v>22190</v>
      </c>
      <c r="AG238" s="148">
        <f t="shared" si="66"/>
        <v>7431.431</v>
      </c>
      <c r="AH238" s="148"/>
      <c r="AI238" s="148">
        <f t="shared" si="67"/>
        <v>3452.7639999999997</v>
      </c>
      <c r="AJ238" s="148"/>
      <c r="AK238" s="148">
        <f t="shared" si="68"/>
        <v>3241.9590000000003</v>
      </c>
      <c r="AL238" s="148"/>
      <c r="AM238" s="148">
        <f t="shared" si="69"/>
        <v>281.813</v>
      </c>
      <c r="AN238" s="148"/>
      <c r="AO238" s="148">
        <f t="shared" si="70"/>
        <v>814.373</v>
      </c>
      <c r="AP238" s="148"/>
      <c r="AQ238" s="148">
        <f t="shared" si="71"/>
        <v>4233.852</v>
      </c>
      <c r="AR238" s="148"/>
      <c r="AS238" s="148">
        <f t="shared" si="71"/>
        <v>1553.3000000000002</v>
      </c>
      <c r="AT238" s="148"/>
      <c r="AU238" s="148">
        <f t="shared" si="72"/>
        <v>585.816</v>
      </c>
      <c r="AV238" s="148"/>
      <c r="AW238" s="148">
        <f t="shared" si="72"/>
        <v>594.692</v>
      </c>
      <c r="AY238" s="193"/>
    </row>
    <row r="239" spans="1:51" ht="12.75">
      <c r="A239" s="358"/>
      <c r="B239" s="359"/>
      <c r="C239" s="236"/>
      <c r="D239" s="241" t="s">
        <v>247</v>
      </c>
      <c r="E239" s="310"/>
      <c r="F239" s="311">
        <v>15</v>
      </c>
      <c r="G239" s="141"/>
      <c r="H239" s="376">
        <v>598</v>
      </c>
      <c r="I239" s="219"/>
      <c r="J239" s="235">
        <f t="shared" si="52"/>
        <v>359.45779999999996</v>
      </c>
      <c r="K239" s="373"/>
      <c r="L239" s="235">
        <f t="shared" si="53"/>
        <v>134.7294</v>
      </c>
      <c r="M239" s="373"/>
      <c r="N239" s="235">
        <f t="shared" si="54"/>
        <v>14.2324</v>
      </c>
      <c r="O239" s="373"/>
      <c r="P239" s="235">
        <f t="shared" si="55"/>
        <v>43.5942</v>
      </c>
      <c r="Q239" s="373"/>
      <c r="R239" s="235">
        <f t="shared" si="56"/>
        <v>12.3188</v>
      </c>
      <c r="S239" s="373"/>
      <c r="T239" s="235">
        <f t="shared" si="57"/>
        <v>17.641</v>
      </c>
      <c r="U239" s="373"/>
      <c r="V239" s="235">
        <f t="shared" si="58"/>
        <v>16.0264</v>
      </c>
      <c r="W239" s="236"/>
      <c r="X239" s="236"/>
      <c r="AA239" s="241" t="s">
        <v>247</v>
      </c>
      <c r="AC239" s="280">
        <f t="shared" si="43"/>
        <v>15</v>
      </c>
      <c r="AE239" s="161">
        <f t="shared" si="44"/>
        <v>598</v>
      </c>
      <c r="AG239" s="148">
        <f t="shared" si="66"/>
        <v>200.2702</v>
      </c>
      <c r="AH239" s="148"/>
      <c r="AI239" s="148">
        <f t="shared" si="67"/>
        <v>93.0488</v>
      </c>
      <c r="AJ239" s="148"/>
      <c r="AK239" s="148">
        <f t="shared" si="68"/>
        <v>87.3678</v>
      </c>
      <c r="AL239" s="148"/>
      <c r="AM239" s="148">
        <f t="shared" si="69"/>
        <v>7.5946</v>
      </c>
      <c r="AN239" s="148"/>
      <c r="AO239" s="148">
        <f t="shared" si="70"/>
        <v>21.946600000000004</v>
      </c>
      <c r="AP239" s="148"/>
      <c r="AQ239" s="148">
        <f t="shared" si="71"/>
        <v>114.0984</v>
      </c>
      <c r="AR239" s="148"/>
      <c r="AS239" s="148">
        <f t="shared" si="71"/>
        <v>41.86000000000001</v>
      </c>
      <c r="AT239" s="148"/>
      <c r="AU239" s="148">
        <f t="shared" si="72"/>
        <v>15.7872</v>
      </c>
      <c r="AV239" s="148"/>
      <c r="AW239" s="148">
        <f t="shared" si="72"/>
        <v>16.0264</v>
      </c>
      <c r="AY239" s="193"/>
    </row>
    <row r="240" spans="1:51" ht="12.75">
      <c r="A240" s="464"/>
      <c r="B240" s="464"/>
      <c r="C240" s="236"/>
      <c r="D240" s="241" t="s">
        <v>248</v>
      </c>
      <c r="E240" s="310"/>
      <c r="F240" s="311">
        <v>15</v>
      </c>
      <c r="G240" s="141"/>
      <c r="H240" s="376">
        <v>64338</v>
      </c>
      <c r="I240" s="219"/>
      <c r="J240" s="235">
        <f t="shared" si="52"/>
        <v>38673.5718</v>
      </c>
      <c r="K240" s="373"/>
      <c r="L240" s="235">
        <f t="shared" si="53"/>
        <v>14495.3514</v>
      </c>
      <c r="M240" s="373"/>
      <c r="N240" s="235">
        <f t="shared" si="54"/>
        <v>1531.2444</v>
      </c>
      <c r="O240" s="373"/>
      <c r="P240" s="235">
        <f t="shared" si="55"/>
        <v>4690.2402</v>
      </c>
      <c r="Q240" s="373"/>
      <c r="R240" s="235">
        <f t="shared" si="56"/>
        <v>1325.3628</v>
      </c>
      <c r="S240" s="373"/>
      <c r="T240" s="235">
        <f t="shared" si="57"/>
        <v>1897.971</v>
      </c>
      <c r="U240" s="373"/>
      <c r="V240" s="235">
        <f t="shared" si="58"/>
        <v>1724.2584000000002</v>
      </c>
      <c r="W240" s="236"/>
      <c r="X240" s="236"/>
      <c r="AA240" s="241" t="s">
        <v>248</v>
      </c>
      <c r="AC240" s="280">
        <f t="shared" si="43"/>
        <v>15</v>
      </c>
      <c r="AE240" s="161">
        <f t="shared" si="44"/>
        <v>64338</v>
      </c>
      <c r="AG240" s="148">
        <f t="shared" si="66"/>
        <v>21546.796199999997</v>
      </c>
      <c r="AH240" s="148"/>
      <c r="AI240" s="148">
        <f t="shared" si="67"/>
        <v>10010.9928</v>
      </c>
      <c r="AJ240" s="148"/>
      <c r="AK240" s="148">
        <f t="shared" si="68"/>
        <v>9399.7818</v>
      </c>
      <c r="AL240" s="148"/>
      <c r="AM240" s="148">
        <f t="shared" si="69"/>
        <v>817.0926</v>
      </c>
      <c r="AN240" s="148"/>
      <c r="AO240" s="148">
        <f t="shared" si="70"/>
        <v>2361.2046</v>
      </c>
      <c r="AP240" s="148"/>
      <c r="AQ240" s="148">
        <f t="shared" si="71"/>
        <v>12275.6904</v>
      </c>
      <c r="AR240" s="148"/>
      <c r="AS240" s="148">
        <f t="shared" si="71"/>
        <v>4503.660000000001</v>
      </c>
      <c r="AT240" s="148"/>
      <c r="AU240" s="148">
        <f t="shared" si="72"/>
        <v>1698.5232</v>
      </c>
      <c r="AV240" s="148"/>
      <c r="AW240" s="148">
        <f t="shared" si="72"/>
        <v>1724.2584000000002</v>
      </c>
      <c r="AY240" s="193"/>
    </row>
    <row r="241" spans="1:51" ht="12.75">
      <c r="A241" s="464"/>
      <c r="B241" s="464"/>
      <c r="C241" s="236"/>
      <c r="D241" s="241" t="s">
        <v>249</v>
      </c>
      <c r="E241" s="310"/>
      <c r="F241" s="311">
        <v>2</v>
      </c>
      <c r="G241" s="141"/>
      <c r="H241" s="376">
        <v>10228</v>
      </c>
      <c r="I241" s="219"/>
      <c r="J241" s="235">
        <f t="shared" si="52"/>
        <v>5121.159599999999</v>
      </c>
      <c r="K241" s="373"/>
      <c r="L241" s="235">
        <f t="shared" si="53"/>
        <v>3132.8364</v>
      </c>
      <c r="M241" s="373"/>
      <c r="N241" s="235">
        <f t="shared" si="54"/>
        <v>391.7324</v>
      </c>
      <c r="O241" s="373"/>
      <c r="P241" s="235">
        <f t="shared" si="55"/>
        <v>1194.6304</v>
      </c>
      <c r="Q241" s="373"/>
      <c r="R241" s="235">
        <f t="shared" si="56"/>
        <v>353.8888</v>
      </c>
      <c r="S241" s="373"/>
      <c r="T241" s="235">
        <f t="shared" si="57"/>
        <v>15.342</v>
      </c>
      <c r="U241" s="373"/>
      <c r="V241" s="235">
        <f t="shared" si="58"/>
        <v>18.4104</v>
      </c>
      <c r="W241" s="236"/>
      <c r="X241" s="236"/>
      <c r="AA241" s="241" t="s">
        <v>249</v>
      </c>
      <c r="AC241" s="280">
        <f t="shared" si="43"/>
        <v>2</v>
      </c>
      <c r="AE241" s="161">
        <f t="shared" si="44"/>
        <v>10228</v>
      </c>
      <c r="AG241" s="148">
        <f t="shared" si="66"/>
        <v>6165.4384</v>
      </c>
      <c r="AH241" s="148"/>
      <c r="AI241" s="148">
        <f t="shared" si="67"/>
        <v>4028.8091999999997</v>
      </c>
      <c r="AJ241" s="148"/>
      <c r="AK241" s="148">
        <f t="shared" si="68"/>
        <v>0</v>
      </c>
      <c r="AL241" s="148"/>
      <c r="AM241" s="148">
        <f t="shared" si="69"/>
        <v>0</v>
      </c>
      <c r="AN241" s="148"/>
      <c r="AO241" s="148">
        <f t="shared" si="70"/>
        <v>0</v>
      </c>
      <c r="AP241" s="148"/>
      <c r="AQ241" s="148">
        <f t="shared" si="71"/>
        <v>0</v>
      </c>
      <c r="AR241" s="148"/>
      <c r="AS241" s="148">
        <f t="shared" si="71"/>
        <v>0</v>
      </c>
      <c r="AT241" s="148"/>
      <c r="AU241" s="148">
        <f t="shared" si="72"/>
        <v>15.342</v>
      </c>
      <c r="AV241" s="148"/>
      <c r="AW241" s="148">
        <f t="shared" si="72"/>
        <v>18.4104</v>
      </c>
      <c r="AY241" s="193"/>
    </row>
    <row r="242" spans="1:51" ht="11.25" customHeight="1">
      <c r="A242" s="464"/>
      <c r="B242" s="464"/>
      <c r="C242" s="236"/>
      <c r="D242" s="241" t="s">
        <v>250</v>
      </c>
      <c r="E242" s="310"/>
      <c r="F242" s="311">
        <v>15</v>
      </c>
      <c r="G242" s="141"/>
      <c r="H242" s="376">
        <v>31742</v>
      </c>
      <c r="I242" s="219"/>
      <c r="J242" s="235">
        <f t="shared" si="52"/>
        <v>19080.1162</v>
      </c>
      <c r="K242" s="373"/>
      <c r="L242" s="235">
        <f t="shared" si="53"/>
        <v>7151.4726</v>
      </c>
      <c r="M242" s="373"/>
      <c r="N242" s="235">
        <f t="shared" si="54"/>
        <v>755.4596</v>
      </c>
      <c r="O242" s="373"/>
      <c r="P242" s="235">
        <f t="shared" si="55"/>
        <v>2313.9918000000002</v>
      </c>
      <c r="Q242" s="373"/>
      <c r="R242" s="235">
        <f t="shared" si="56"/>
        <v>653.8852</v>
      </c>
      <c r="S242" s="373"/>
      <c r="T242" s="235">
        <f t="shared" si="57"/>
        <v>936.3889999999999</v>
      </c>
      <c r="U242" s="373"/>
      <c r="V242" s="235">
        <f t="shared" si="58"/>
        <v>850.6856</v>
      </c>
      <c r="W242" s="236"/>
      <c r="X242" s="236"/>
      <c r="AA242" s="241" t="s">
        <v>250</v>
      </c>
      <c r="AC242" s="280">
        <f t="shared" si="43"/>
        <v>15</v>
      </c>
      <c r="AE242" s="161">
        <f t="shared" si="44"/>
        <v>31742</v>
      </c>
      <c r="AG242" s="148">
        <f t="shared" si="66"/>
        <v>10630.395799999998</v>
      </c>
      <c r="AH242" s="148"/>
      <c r="AI242" s="148">
        <f t="shared" si="67"/>
        <v>4939.0552</v>
      </c>
      <c r="AJ242" s="148"/>
      <c r="AK242" s="148">
        <f t="shared" si="68"/>
        <v>4637.5062</v>
      </c>
      <c r="AL242" s="148"/>
      <c r="AM242" s="148">
        <f t="shared" si="69"/>
        <v>403.1234</v>
      </c>
      <c r="AN242" s="148"/>
      <c r="AO242" s="148">
        <f t="shared" si="70"/>
        <v>1164.9314000000002</v>
      </c>
      <c r="AP242" s="148"/>
      <c r="AQ242" s="148">
        <f t="shared" si="71"/>
        <v>6056.3736</v>
      </c>
      <c r="AR242" s="148"/>
      <c r="AS242" s="148">
        <f t="shared" si="71"/>
        <v>2221.94</v>
      </c>
      <c r="AT242" s="148"/>
      <c r="AU242" s="148">
        <f t="shared" si="72"/>
        <v>837.9888</v>
      </c>
      <c r="AV242" s="148"/>
      <c r="AW242" s="148">
        <f t="shared" si="72"/>
        <v>850.6856</v>
      </c>
      <c r="AY242" s="193"/>
    </row>
    <row r="243" spans="1:51" ht="12.75">
      <c r="A243" s="464"/>
      <c r="B243" s="464"/>
      <c r="C243" s="236"/>
      <c r="D243" s="241" t="s">
        <v>251</v>
      </c>
      <c r="E243" s="310"/>
      <c r="F243" s="311">
        <v>15</v>
      </c>
      <c r="G243" s="141"/>
      <c r="H243" s="376">
        <v>233292</v>
      </c>
      <c r="I243" s="219"/>
      <c r="J243" s="235">
        <f t="shared" si="52"/>
        <v>140231.8212</v>
      </c>
      <c r="K243" s="373"/>
      <c r="L243" s="235">
        <f t="shared" si="53"/>
        <v>52560.6876</v>
      </c>
      <c r="M243" s="373"/>
      <c r="N243" s="235">
        <f t="shared" si="54"/>
        <v>5552.3496000000005</v>
      </c>
      <c r="O243" s="373"/>
      <c r="P243" s="235">
        <f t="shared" si="55"/>
        <v>17006.986800000002</v>
      </c>
      <c r="Q243" s="373"/>
      <c r="R243" s="235">
        <f t="shared" si="56"/>
        <v>4805.8152</v>
      </c>
      <c r="S243" s="373"/>
      <c r="T243" s="235">
        <f t="shared" si="57"/>
        <v>6882.114</v>
      </c>
      <c r="U243" s="373"/>
      <c r="V243" s="235">
        <f t="shared" si="58"/>
        <v>6252.2256</v>
      </c>
      <c r="W243" s="236"/>
      <c r="X243" s="236"/>
      <c r="AA243" s="241" t="s">
        <v>251</v>
      </c>
      <c r="AC243" s="280">
        <f t="shared" si="43"/>
        <v>15</v>
      </c>
      <c r="AE243" s="161">
        <f t="shared" si="44"/>
        <v>233292</v>
      </c>
      <c r="AG243" s="148">
        <f t="shared" si="66"/>
        <v>78129.4908</v>
      </c>
      <c r="AH243" s="148"/>
      <c r="AI243" s="148">
        <f t="shared" si="67"/>
        <v>36300.235199999996</v>
      </c>
      <c r="AJ243" s="148"/>
      <c r="AK243" s="148">
        <f t="shared" si="68"/>
        <v>34083.961200000005</v>
      </c>
      <c r="AL243" s="148"/>
      <c r="AM243" s="148">
        <f t="shared" si="69"/>
        <v>2962.8084</v>
      </c>
      <c r="AN243" s="148"/>
      <c r="AO243" s="148">
        <f t="shared" si="70"/>
        <v>8561.816400000002</v>
      </c>
      <c r="AP243" s="148"/>
      <c r="AQ243" s="148">
        <f t="shared" si="71"/>
        <v>44512.1136</v>
      </c>
      <c r="AR243" s="148"/>
      <c r="AS243" s="148">
        <f t="shared" si="71"/>
        <v>16330.440000000002</v>
      </c>
      <c r="AT243" s="148"/>
      <c r="AU243" s="148">
        <f t="shared" si="72"/>
        <v>6158.9088</v>
      </c>
      <c r="AV243" s="148"/>
      <c r="AW243" s="148">
        <f t="shared" si="72"/>
        <v>6252.2256</v>
      </c>
      <c r="AY243" s="193"/>
    </row>
    <row r="244" spans="1:51" ht="15" customHeight="1">
      <c r="A244" s="464"/>
      <c r="B244" s="464"/>
      <c r="C244" s="236"/>
      <c r="D244" s="241" t="s">
        <v>252</v>
      </c>
      <c r="E244" s="310"/>
      <c r="F244" s="311">
        <v>15</v>
      </c>
      <c r="G244" s="141"/>
      <c r="H244" s="376">
        <v>67289</v>
      </c>
      <c r="I244" s="219"/>
      <c r="J244" s="235">
        <f t="shared" si="52"/>
        <v>40447.4179</v>
      </c>
      <c r="K244" s="373"/>
      <c r="L244" s="235">
        <f t="shared" si="53"/>
        <v>15160.2117</v>
      </c>
      <c r="M244" s="373"/>
      <c r="N244" s="235">
        <f t="shared" si="54"/>
        <v>1601.4782</v>
      </c>
      <c r="O244" s="373"/>
      <c r="P244" s="235">
        <f t="shared" si="55"/>
        <v>4905.368100000001</v>
      </c>
      <c r="Q244" s="373"/>
      <c r="R244" s="235">
        <f t="shared" si="56"/>
        <v>1386.1534</v>
      </c>
      <c r="S244" s="373"/>
      <c r="T244" s="235">
        <f t="shared" si="57"/>
        <v>1985.0255</v>
      </c>
      <c r="U244" s="373"/>
      <c r="V244" s="235">
        <f t="shared" si="58"/>
        <v>1803.3452</v>
      </c>
      <c r="W244" s="236"/>
      <c r="X244" s="236"/>
      <c r="AA244" s="241" t="s">
        <v>252</v>
      </c>
      <c r="AC244" s="280">
        <f t="shared" si="43"/>
        <v>15</v>
      </c>
      <c r="AE244" s="161">
        <f t="shared" si="44"/>
        <v>67289</v>
      </c>
      <c r="AG244" s="148">
        <f t="shared" si="66"/>
        <v>22535.086099999997</v>
      </c>
      <c r="AH244" s="148"/>
      <c r="AI244" s="148">
        <f t="shared" si="67"/>
        <v>10470.168399999999</v>
      </c>
      <c r="AJ244" s="148"/>
      <c r="AK244" s="148">
        <f t="shared" si="68"/>
        <v>9830.922900000001</v>
      </c>
      <c r="AL244" s="148"/>
      <c r="AM244" s="148">
        <f t="shared" si="69"/>
        <v>854.5703</v>
      </c>
      <c r="AN244" s="148"/>
      <c r="AO244" s="148">
        <f t="shared" si="70"/>
        <v>2469.5063</v>
      </c>
      <c r="AP244" s="148"/>
      <c r="AQ244" s="148">
        <f t="shared" si="71"/>
        <v>12838.7412</v>
      </c>
      <c r="AR244" s="148"/>
      <c r="AS244" s="148">
        <f t="shared" si="71"/>
        <v>4710.2300000000005</v>
      </c>
      <c r="AT244" s="148"/>
      <c r="AU244" s="148">
        <f t="shared" si="72"/>
        <v>1776.4296</v>
      </c>
      <c r="AV244" s="148"/>
      <c r="AW244" s="148">
        <f t="shared" si="72"/>
        <v>1803.3452</v>
      </c>
      <c r="AY244" s="193"/>
    </row>
    <row r="245" spans="1:51" s="306" customFormat="1" ht="12.75">
      <c r="A245" s="316"/>
      <c r="B245" s="316"/>
      <c r="C245" s="236"/>
      <c r="D245" s="241" t="s">
        <v>253</v>
      </c>
      <c r="E245" s="310"/>
      <c r="F245" s="311">
        <v>15</v>
      </c>
      <c r="G245" s="219"/>
      <c r="H245" s="469">
        <v>-42336</v>
      </c>
      <c r="I245" s="219"/>
      <c r="J245" s="468">
        <f t="shared" si="52"/>
        <v>-25448.169599999997</v>
      </c>
      <c r="K245" s="219"/>
      <c r="L245" s="468">
        <f t="shared" si="53"/>
        <v>-9538.3008</v>
      </c>
      <c r="M245" s="219"/>
      <c r="N245" s="468">
        <f t="shared" si="54"/>
        <v>-1007.5968</v>
      </c>
      <c r="O245" s="219"/>
      <c r="P245" s="468">
        <f t="shared" si="55"/>
        <v>-3086.2944</v>
      </c>
      <c r="Q245" s="219"/>
      <c r="R245" s="468">
        <f t="shared" si="56"/>
        <v>-872.1216000000001</v>
      </c>
      <c r="S245" s="219"/>
      <c r="T245" s="468">
        <f t="shared" si="57"/>
        <v>-1248.912</v>
      </c>
      <c r="U245" s="219"/>
      <c r="V245" s="468">
        <f t="shared" si="58"/>
        <v>-1134.6048</v>
      </c>
      <c r="W245" s="236"/>
      <c r="X245" s="236"/>
      <c r="AA245" s="241" t="s">
        <v>253</v>
      </c>
      <c r="AC245" s="280">
        <f t="shared" si="43"/>
        <v>15</v>
      </c>
      <c r="AD245"/>
      <c r="AE245" s="317">
        <f t="shared" si="44"/>
        <v>-42336</v>
      </c>
      <c r="AF245"/>
      <c r="AG245" s="149">
        <f t="shared" si="66"/>
        <v>-14178.326399999998</v>
      </c>
      <c r="AH245"/>
      <c r="AI245" s="149">
        <f t="shared" si="67"/>
        <v>-6587.481599999999</v>
      </c>
      <c r="AJ245"/>
      <c r="AK245" s="149">
        <f t="shared" si="68"/>
        <v>-6185.2896</v>
      </c>
      <c r="AL245"/>
      <c r="AM245" s="149">
        <f t="shared" si="69"/>
        <v>-537.6672</v>
      </c>
      <c r="AN245"/>
      <c r="AO245" s="149">
        <f t="shared" si="70"/>
        <v>-1553.7312000000002</v>
      </c>
      <c r="AP245"/>
      <c r="AQ245" s="149">
        <f t="shared" si="71"/>
        <v>-8077.7088</v>
      </c>
      <c r="AR245"/>
      <c r="AS245" s="149">
        <f t="shared" si="71"/>
        <v>-2963.5200000000004</v>
      </c>
      <c r="AT245"/>
      <c r="AU245" s="149">
        <f t="shared" si="72"/>
        <v>-1117.6704</v>
      </c>
      <c r="AV245"/>
      <c r="AW245" s="149">
        <f t="shared" si="72"/>
        <v>-1134.6048</v>
      </c>
      <c r="AX245"/>
      <c r="AY245" s="193"/>
    </row>
    <row r="246" spans="1:51" s="306" customFormat="1" ht="12.75">
      <c r="A246" s="316"/>
      <c r="B246" s="295"/>
      <c r="C246" s="236"/>
      <c r="D246" s="241"/>
      <c r="E246" s="310"/>
      <c r="F246" s="311"/>
      <c r="G246" s="219"/>
      <c r="H246" s="162"/>
      <c r="I246" s="219"/>
      <c r="J246" s="162"/>
      <c r="K246" s="219"/>
      <c r="L246" s="162"/>
      <c r="M246" s="219"/>
      <c r="N246" s="162"/>
      <c r="O246" s="219"/>
      <c r="P246" s="162"/>
      <c r="Q246" s="219"/>
      <c r="R246" s="162"/>
      <c r="S246" s="219"/>
      <c r="T246" s="162"/>
      <c r="U246" s="219"/>
      <c r="V246" s="162"/>
      <c r="X246" s="378"/>
      <c r="AA246" s="241"/>
      <c r="AC246" s="379"/>
      <c r="AE246" s="220"/>
      <c r="AG246" s="162"/>
      <c r="AI246" s="162"/>
      <c r="AK246" s="162"/>
      <c r="AM246" s="162"/>
      <c r="AO246" s="162"/>
      <c r="AQ246" s="162"/>
      <c r="AS246" s="162"/>
      <c r="AU246" s="162"/>
      <c r="AW246" s="162"/>
      <c r="AY246" s="193"/>
    </row>
    <row r="247" spans="1:51" s="306" customFormat="1" ht="12.75">
      <c r="A247" s="465"/>
      <c r="B247" s="466"/>
      <c r="C247" s="236"/>
      <c r="D247" s="241" t="s">
        <v>254</v>
      </c>
      <c r="E247" s="310"/>
      <c r="F247" s="311"/>
      <c r="G247" s="219"/>
      <c r="H247" s="162">
        <f>SUM(H198:H246)</f>
        <v>11086076</v>
      </c>
      <c r="I247" s="219"/>
      <c r="J247" s="162">
        <f>SUM(J198:J246)</f>
        <v>5773182.280900001</v>
      </c>
      <c r="K247" s="219"/>
      <c r="L247" s="162">
        <f>SUM(L198:L246)</f>
        <v>2908061.4036999997</v>
      </c>
      <c r="M247" s="219"/>
      <c r="N247" s="162">
        <f>SUM(N198:N246)</f>
        <v>332115.71170000004</v>
      </c>
      <c r="O247" s="219"/>
      <c r="P247" s="162">
        <f>SUM(P198:P246)</f>
        <v>1029784.3743000001</v>
      </c>
      <c r="Q247" s="219"/>
      <c r="R247" s="162">
        <f>SUM(R198:R246)</f>
        <v>293523.17159999994</v>
      </c>
      <c r="S247" s="219"/>
      <c r="T247" s="162">
        <f>SUM(T198:T246)</f>
        <v>285643.15429999994</v>
      </c>
      <c r="U247" s="219"/>
      <c r="V247" s="162">
        <f>SUM(V198:V246)</f>
        <v>463765.9034999999</v>
      </c>
      <c r="X247" s="378"/>
      <c r="AA247" s="241" t="s">
        <v>254</v>
      </c>
      <c r="AB247" s="310"/>
      <c r="AC247" s="311"/>
      <c r="AD247" s="219"/>
      <c r="AE247" s="162">
        <f>SUM(AE198:AE246)</f>
        <v>11086076</v>
      </c>
      <c r="AF247" s="219"/>
      <c r="AG247" s="162">
        <f>SUM(AG198:AG246)</f>
        <v>4938356.943305498</v>
      </c>
      <c r="AH247" s="219"/>
      <c r="AI247" s="162">
        <f>SUM(AI198:AI246)</f>
        <v>2821151.2547</v>
      </c>
      <c r="AJ247" s="219"/>
      <c r="AK247" s="162">
        <f>SUM(AK198:AK246)</f>
        <v>905024.6168451998</v>
      </c>
      <c r="AL247" s="219"/>
      <c r="AM247" s="162">
        <f>SUM(AM198:AM246)</f>
        <v>939952.4473999997</v>
      </c>
      <c r="AN247" s="219"/>
      <c r="AO247" s="162">
        <f>SUM(AO198:AO246)</f>
        <v>565793.6534</v>
      </c>
      <c r="AP247" s="219"/>
      <c r="AQ247" s="162">
        <f>SUM(AQ198:AQ246)</f>
        <v>129346.1496</v>
      </c>
      <c r="AR247" s="219"/>
      <c r="AS247" s="162">
        <f>SUM(AS198:AS246)</f>
        <v>47323.768800000005</v>
      </c>
      <c r="AT247" s="219"/>
      <c r="AU247" s="162">
        <f>SUM(AU198:AU246)</f>
        <v>279856.4860558</v>
      </c>
      <c r="AV247" s="219"/>
      <c r="AW247" s="162">
        <f>SUM(AW198:AW246)</f>
        <v>459270.6798934999</v>
      </c>
      <c r="AY247" s="193"/>
    </row>
    <row r="248" spans="1:51" s="137" customFormat="1" ht="7.5" customHeight="1">
      <c r="A248" s="464"/>
      <c r="B248" s="464"/>
      <c r="C248" s="236"/>
      <c r="D248" s="241"/>
      <c r="E248" s="310"/>
      <c r="F248" s="311"/>
      <c r="G248" s="141"/>
      <c r="H248" s="162"/>
      <c r="I248" s="219"/>
      <c r="J248" s="162"/>
      <c r="K248" s="220"/>
      <c r="L248" s="162"/>
      <c r="M248" s="220"/>
      <c r="N248" s="162"/>
      <c r="O248" s="220"/>
      <c r="P248" s="162"/>
      <c r="Q248" s="220"/>
      <c r="R248" s="162"/>
      <c r="S248" s="220"/>
      <c r="T248" s="162"/>
      <c r="U248" s="220"/>
      <c r="V248" s="162"/>
      <c r="X248" s="313"/>
      <c r="AA248" s="241"/>
      <c r="AE248" s="306"/>
      <c r="AF248" s="306"/>
      <c r="AG248" s="306"/>
      <c r="AH248" s="306"/>
      <c r="AI248" s="306"/>
      <c r="AJ248" s="306"/>
      <c r="AK248" s="306"/>
      <c r="AL248" s="306"/>
      <c r="AM248" s="306"/>
      <c r="AN248" s="306"/>
      <c r="AO248" s="306"/>
      <c r="AP248" s="306"/>
      <c r="AQ248" s="306"/>
      <c r="AR248" s="306"/>
      <c r="AS248" s="306"/>
      <c r="AT248" s="306"/>
      <c r="AU248" s="306"/>
      <c r="AV248" s="306"/>
      <c r="AW248" s="306"/>
      <c r="AY248" s="193"/>
    </row>
    <row r="249" spans="1:51" s="137" customFormat="1" ht="12.75">
      <c r="A249" s="464"/>
      <c r="B249" s="464"/>
      <c r="C249" s="236"/>
      <c r="D249" s="470" t="s">
        <v>255</v>
      </c>
      <c r="E249" s="310"/>
      <c r="F249" s="311"/>
      <c r="G249" s="141"/>
      <c r="H249" s="162"/>
      <c r="I249" s="219"/>
      <c r="J249" s="162"/>
      <c r="K249" s="220"/>
      <c r="L249" s="162"/>
      <c r="M249" s="220"/>
      <c r="N249" s="162"/>
      <c r="O249" s="220"/>
      <c r="P249" s="162"/>
      <c r="Q249" s="220"/>
      <c r="R249" s="162"/>
      <c r="S249" s="220"/>
      <c r="T249" s="162"/>
      <c r="U249" s="220"/>
      <c r="V249" s="162"/>
      <c r="X249" s="313"/>
      <c r="AA249" s="470" t="s">
        <v>255</v>
      </c>
      <c r="AE249" s="306"/>
      <c r="AF249" s="306"/>
      <c r="AG249" s="306"/>
      <c r="AH249" s="306"/>
      <c r="AI249" s="306"/>
      <c r="AJ249" s="306"/>
      <c r="AK249" s="306"/>
      <c r="AL249" s="306"/>
      <c r="AM249" s="306"/>
      <c r="AN249" s="306"/>
      <c r="AO249" s="306"/>
      <c r="AP249" s="306"/>
      <c r="AQ249" s="306"/>
      <c r="AR249" s="306"/>
      <c r="AS249" s="306"/>
      <c r="AT249" s="306"/>
      <c r="AU249" s="306"/>
      <c r="AV249" s="306"/>
      <c r="AW249" s="306"/>
      <c r="AY249" s="193"/>
    </row>
    <row r="250" spans="1:51" s="137" customFormat="1" ht="12.75">
      <c r="A250" s="316"/>
      <c r="B250" s="295"/>
      <c r="C250" s="236"/>
      <c r="D250" s="241" t="s">
        <v>260</v>
      </c>
      <c r="E250" s="310"/>
      <c r="F250" s="311">
        <v>18</v>
      </c>
      <c r="G250" s="241"/>
      <c r="H250" s="376">
        <v>80243.72</v>
      </c>
      <c r="I250" s="219"/>
      <c r="J250" s="235">
        <f>(VLOOKUP($F250,Factors,J$384))*$H250</f>
        <v>39993.470048</v>
      </c>
      <c r="K250" s="373"/>
      <c r="L250" s="235">
        <f>(VLOOKUP($F250,Factors,L$384))*$H250</f>
        <v>21312.732032</v>
      </c>
      <c r="M250" s="373"/>
      <c r="N250" s="235">
        <f>(VLOOKUP($F250,Factors,N$384))*$H250</f>
        <v>2471.506576</v>
      </c>
      <c r="O250" s="373"/>
      <c r="P250" s="235">
        <f>(VLOOKUP($F250,Factors,P$384))*$H250</f>
        <v>7607.1046559999995</v>
      </c>
      <c r="Q250" s="373"/>
      <c r="R250" s="235">
        <f>(VLOOKUP($F250,Factors,R$384))*$H250</f>
        <v>2174.604812</v>
      </c>
      <c r="S250" s="373"/>
      <c r="T250" s="235">
        <f>(VLOOKUP($F250,Factors,T$384))*$H250</f>
        <v>2455.457832</v>
      </c>
      <c r="U250" s="373"/>
      <c r="V250" s="235">
        <f>(VLOOKUP($F250,Factors,V$384))*$H250</f>
        <v>4228.8440439999995</v>
      </c>
      <c r="W250" s="236"/>
      <c r="X250" s="236"/>
      <c r="AA250" s="241" t="s">
        <v>260</v>
      </c>
      <c r="AC250" s="280">
        <f>+F250</f>
        <v>18</v>
      </c>
      <c r="AD250"/>
      <c r="AE250" s="161">
        <f>+H250</f>
        <v>80243.72</v>
      </c>
      <c r="AF250"/>
      <c r="AG250" s="148">
        <f>(VLOOKUP($AC250,func,AG$384))*$AE250</f>
        <v>36534.965716</v>
      </c>
      <c r="AH250" s="148"/>
      <c r="AI250" s="148">
        <f>(VLOOKUP($AC250,func,AI$384))*$AE250</f>
        <v>19852.296328</v>
      </c>
      <c r="AJ250" s="148"/>
      <c r="AK250" s="148">
        <f>(VLOOKUP($AC250,func,AK$384))*$AE250</f>
        <v>8754.589852000001</v>
      </c>
      <c r="AL250" s="148"/>
      <c r="AM250" s="148">
        <f>(VLOOKUP($AC250,func,AM$384))*$AE250</f>
        <v>5272.012404</v>
      </c>
      <c r="AN250" s="148"/>
      <c r="AO250" s="148">
        <f>(VLOOKUP($AC250,func,AO$384))*$AE250</f>
        <v>1805.4837</v>
      </c>
      <c r="AP250" s="148"/>
      <c r="AQ250" s="148">
        <f>(VLOOKUP($AC250,func,AQ$384))*$AE250</f>
        <v>1163.53394</v>
      </c>
      <c r="AR250" s="148"/>
      <c r="AS250" s="148">
        <f>(VLOOKUP($AC250,func,AS$384))*$AE250</f>
        <v>256.779904</v>
      </c>
      <c r="AT250" s="148"/>
      <c r="AU250" s="148">
        <f>(VLOOKUP($AC250,func,AU$384))*$AE250</f>
        <v>2415.335972</v>
      </c>
      <c r="AV250" s="148"/>
      <c r="AW250" s="148">
        <f>(VLOOKUP($AC250,func,AW$384))*$AE250</f>
        <v>4188.722184</v>
      </c>
      <c r="AX250"/>
      <c r="AY250" s="193"/>
    </row>
    <row r="251" spans="1:51" s="137" customFormat="1" ht="12.75">
      <c r="A251" s="316"/>
      <c r="B251" s="295"/>
      <c r="C251" s="236"/>
      <c r="D251" s="241" t="s">
        <v>261</v>
      </c>
      <c r="E251" s="310"/>
      <c r="F251" s="311">
        <v>18</v>
      </c>
      <c r="G251" s="241"/>
      <c r="H251" s="376">
        <v>7613.75</v>
      </c>
      <c r="I251" s="219"/>
      <c r="J251" s="235">
        <f>(VLOOKUP($F251,Factors,J$384))*$H251</f>
        <v>3794.693</v>
      </c>
      <c r="K251" s="373"/>
      <c r="L251" s="235">
        <f>(VLOOKUP($F251,Factors,L$384))*$H251</f>
        <v>2022.212</v>
      </c>
      <c r="M251" s="373"/>
      <c r="N251" s="235">
        <f>(VLOOKUP($F251,Factors,N$384))*$H251</f>
        <v>234.5035</v>
      </c>
      <c r="O251" s="373"/>
      <c r="P251" s="235">
        <f>(VLOOKUP($F251,Factors,P$384))*$H251</f>
        <v>721.7835</v>
      </c>
      <c r="Q251" s="373"/>
      <c r="R251" s="235">
        <f>(VLOOKUP($F251,Factors,R$384))*$H251</f>
        <v>206.332625</v>
      </c>
      <c r="S251" s="373"/>
      <c r="T251" s="235">
        <f>(VLOOKUP($F251,Factors,T$384))*$H251</f>
        <v>232.98075</v>
      </c>
      <c r="U251" s="373"/>
      <c r="V251" s="235">
        <f>(VLOOKUP($F251,Factors,V$384))*$H251</f>
        <v>401.244625</v>
      </c>
      <c r="W251" s="236"/>
      <c r="X251" s="236"/>
      <c r="AA251" s="241" t="s">
        <v>261</v>
      </c>
      <c r="AC251" s="280">
        <f>+F251</f>
        <v>18</v>
      </c>
      <c r="AD251"/>
      <c r="AE251" s="161">
        <f>+H251</f>
        <v>7613.75</v>
      </c>
      <c r="AF251"/>
      <c r="AG251" s="148">
        <f>(VLOOKUP($AC251,func,AG$384))*$AE251</f>
        <v>3466.540375</v>
      </c>
      <c r="AH251" s="148"/>
      <c r="AI251" s="148">
        <f>(VLOOKUP($AC251,func,AI$384))*$AE251</f>
        <v>1883.64175</v>
      </c>
      <c r="AJ251" s="148"/>
      <c r="AK251" s="148">
        <f>(VLOOKUP($AC251,func,AK$384))*$AE251</f>
        <v>830.660125</v>
      </c>
      <c r="AL251" s="148"/>
      <c r="AM251" s="148">
        <f>(VLOOKUP($AC251,func,AM$384))*$AE251</f>
        <v>500.223375</v>
      </c>
      <c r="AN251" s="148"/>
      <c r="AO251" s="148">
        <f>(VLOOKUP($AC251,func,AO$384))*$AE251</f>
        <v>171.309375</v>
      </c>
      <c r="AP251" s="148"/>
      <c r="AQ251" s="148">
        <f>(VLOOKUP($AC251,func,AQ$384))*$AE251</f>
        <v>110.399375</v>
      </c>
      <c r="AR251" s="148"/>
      <c r="AS251" s="148">
        <f>(VLOOKUP($AC251,func,AS$384))*$AE251</f>
        <v>24.364</v>
      </c>
      <c r="AT251" s="148"/>
      <c r="AU251" s="148">
        <f>(VLOOKUP($AC251,func,AU$384))*$AE251</f>
        <v>229.17387499999998</v>
      </c>
      <c r="AV251" s="148"/>
      <c r="AW251" s="148">
        <f>(VLOOKUP($AC251,func,AW$384))*$AE251</f>
        <v>397.43775000000005</v>
      </c>
      <c r="AX251"/>
      <c r="AY251" s="193"/>
    </row>
    <row r="252" spans="1:51" s="137" customFormat="1" ht="12.75">
      <c r="A252" s="316"/>
      <c r="B252" s="295"/>
      <c r="C252" s="236"/>
      <c r="D252" s="241" t="s">
        <v>262</v>
      </c>
      <c r="E252" s="310"/>
      <c r="F252" s="311">
        <v>2</v>
      </c>
      <c r="G252" s="241"/>
      <c r="H252" s="469">
        <v>145863.06</v>
      </c>
      <c r="I252" s="219"/>
      <c r="J252" s="468">
        <f>(VLOOKUP($F252,Factors,J$384))*$H252</f>
        <v>73033.63414199998</v>
      </c>
      <c r="K252" s="219"/>
      <c r="L252" s="468">
        <f>(VLOOKUP($F252,Factors,L$384))*$H252</f>
        <v>44677.855278</v>
      </c>
      <c r="M252" s="219"/>
      <c r="N252" s="468">
        <f>(VLOOKUP($F252,Factors,N$384))*$H252</f>
        <v>5586.555198</v>
      </c>
      <c r="O252" s="219"/>
      <c r="P252" s="468">
        <f>(VLOOKUP($F252,Factors,P$384))*$H252</f>
        <v>17036.805408</v>
      </c>
      <c r="Q252" s="219"/>
      <c r="R252" s="468">
        <f>(VLOOKUP($F252,Factors,R$384))*$H252</f>
        <v>5046.861876</v>
      </c>
      <c r="S252" s="219"/>
      <c r="T252" s="468">
        <f>(VLOOKUP($F252,Factors,T$384))*$H252</f>
        <v>218.79459</v>
      </c>
      <c r="U252" s="219"/>
      <c r="V252" s="468">
        <f>(VLOOKUP($F252,Factors,V$384))*$H252</f>
        <v>262.55350799999997</v>
      </c>
      <c r="W252" s="236"/>
      <c r="X252" s="236"/>
      <c r="AA252" s="241" t="s">
        <v>262</v>
      </c>
      <c r="AC252" s="280">
        <f>+F252</f>
        <v>2</v>
      </c>
      <c r="AD252"/>
      <c r="AE252" s="317">
        <f>+H252</f>
        <v>145863.06</v>
      </c>
      <c r="AF252"/>
      <c r="AG252" s="149">
        <f>(VLOOKUP($AC252,func,AG$384))*$AE252</f>
        <v>87926.252568</v>
      </c>
      <c r="AH252" s="148"/>
      <c r="AI252" s="149">
        <f>(VLOOKUP($AC252,func,AI$384))*$AE252</f>
        <v>57455.45933399999</v>
      </c>
      <c r="AJ252" s="148"/>
      <c r="AK252" s="149">
        <f>(VLOOKUP($AC252,func,AK$384))*$AE252</f>
        <v>0</v>
      </c>
      <c r="AL252" s="148"/>
      <c r="AM252" s="149">
        <f>(VLOOKUP($AC252,func,AM$384))*$AE252</f>
        <v>0</v>
      </c>
      <c r="AN252" s="148"/>
      <c r="AO252" s="149">
        <f>(VLOOKUP($AC252,func,AO$384))*$AE252</f>
        <v>0</v>
      </c>
      <c r="AP252" s="148"/>
      <c r="AQ252" s="149">
        <f>(VLOOKUP($AC252,func,AQ$384))*$AE252</f>
        <v>0</v>
      </c>
      <c r="AR252" s="148"/>
      <c r="AS252" s="149">
        <f>(VLOOKUP($AC252,func,AS$384))*$AE252</f>
        <v>0</v>
      </c>
      <c r="AT252" s="148"/>
      <c r="AU252" s="149">
        <f>(VLOOKUP($AC252,func,AU$384))*$AE252</f>
        <v>218.79459</v>
      </c>
      <c r="AV252" s="148"/>
      <c r="AW252" s="149">
        <f>(VLOOKUP($AC252,func,AW$384))*$AE252</f>
        <v>262.55350799999997</v>
      </c>
      <c r="AX252"/>
      <c r="AY252" s="193"/>
    </row>
    <row r="253" spans="1:51" s="137" customFormat="1" ht="12.75">
      <c r="A253" s="316"/>
      <c r="B253" s="295"/>
      <c r="C253" s="236"/>
      <c r="D253" s="241"/>
      <c r="E253" s="310"/>
      <c r="F253" s="311"/>
      <c r="G253" s="241"/>
      <c r="H253" s="376"/>
      <c r="I253" s="219"/>
      <c r="J253" s="162"/>
      <c r="K253" s="219"/>
      <c r="L253" s="162"/>
      <c r="M253" s="219"/>
      <c r="N253" s="162"/>
      <c r="O253" s="219"/>
      <c r="P253" s="162"/>
      <c r="Q253" s="219"/>
      <c r="R253" s="162"/>
      <c r="S253" s="219"/>
      <c r="T253" s="162"/>
      <c r="U253" s="219"/>
      <c r="V253" s="162"/>
      <c r="X253" s="313"/>
      <c r="AA253" s="241"/>
      <c r="AC253" s="314"/>
      <c r="AE253" s="220"/>
      <c r="AG253" s="220"/>
      <c r="AI253" s="220"/>
      <c r="AK253" s="220"/>
      <c r="AM253" s="220"/>
      <c r="AO253" s="220"/>
      <c r="AQ253" s="220"/>
      <c r="AS253" s="220"/>
      <c r="AU253" s="220"/>
      <c r="AW253" s="220"/>
      <c r="AY253" s="193"/>
    </row>
    <row r="254" spans="1:51" s="137" customFormat="1" ht="12.75">
      <c r="A254" s="316"/>
      <c r="B254" s="295"/>
      <c r="C254" s="236"/>
      <c r="D254" s="241" t="s">
        <v>263</v>
      </c>
      <c r="E254" s="310"/>
      <c r="F254" s="311"/>
      <c r="G254" s="241"/>
      <c r="H254" s="376">
        <f>SUM(H250:H253)</f>
        <v>233720.53</v>
      </c>
      <c r="I254" s="241"/>
      <c r="J254" s="376">
        <f>SUM(J250:J253)</f>
        <v>116821.79718999998</v>
      </c>
      <c r="K254" s="241"/>
      <c r="L254" s="376">
        <f>SUM(L250:L253)</f>
        <v>68012.79931</v>
      </c>
      <c r="M254" s="241"/>
      <c r="N254" s="376">
        <f>SUM(N250:N253)</f>
        <v>8292.565274</v>
      </c>
      <c r="O254" s="241"/>
      <c r="P254" s="376">
        <f>SUM(P250:P253)</f>
        <v>25365.693564</v>
      </c>
      <c r="Q254" s="241"/>
      <c r="R254" s="376">
        <f>SUM(R250:R253)</f>
        <v>7427.7993129999995</v>
      </c>
      <c r="S254" s="241"/>
      <c r="T254" s="376">
        <f>SUM(T250:T253)</f>
        <v>2907.233172</v>
      </c>
      <c r="U254" s="241"/>
      <c r="V254" s="376">
        <f>SUM(V250:V253)</f>
        <v>4892.642177</v>
      </c>
      <c r="X254" s="313"/>
      <c r="AA254" s="241" t="s">
        <v>263</v>
      </c>
      <c r="AC254" s="314"/>
      <c r="AE254" s="376">
        <f>SUM(AE250:AE253)</f>
        <v>233720.53</v>
      </c>
      <c r="AG254" s="376">
        <f>SUM(AG250:AG253)</f>
        <v>127927.75865899998</v>
      </c>
      <c r="AI254" s="376">
        <f>SUM(AI250:AI253)</f>
        <v>79191.39741199999</v>
      </c>
      <c r="AK254" s="376">
        <f>SUM(AK250:AK253)</f>
        <v>9585.249977000001</v>
      </c>
      <c r="AM254" s="376">
        <f>SUM(AM250:AM253)</f>
        <v>5772.235779</v>
      </c>
      <c r="AO254" s="376">
        <f>SUM(AO250:AO253)</f>
        <v>1976.793075</v>
      </c>
      <c r="AQ254" s="376">
        <f>SUM(AQ250:AQ253)</f>
        <v>1273.933315</v>
      </c>
      <c r="AS254" s="376">
        <f>SUM(AS250:AS253)</f>
        <v>281.14390399999996</v>
      </c>
      <c r="AU254" s="376">
        <f>SUM(AU250:AU253)</f>
        <v>2863.304437</v>
      </c>
      <c r="AW254" s="376">
        <f>SUM(AW250:AW253)</f>
        <v>4848.713442</v>
      </c>
      <c r="AY254" s="193"/>
    </row>
    <row r="255" spans="1:51" s="137" customFormat="1" ht="12.75">
      <c r="A255" s="316"/>
      <c r="B255" s="295"/>
      <c r="C255" s="236"/>
      <c r="D255" s="241"/>
      <c r="E255" s="310"/>
      <c r="F255" s="311"/>
      <c r="G255" s="241"/>
      <c r="H255" s="376"/>
      <c r="I255" s="219"/>
      <c r="J255" s="162"/>
      <c r="K255" s="220"/>
      <c r="L255" s="162"/>
      <c r="M255" s="220"/>
      <c r="N255" s="162"/>
      <c r="O255" s="220"/>
      <c r="P255" s="162"/>
      <c r="Q255" s="220"/>
      <c r="R255" s="162"/>
      <c r="S255" s="220"/>
      <c r="T255" s="162"/>
      <c r="U255" s="220"/>
      <c r="V255" s="162"/>
      <c r="X255" s="313"/>
      <c r="AA255" s="241"/>
      <c r="AC255" s="314"/>
      <c r="AE255" s="220"/>
      <c r="AF255" s="306"/>
      <c r="AG255" s="162"/>
      <c r="AH255" s="162"/>
      <c r="AI255" s="162"/>
      <c r="AJ255" s="162"/>
      <c r="AK255" s="162"/>
      <c r="AL255" s="162"/>
      <c r="AM255" s="162"/>
      <c r="AN255" s="162"/>
      <c r="AO255" s="162"/>
      <c r="AP255" s="162"/>
      <c r="AQ255" s="162"/>
      <c r="AR255" s="162"/>
      <c r="AS255" s="162"/>
      <c r="AT255" s="162"/>
      <c r="AU255" s="162"/>
      <c r="AV255" s="162"/>
      <c r="AW255" s="162"/>
      <c r="AY255" s="193"/>
    </row>
    <row r="256" spans="1:51" s="137" customFormat="1" ht="12.75">
      <c r="A256" s="316"/>
      <c r="B256" s="295"/>
      <c r="C256" s="236"/>
      <c r="D256" s="470" t="s">
        <v>264</v>
      </c>
      <c r="E256" s="310"/>
      <c r="F256" s="311"/>
      <c r="G256" s="241"/>
      <c r="H256" s="376"/>
      <c r="I256" s="219"/>
      <c r="J256" s="162"/>
      <c r="K256" s="220"/>
      <c r="L256" s="162"/>
      <c r="M256" s="220"/>
      <c r="N256" s="162"/>
      <c r="O256" s="220"/>
      <c r="P256" s="162"/>
      <c r="Q256" s="220"/>
      <c r="R256" s="162"/>
      <c r="S256" s="220"/>
      <c r="T256" s="162"/>
      <c r="U256" s="220"/>
      <c r="V256" s="162"/>
      <c r="X256" s="313"/>
      <c r="AA256" s="470" t="s">
        <v>264</v>
      </c>
      <c r="AC256" s="314"/>
      <c r="AE256" s="220"/>
      <c r="AF256" s="306"/>
      <c r="AG256" s="162"/>
      <c r="AH256" s="162"/>
      <c r="AI256" s="162"/>
      <c r="AJ256" s="162"/>
      <c r="AK256" s="162"/>
      <c r="AL256" s="162"/>
      <c r="AM256" s="162"/>
      <c r="AN256" s="162"/>
      <c r="AO256" s="162"/>
      <c r="AP256" s="162"/>
      <c r="AQ256" s="162"/>
      <c r="AR256" s="162"/>
      <c r="AS256" s="162"/>
      <c r="AT256" s="162"/>
      <c r="AU256" s="162"/>
      <c r="AV256" s="162"/>
      <c r="AW256" s="162"/>
      <c r="AY256" s="193"/>
    </row>
    <row r="257" spans="1:51" s="137" customFormat="1" ht="14.25" customHeight="1">
      <c r="A257" s="306"/>
      <c r="B257" s="306"/>
      <c r="C257" s="236"/>
      <c r="D257" s="241" t="s">
        <v>265</v>
      </c>
      <c r="E257" s="310"/>
      <c r="F257" s="311">
        <v>16</v>
      </c>
      <c r="G257" s="241"/>
      <c r="H257" s="376">
        <v>621307</v>
      </c>
      <c r="I257" s="219"/>
      <c r="J257" s="235">
        <f>(VLOOKUP($F257,Factors,J$384))*$H257</f>
        <v>347683.3972</v>
      </c>
      <c r="K257" s="373"/>
      <c r="L257" s="235">
        <f>(VLOOKUP($F257,Factors,L$384))*$H257</f>
        <v>153711.3518</v>
      </c>
      <c r="M257" s="373"/>
      <c r="N257" s="235">
        <f>(VLOOKUP($F257,Factors,N$384))*$H257</f>
        <v>17085.9425</v>
      </c>
      <c r="O257" s="373"/>
      <c r="P257" s="235">
        <f>(VLOOKUP($F257,Factors,P$384))*$H257</f>
        <v>52189.788</v>
      </c>
      <c r="Q257" s="373"/>
      <c r="R257" s="235">
        <f>(VLOOKUP($F257,Factors,R$384))*$H257</f>
        <v>14849.2373</v>
      </c>
      <c r="S257" s="373"/>
      <c r="T257" s="235">
        <f>(VLOOKUP($F257,Factors,T$384))*$H257</f>
        <v>17645.1188</v>
      </c>
      <c r="U257" s="373"/>
      <c r="V257" s="235">
        <f>(VLOOKUP($F257,Factors,V$384))*$H257</f>
        <v>18142.1644</v>
      </c>
      <c r="W257" s="236"/>
      <c r="X257" s="236"/>
      <c r="AA257" s="241" t="s">
        <v>265</v>
      </c>
      <c r="AC257" s="280">
        <f>+F257</f>
        <v>16</v>
      </c>
      <c r="AD257"/>
      <c r="AE257" s="161">
        <f>+H257</f>
        <v>621307</v>
      </c>
      <c r="AF257"/>
      <c r="AG257" s="148">
        <f>(VLOOKUP($AC257,func,AG$384))*$AE257</f>
        <v>241688.423</v>
      </c>
      <c r="AH257" s="148"/>
      <c r="AI257" s="148">
        <f>(VLOOKUP($AC257,func,AI$384))*$AE257</f>
        <v>113388.5275</v>
      </c>
      <c r="AJ257" s="148"/>
      <c r="AK257" s="148">
        <f>(VLOOKUP($AC257,func,AK$384))*$AE257</f>
        <v>102950.56989999999</v>
      </c>
      <c r="AL257" s="148"/>
      <c r="AM257" s="148">
        <f>(VLOOKUP($AC257,func,AM$384))*$AE257</f>
        <v>9568.1278</v>
      </c>
      <c r="AN257" s="148"/>
      <c r="AO257" s="148">
        <f>(VLOOKUP($AC257,func,AO$384))*$AE257</f>
        <v>27710.2922</v>
      </c>
      <c r="AP257" s="148"/>
      <c r="AQ257" s="148">
        <f>(VLOOKUP($AC257,func,AQ$384))*$AE257</f>
        <v>83503.6608</v>
      </c>
      <c r="AR257" s="148"/>
      <c r="AS257" s="148">
        <f>(VLOOKUP($AC257,func,AS$384))*$AE257</f>
        <v>7642.0761</v>
      </c>
      <c r="AT257" s="148"/>
      <c r="AU257" s="148">
        <f>(VLOOKUP($AC257,func,AU$384))*$AE257</f>
        <v>16713.1583</v>
      </c>
      <c r="AV257" s="148"/>
      <c r="AW257" s="148">
        <f>(VLOOKUP($AC257,func,AW$384))*$AE257</f>
        <v>18142.1644</v>
      </c>
      <c r="AX257"/>
      <c r="AY257" s="193"/>
    </row>
    <row r="258" spans="1:51" s="137" customFormat="1" ht="15" customHeight="1">
      <c r="A258" s="306"/>
      <c r="B258" s="306"/>
      <c r="C258" s="236"/>
      <c r="D258" s="241" t="s">
        <v>266</v>
      </c>
      <c r="E258" s="310"/>
      <c r="F258" s="311">
        <v>18</v>
      </c>
      <c r="G258" s="241"/>
      <c r="H258" s="376">
        <v>4429174</v>
      </c>
      <c r="I258" s="219"/>
      <c r="J258" s="235">
        <f>(VLOOKUP($F258,Factors,J$384))*$H258</f>
        <v>2207500.3216</v>
      </c>
      <c r="K258" s="373"/>
      <c r="L258" s="235">
        <f>(VLOOKUP($F258,Factors,L$384))*$H258</f>
        <v>1176388.6144</v>
      </c>
      <c r="M258" s="373"/>
      <c r="N258" s="235">
        <f>(VLOOKUP($F258,Factors,N$384))*$H258</f>
        <v>136418.55920000002</v>
      </c>
      <c r="O258" s="373"/>
      <c r="P258" s="235">
        <f>(VLOOKUP($F258,Factors,P$384))*$H258</f>
        <v>419885.69519999996</v>
      </c>
      <c r="Q258" s="373"/>
      <c r="R258" s="235">
        <f>(VLOOKUP($F258,Factors,R$384))*$H258</f>
        <v>120030.6154</v>
      </c>
      <c r="S258" s="373"/>
      <c r="T258" s="235">
        <f>(VLOOKUP($F258,Factors,T$384))*$H258</f>
        <v>135532.7244</v>
      </c>
      <c r="U258" s="373"/>
      <c r="V258" s="235">
        <f>(VLOOKUP($F258,Factors,V$384))*$H258</f>
        <v>233417.4698</v>
      </c>
      <c r="W258" s="236"/>
      <c r="X258" s="236"/>
      <c r="AA258" s="241" t="s">
        <v>266</v>
      </c>
      <c r="AC258" s="280">
        <f>+F258</f>
        <v>18</v>
      </c>
      <c r="AD258"/>
      <c r="AE258" s="161">
        <f>+H258</f>
        <v>4429174</v>
      </c>
      <c r="AF258"/>
      <c r="AG258" s="148">
        <f>(VLOOKUP($AC258,func,AG$384))*$AE258</f>
        <v>2016602.9222</v>
      </c>
      <c r="AH258" s="148"/>
      <c r="AI258" s="148">
        <f>(VLOOKUP($AC258,func,AI$384))*$AE258</f>
        <v>1095777.6476</v>
      </c>
      <c r="AJ258" s="148"/>
      <c r="AK258" s="148">
        <f>(VLOOKUP($AC258,func,AK$384))*$AE258</f>
        <v>483222.8834</v>
      </c>
      <c r="AL258" s="148"/>
      <c r="AM258" s="148">
        <f>(VLOOKUP($AC258,func,AM$384))*$AE258</f>
        <v>290996.73179999995</v>
      </c>
      <c r="AN258" s="148"/>
      <c r="AO258" s="148">
        <f>(VLOOKUP($AC258,func,AO$384))*$AE258</f>
        <v>99656.415</v>
      </c>
      <c r="AP258" s="148"/>
      <c r="AQ258" s="148">
        <f>(VLOOKUP($AC258,func,AQ$384))*$AE258</f>
        <v>64223.023</v>
      </c>
      <c r="AR258" s="148"/>
      <c r="AS258" s="148">
        <f>(VLOOKUP($AC258,func,AS$384))*$AE258</f>
        <v>14173.356800000001</v>
      </c>
      <c r="AT258" s="148"/>
      <c r="AU258" s="148">
        <f>(VLOOKUP($AC258,func,AU$384))*$AE258</f>
        <v>133318.1374</v>
      </c>
      <c r="AV258" s="148"/>
      <c r="AW258" s="148">
        <f>(VLOOKUP($AC258,func,AW$384))*$AE258</f>
        <v>231202.88280000002</v>
      </c>
      <c r="AX258"/>
      <c r="AY258" s="193"/>
    </row>
    <row r="259" spans="1:51" ht="14.25" customHeight="1">
      <c r="A259" s="306"/>
      <c r="B259" s="306"/>
      <c r="C259" s="236"/>
      <c r="D259" s="241" t="s">
        <v>267</v>
      </c>
      <c r="E259" s="310"/>
      <c r="F259" s="311">
        <v>19</v>
      </c>
      <c r="G259" s="241"/>
      <c r="H259" s="376">
        <v>151649</v>
      </c>
      <c r="I259" s="219"/>
      <c r="J259" s="235">
        <f>(VLOOKUP($F259,Factors,J$384))*$H259</f>
        <v>81951.1196</v>
      </c>
      <c r="K259" s="373"/>
      <c r="L259" s="235">
        <f>(VLOOKUP($F259,Factors,L$384))*$H259</f>
        <v>38124.558600000004</v>
      </c>
      <c r="M259" s="373"/>
      <c r="N259" s="235">
        <f>(VLOOKUP($F259,Factors,N$384))*$H259</f>
        <v>4337.1614</v>
      </c>
      <c r="O259" s="373"/>
      <c r="P259" s="235">
        <f>(VLOOKUP($F259,Factors,P$384))*$H259</f>
        <v>13329.947100000001</v>
      </c>
      <c r="Q259" s="373"/>
      <c r="R259" s="235">
        <f>(VLOOKUP($F259,Factors,R$384))*$H259</f>
        <v>3821.5548</v>
      </c>
      <c r="S259" s="373"/>
      <c r="T259" s="235">
        <f>(VLOOKUP($F259,Factors,T$384))*$H259</f>
        <v>4170.3475</v>
      </c>
      <c r="U259" s="373"/>
      <c r="V259" s="235">
        <f>(VLOOKUP($F259,Factors,V$384))*$H259</f>
        <v>5914.311</v>
      </c>
      <c r="W259" s="236"/>
      <c r="X259" s="236"/>
      <c r="AA259" s="241" t="s">
        <v>267</v>
      </c>
      <c r="AC259" s="280">
        <f>+F259</f>
        <v>19</v>
      </c>
      <c r="AE259" s="161">
        <f>+H259</f>
        <v>151649</v>
      </c>
      <c r="AG259" s="148">
        <f>(VLOOKUP($AC259,func,AG$384))*$AE259</f>
        <v>67529.2997</v>
      </c>
      <c r="AH259" s="148"/>
      <c r="AI259" s="148">
        <f>(VLOOKUP($AC259,func,AI$384))*$AE259</f>
        <v>29859.6881</v>
      </c>
      <c r="AJ259" s="148"/>
      <c r="AK259" s="148">
        <f>(VLOOKUP($AC259,func,AK$384))*$AE259</f>
        <v>16332.597300000001</v>
      </c>
      <c r="AL259" s="148"/>
      <c r="AM259" s="148">
        <f>(VLOOKUP($AC259,func,AM$384))*$AE259</f>
        <v>6930.3593</v>
      </c>
      <c r="AN259" s="148"/>
      <c r="AO259" s="148">
        <f>(VLOOKUP($AC259,func,AO$384))*$AE259</f>
        <v>4200.6773</v>
      </c>
      <c r="AP259" s="148"/>
      <c r="AQ259" s="148">
        <f>(VLOOKUP($AC259,func,AQ$384))*$AE259</f>
        <v>14088.1921</v>
      </c>
      <c r="AR259" s="148"/>
      <c r="AS259" s="148">
        <f>(VLOOKUP($AC259,func,AS$384))*$AE259</f>
        <v>2851.0012</v>
      </c>
      <c r="AT259" s="148"/>
      <c r="AU259" s="148">
        <f>(VLOOKUP($AC259,func,AU$384))*$AE259</f>
        <v>4003.5335999999998</v>
      </c>
      <c r="AV259" s="148"/>
      <c r="AW259" s="148">
        <f>(VLOOKUP($AC259,func,AW$384))*$AE259</f>
        <v>5868.8162999999995</v>
      </c>
      <c r="AY259" s="193"/>
    </row>
    <row r="260" spans="1:51" ht="12.75">
      <c r="A260" s="316"/>
      <c r="B260" s="295"/>
      <c r="C260" s="236"/>
      <c r="D260" s="241" t="s">
        <v>268</v>
      </c>
      <c r="E260" s="310"/>
      <c r="F260" s="311">
        <v>18</v>
      </c>
      <c r="G260" s="241"/>
      <c r="H260" s="469">
        <v>0</v>
      </c>
      <c r="I260" s="219"/>
      <c r="J260" s="468">
        <f>(VLOOKUP($F260,Factors,J$384))*$H260</f>
        <v>0</v>
      </c>
      <c r="K260" s="219"/>
      <c r="L260" s="468">
        <f>(VLOOKUP($F260,Factors,L$384))*$H260</f>
        <v>0</v>
      </c>
      <c r="M260" s="219"/>
      <c r="N260" s="468">
        <f>(VLOOKUP($F260,Factors,N$384))*$H260</f>
        <v>0</v>
      </c>
      <c r="O260" s="219"/>
      <c r="P260" s="468">
        <f>(VLOOKUP($F260,Factors,P$384))*$H260</f>
        <v>0</v>
      </c>
      <c r="Q260" s="219"/>
      <c r="R260" s="468">
        <f>(VLOOKUP($F260,Factors,R$384))*$H260</f>
        <v>0</v>
      </c>
      <c r="S260" s="219"/>
      <c r="T260" s="468">
        <f>(VLOOKUP($F260,Factors,T$384))*$H260</f>
        <v>0</v>
      </c>
      <c r="U260" s="219"/>
      <c r="V260" s="468">
        <f>(VLOOKUP($F260,Factors,V$384))*$H260</f>
        <v>0</v>
      </c>
      <c r="W260" s="236"/>
      <c r="X260" s="236"/>
      <c r="AA260" s="241" t="s">
        <v>268</v>
      </c>
      <c r="AC260" s="280">
        <f>+F260</f>
        <v>18</v>
      </c>
      <c r="AE260" s="317">
        <f>+H260</f>
        <v>0</v>
      </c>
      <c r="AG260" s="149">
        <f>(VLOOKUP($AC260,func,AG$384))*$AE260</f>
        <v>0</v>
      </c>
      <c r="AI260" s="149">
        <f>(VLOOKUP($AC260,func,AI$384))*$AE260</f>
        <v>0</v>
      </c>
      <c r="AK260" s="149">
        <f>(VLOOKUP($AC260,func,AK$384))*$AE260</f>
        <v>0</v>
      </c>
      <c r="AM260" s="149">
        <f>(VLOOKUP($AC260,func,AM$384))*$AE260</f>
        <v>0</v>
      </c>
      <c r="AO260" s="149">
        <f>(VLOOKUP($AC260,func,AO$384))*$AE260</f>
        <v>0</v>
      </c>
      <c r="AQ260" s="149">
        <f>(VLOOKUP($AC260,func,AQ$384))*$AE260</f>
        <v>0</v>
      </c>
      <c r="AS260" s="149">
        <f>(VLOOKUP($AC260,func,AS$384))*$AE260</f>
        <v>0</v>
      </c>
      <c r="AU260" s="149">
        <f>(VLOOKUP($AC260,func,AU$384))*$AE260</f>
        <v>0</v>
      </c>
      <c r="AW260" s="149">
        <f>(VLOOKUP($AC260,func,AW$384))*$AE260</f>
        <v>0</v>
      </c>
      <c r="AY260" s="193"/>
    </row>
    <row r="261" spans="1:51" ht="12.75">
      <c r="A261" s="306"/>
      <c r="B261" s="306"/>
      <c r="C261" s="236"/>
      <c r="D261" s="241"/>
      <c r="E261" s="310"/>
      <c r="F261" s="311"/>
      <c r="G261" s="241"/>
      <c r="H261" s="376"/>
      <c r="I261" s="219"/>
      <c r="J261" s="162"/>
      <c r="K261" s="219"/>
      <c r="L261" s="162"/>
      <c r="M261" s="219"/>
      <c r="N261" s="162"/>
      <c r="O261" s="219"/>
      <c r="P261" s="162"/>
      <c r="Q261" s="219"/>
      <c r="R261" s="162"/>
      <c r="S261" s="219"/>
      <c r="T261" s="162"/>
      <c r="U261" s="219"/>
      <c r="V261" s="162"/>
      <c r="X261" s="236"/>
      <c r="AA261" s="241"/>
      <c r="AE261" s="163"/>
      <c r="AF261" s="163"/>
      <c r="AG261" s="163"/>
      <c r="AH261" s="163"/>
      <c r="AI261" s="163"/>
      <c r="AJ261" s="163"/>
      <c r="AK261" s="163"/>
      <c r="AL261" s="163"/>
      <c r="AM261" s="163"/>
      <c r="AN261" s="163"/>
      <c r="AO261" s="163"/>
      <c r="AP261" s="163"/>
      <c r="AQ261" s="163"/>
      <c r="AR261" s="163"/>
      <c r="AS261" s="163"/>
      <c r="AT261" s="163"/>
      <c r="AU261" s="163"/>
      <c r="AV261" s="163"/>
      <c r="AW261" s="163"/>
      <c r="AY261" s="193"/>
    </row>
    <row r="262" spans="1:51" ht="12.75">
      <c r="A262" s="306"/>
      <c r="B262" s="306"/>
      <c r="C262" s="236"/>
      <c r="D262" s="241" t="s">
        <v>597</v>
      </c>
      <c r="E262" s="310"/>
      <c r="F262" s="311"/>
      <c r="G262" s="241"/>
      <c r="H262" s="376">
        <f>SUM(H257:H261)</f>
        <v>5202130</v>
      </c>
      <c r="I262" s="241"/>
      <c r="J262" s="376">
        <f>SUM(J257:J261)</f>
        <v>2637134.8384</v>
      </c>
      <c r="K262" s="241"/>
      <c r="L262" s="376">
        <f>SUM(L257:L261)</f>
        <v>1368224.5248000002</v>
      </c>
      <c r="M262" s="241"/>
      <c r="N262" s="376">
        <f>SUM(N257:N261)</f>
        <v>157841.66310000003</v>
      </c>
      <c r="O262" s="241"/>
      <c r="P262" s="376">
        <f>SUM(P257:P261)</f>
        <v>485405.43029999995</v>
      </c>
      <c r="Q262" s="241"/>
      <c r="R262" s="376">
        <f>SUM(R257:R261)</f>
        <v>138701.4075</v>
      </c>
      <c r="S262" s="241"/>
      <c r="T262" s="376">
        <f>SUM(T257:T261)</f>
        <v>157348.1907</v>
      </c>
      <c r="U262" s="241"/>
      <c r="V262" s="376">
        <f>SUM(V257:V261)</f>
        <v>257473.9452</v>
      </c>
      <c r="X262" s="236"/>
      <c r="AA262" s="241" t="s">
        <v>597</v>
      </c>
      <c r="AC262" s="280"/>
      <c r="AE262" s="376">
        <f>SUM(AE257:AE261)</f>
        <v>5202130</v>
      </c>
      <c r="AG262" s="376">
        <f>SUM(AG257:AG261)</f>
        <v>2325820.6448999997</v>
      </c>
      <c r="AI262" s="376">
        <f>SUM(AI257:AI261)</f>
        <v>1239025.8632</v>
      </c>
      <c r="AK262" s="376">
        <f>SUM(AK257:AK261)</f>
        <v>602506.0506</v>
      </c>
      <c r="AM262" s="376">
        <f>SUM(AM257:AM261)</f>
        <v>307495.2189</v>
      </c>
      <c r="AO262" s="376">
        <f>SUM(AO257:AO261)</f>
        <v>131567.3845</v>
      </c>
      <c r="AQ262" s="376">
        <f>SUM(AQ257:AQ261)</f>
        <v>161814.87589999998</v>
      </c>
      <c r="AS262" s="376">
        <f>SUM(AS257:AS261)</f>
        <v>24666.4341</v>
      </c>
      <c r="AU262" s="376">
        <f>SUM(AU257:AU261)</f>
        <v>154034.8293</v>
      </c>
      <c r="AW262" s="376">
        <f>SUM(AW257:AW261)</f>
        <v>255213.86350000004</v>
      </c>
      <c r="AY262" s="193"/>
    </row>
    <row r="263" spans="1:51" ht="14.25" customHeight="1">
      <c r="A263" s="306"/>
      <c r="B263" s="306"/>
      <c r="C263" s="236"/>
      <c r="D263" s="241"/>
      <c r="E263" s="310"/>
      <c r="F263" s="311"/>
      <c r="G263" s="241"/>
      <c r="H263" s="376"/>
      <c r="I263" s="219"/>
      <c r="J263" s="162"/>
      <c r="K263" s="220"/>
      <c r="L263" s="220"/>
      <c r="M263" s="220"/>
      <c r="N263" s="220"/>
      <c r="O263" s="220"/>
      <c r="P263" s="220"/>
      <c r="Q263" s="220"/>
      <c r="R263" s="220"/>
      <c r="S263" s="220"/>
      <c r="T263" s="220"/>
      <c r="U263" s="220"/>
      <c r="V263" s="220"/>
      <c r="X263" s="236"/>
      <c r="AA263" s="241"/>
      <c r="AE263" s="163"/>
      <c r="AF263" s="163"/>
      <c r="AG263" s="163"/>
      <c r="AH263" s="163"/>
      <c r="AI263" s="163"/>
      <c r="AJ263" s="163"/>
      <c r="AK263" s="163"/>
      <c r="AL263" s="163"/>
      <c r="AM263" s="163"/>
      <c r="AN263" s="163"/>
      <c r="AO263" s="163"/>
      <c r="AP263" s="163"/>
      <c r="AQ263" s="163"/>
      <c r="AR263" s="163"/>
      <c r="AS263" s="163"/>
      <c r="AT263" s="163"/>
      <c r="AU263" s="163"/>
      <c r="AV263" s="163"/>
      <c r="AW263" s="163"/>
      <c r="AY263" s="193"/>
    </row>
    <row r="264" spans="1:51" ht="12.75">
      <c r="A264" s="306"/>
      <c r="B264" s="306"/>
      <c r="C264" s="236"/>
      <c r="D264" s="241"/>
      <c r="E264" s="310"/>
      <c r="F264" s="311"/>
      <c r="G264" s="241"/>
      <c r="H264" s="376"/>
      <c r="I264" s="219"/>
      <c r="J264" s="162"/>
      <c r="K264" s="219"/>
      <c r="L264" s="162"/>
      <c r="M264" s="219"/>
      <c r="N264" s="162"/>
      <c r="O264" s="219"/>
      <c r="P264" s="162"/>
      <c r="Q264" s="219"/>
      <c r="R264" s="162"/>
      <c r="S264" s="219"/>
      <c r="T264" s="162"/>
      <c r="U264" s="219"/>
      <c r="V264" s="162"/>
      <c r="X264" s="236"/>
      <c r="AA264" s="241"/>
      <c r="AE264" s="162"/>
      <c r="AF264" s="163"/>
      <c r="AG264" s="162"/>
      <c r="AH264" s="163"/>
      <c r="AI264" s="162"/>
      <c r="AJ264" s="163"/>
      <c r="AK264" s="162"/>
      <c r="AL264" s="163"/>
      <c r="AM264" s="162"/>
      <c r="AN264" s="163"/>
      <c r="AO264" s="162"/>
      <c r="AP264" s="163"/>
      <c r="AQ264" s="162"/>
      <c r="AR264" s="163"/>
      <c r="AS264" s="162"/>
      <c r="AT264" s="163"/>
      <c r="AU264" s="162"/>
      <c r="AV264" s="163"/>
      <c r="AW264" s="162"/>
      <c r="AY264" s="193"/>
    </row>
    <row r="265" spans="1:51" ht="13.5" customHeight="1">
      <c r="A265" s="306"/>
      <c r="B265" s="306"/>
      <c r="C265" s="309"/>
      <c r="D265" s="471" t="s">
        <v>269</v>
      </c>
      <c r="E265" s="310"/>
      <c r="F265" s="311">
        <v>18</v>
      </c>
      <c r="G265" s="241"/>
      <c r="H265" s="376">
        <v>11070812</v>
      </c>
      <c r="I265" s="163"/>
      <c r="J265" s="235">
        <f>(VLOOKUP($F265,Factors,J$384))*$H265</f>
        <v>5517692.7008</v>
      </c>
      <c r="K265" s="373"/>
      <c r="L265" s="235">
        <f>(VLOOKUP($F265,Factors,L$384))*$H265</f>
        <v>2940407.6672</v>
      </c>
      <c r="M265" s="373"/>
      <c r="N265" s="235">
        <f>(VLOOKUP($F265,Factors,N$384))*$H265</f>
        <v>340981.0096</v>
      </c>
      <c r="O265" s="373"/>
      <c r="P265" s="235">
        <f>(VLOOKUP($F265,Factors,P$384))*$H265</f>
        <v>1049512.9775999999</v>
      </c>
      <c r="Q265" s="373"/>
      <c r="R265" s="235">
        <f>(VLOOKUP($F265,Factors,R$384))*$H265</f>
        <v>300019.0052</v>
      </c>
      <c r="S265" s="373"/>
      <c r="T265" s="235">
        <f>(VLOOKUP($F265,Factors,T$384))*$H265</f>
        <v>338766.84719999996</v>
      </c>
      <c r="U265" s="373"/>
      <c r="V265" s="235">
        <f>(VLOOKUP($F265,Factors,V$384))*$H265</f>
        <v>583431.7923999999</v>
      </c>
      <c r="W265" s="236"/>
      <c r="X265" s="236"/>
      <c r="AA265" s="471" t="s">
        <v>269</v>
      </c>
      <c r="AC265" s="280">
        <f>+F265</f>
        <v>18</v>
      </c>
      <c r="AE265" s="161">
        <f>+H265</f>
        <v>11070812</v>
      </c>
      <c r="AG265" s="148">
        <f>(VLOOKUP($AC265,func,AG$384))*$AE265</f>
        <v>5040540.7036</v>
      </c>
      <c r="AH265" s="148"/>
      <c r="AI265" s="148">
        <f>(VLOOKUP($AC265,func,AI$384))*$AE265</f>
        <v>2738918.8888000003</v>
      </c>
      <c r="AJ265" s="148"/>
      <c r="AK265" s="148">
        <f>(VLOOKUP($AC265,func,AK$384))*$AE265</f>
        <v>1207825.5892</v>
      </c>
      <c r="AL265" s="148"/>
      <c r="AM265" s="148">
        <f>(VLOOKUP($AC265,func,AM$384))*$AE265</f>
        <v>727352.3483999999</v>
      </c>
      <c r="AN265" s="148"/>
      <c r="AO265" s="148">
        <f>(VLOOKUP($AC265,func,AO$384))*$AE265</f>
        <v>249093.27</v>
      </c>
      <c r="AP265" s="148"/>
      <c r="AQ265" s="148">
        <f>(VLOOKUP($AC265,func,AQ$384))*$AE265</f>
        <v>160526.774</v>
      </c>
      <c r="AR265" s="148"/>
      <c r="AS265" s="148">
        <f>(VLOOKUP($AC265,func,AS$384))*$AE265</f>
        <v>35426.5984</v>
      </c>
      <c r="AT265" s="148"/>
      <c r="AU265" s="148">
        <f>(VLOOKUP($AC265,func,AU$384))*$AE265</f>
        <v>333231.4412</v>
      </c>
      <c r="AV265" s="148"/>
      <c r="AW265" s="148">
        <f>(VLOOKUP($AC265,func,AW$384))*$AE265</f>
        <v>577896.3864000001</v>
      </c>
      <c r="AY265" s="193"/>
    </row>
    <row r="266" spans="1:51" ht="11.25" customHeight="1">
      <c r="A266" s="306"/>
      <c r="B266" s="306"/>
      <c r="C266" s="309"/>
      <c r="D266" s="241"/>
      <c r="E266" s="310"/>
      <c r="F266" s="311"/>
      <c r="G266" s="241"/>
      <c r="H266" s="376"/>
      <c r="I266" s="163"/>
      <c r="J266" s="460"/>
      <c r="K266" s="461"/>
      <c r="L266" s="460"/>
      <c r="M266" s="461"/>
      <c r="N266" s="460"/>
      <c r="O266" s="461"/>
      <c r="P266" s="460"/>
      <c r="Q266" s="461"/>
      <c r="R266" s="460"/>
      <c r="S266" s="461"/>
      <c r="T266" s="460"/>
      <c r="U266" s="461"/>
      <c r="V266" s="460"/>
      <c r="X266" s="193"/>
      <c r="AA266" s="241"/>
      <c r="AC266" s="280"/>
      <c r="AE266" s="461"/>
      <c r="AF266" s="163"/>
      <c r="AG266" s="460"/>
      <c r="AH266" s="460"/>
      <c r="AI266" s="460"/>
      <c r="AJ266" s="460"/>
      <c r="AK266" s="460"/>
      <c r="AL266" s="460"/>
      <c r="AM266" s="460"/>
      <c r="AN266" s="460"/>
      <c r="AO266" s="460"/>
      <c r="AP266" s="460"/>
      <c r="AQ266" s="460"/>
      <c r="AR266" s="460"/>
      <c r="AS266" s="460"/>
      <c r="AT266" s="460"/>
      <c r="AU266" s="460"/>
      <c r="AV266" s="460"/>
      <c r="AW266" s="460"/>
      <c r="AY266" s="193"/>
    </row>
    <row r="267" spans="1:51" ht="12" customHeight="1">
      <c r="A267" s="306"/>
      <c r="B267" s="306"/>
      <c r="C267" s="236"/>
      <c r="D267" s="471" t="s">
        <v>270</v>
      </c>
      <c r="E267" s="310"/>
      <c r="F267" s="311"/>
      <c r="G267" s="241"/>
      <c r="H267" s="376"/>
      <c r="I267" s="163"/>
      <c r="J267" s="162"/>
      <c r="K267" s="163"/>
      <c r="L267" s="220"/>
      <c r="M267" s="163"/>
      <c r="N267" s="220"/>
      <c r="O267" s="163"/>
      <c r="P267" s="220"/>
      <c r="Q267" s="163"/>
      <c r="R267" s="220"/>
      <c r="S267" s="163"/>
      <c r="T267" s="220"/>
      <c r="U267" s="163"/>
      <c r="V267" s="220"/>
      <c r="X267" s="193"/>
      <c r="AA267" s="471" t="s">
        <v>270</v>
      </c>
      <c r="AE267" s="162"/>
      <c r="AF267" s="163"/>
      <c r="AG267" s="162"/>
      <c r="AH267" s="163"/>
      <c r="AI267" s="220"/>
      <c r="AJ267" s="163"/>
      <c r="AK267" s="220"/>
      <c r="AL267" s="163"/>
      <c r="AM267" s="220"/>
      <c r="AN267" s="163"/>
      <c r="AO267" s="220"/>
      <c r="AP267" s="163"/>
      <c r="AQ267" s="220"/>
      <c r="AR267" s="163"/>
      <c r="AS267" s="220"/>
      <c r="AT267" s="163"/>
      <c r="AU267" s="220"/>
      <c r="AV267" s="163"/>
      <c r="AW267" s="220"/>
      <c r="AY267" s="193"/>
    </row>
    <row r="268" spans="1:51" ht="12.75">
      <c r="A268" s="306"/>
      <c r="B268" s="306"/>
      <c r="C268" s="472"/>
      <c r="D268" s="471" t="s">
        <v>271</v>
      </c>
      <c r="E268" s="310"/>
      <c r="F268" s="311">
        <v>18</v>
      </c>
      <c r="G268" s="241"/>
      <c r="H268" s="469">
        <v>31117261.251060836</v>
      </c>
      <c r="I268" s="163"/>
      <c r="J268" s="468">
        <f>(VLOOKUP($F268,Factors,J$384))*$H268</f>
        <v>15508843.00752872</v>
      </c>
      <c r="K268" s="163"/>
      <c r="L268" s="468">
        <f>(VLOOKUP($F268,Factors,L$384))*$H268</f>
        <v>8264744.588281758</v>
      </c>
      <c r="M268" s="163"/>
      <c r="N268" s="468">
        <f>(VLOOKUP($F268,Factors,N$384))*$H268</f>
        <v>958411.6465326737</v>
      </c>
      <c r="O268" s="163"/>
      <c r="P268" s="468">
        <f>(VLOOKUP($F268,Factors,P$384))*$H268</f>
        <v>2949916.366600567</v>
      </c>
      <c r="Q268" s="163"/>
      <c r="R268" s="468">
        <f>(VLOOKUP($F268,Factors,R$384))*$H268</f>
        <v>843277.7799037487</v>
      </c>
      <c r="S268" s="163"/>
      <c r="T268" s="468">
        <f>(VLOOKUP($F268,Factors,T$384))*$H268</f>
        <v>952188.1942824615</v>
      </c>
      <c r="U268" s="163"/>
      <c r="V268" s="468">
        <f>(VLOOKUP($F268,Factors,V$384))*$H268</f>
        <v>1639879.667930906</v>
      </c>
      <c r="W268" s="236"/>
      <c r="X268" s="236"/>
      <c r="AA268" s="471" t="s">
        <v>271</v>
      </c>
      <c r="AC268" s="280">
        <f>+F268</f>
        <v>18</v>
      </c>
      <c r="AE268" s="317">
        <f>+H268</f>
        <v>31117261.251060836</v>
      </c>
      <c r="AG268" s="149">
        <f>(VLOOKUP($AC268,func,AG$384))*$AE268</f>
        <v>14167689.047607997</v>
      </c>
      <c r="AI268" s="149">
        <f>(VLOOKUP($AC268,func,AI$384))*$AE268</f>
        <v>7698410.433512451</v>
      </c>
      <c r="AK268" s="149">
        <f>(VLOOKUP($AC268,func,AK$384))*$AE268</f>
        <v>3394893.202490737</v>
      </c>
      <c r="AM268" s="149">
        <f>(VLOOKUP($AC268,func,AM$384))*$AE268</f>
        <v>2044404.0641946967</v>
      </c>
      <c r="AO268" s="149">
        <f>(VLOOKUP($AC268,func,AO$384))*$AE268</f>
        <v>700138.3781488688</v>
      </c>
      <c r="AQ268" s="149">
        <f>(VLOOKUP($AC268,func,AQ$384))*$AE268</f>
        <v>451200.28814038215</v>
      </c>
      <c r="AS268" s="149">
        <f>(VLOOKUP($AC268,func,AS$384))*$AE268</f>
        <v>99575.23600339468</v>
      </c>
      <c r="AU268" s="149">
        <f>(VLOOKUP($AC268,func,AU$384))*$AE268</f>
        <v>936629.5636569312</v>
      </c>
      <c r="AW268" s="149">
        <f>(VLOOKUP($AC268,func,AW$384))*$AE268</f>
        <v>1624321.0373053758</v>
      </c>
      <c r="AY268" s="193"/>
    </row>
    <row r="269" spans="1:52" ht="12.75">
      <c r="A269" s="306"/>
      <c r="B269" s="306"/>
      <c r="C269" s="236"/>
      <c r="D269" s="471"/>
      <c r="E269" s="310"/>
      <c r="F269" s="311"/>
      <c r="G269" s="241"/>
      <c r="H269" s="376"/>
      <c r="I269" s="219"/>
      <c r="J269" s="221"/>
      <c r="K269" s="219"/>
      <c r="L269" s="221"/>
      <c r="M269" s="219"/>
      <c r="N269" s="221"/>
      <c r="O269" s="219"/>
      <c r="P269" s="221"/>
      <c r="Q269" s="219"/>
      <c r="R269" s="221"/>
      <c r="S269" s="219"/>
      <c r="T269" s="221"/>
      <c r="U269" s="219"/>
      <c r="V269" s="221"/>
      <c r="X269" s="193"/>
      <c r="AA269" s="471"/>
      <c r="AC269" s="228"/>
      <c r="AE269" s="162"/>
      <c r="AF269" s="163"/>
      <c r="AG269" s="162"/>
      <c r="AH269" s="163"/>
      <c r="AI269" s="162"/>
      <c r="AJ269" s="163"/>
      <c r="AK269" s="162"/>
      <c r="AL269" s="163"/>
      <c r="AM269" s="162"/>
      <c r="AN269" s="163"/>
      <c r="AO269" s="162"/>
      <c r="AP269" s="163"/>
      <c r="AQ269" s="162"/>
      <c r="AR269" s="163"/>
      <c r="AS269" s="162"/>
      <c r="AT269" s="163"/>
      <c r="AU269" s="162"/>
      <c r="AV269" s="163"/>
      <c r="AW269" s="162"/>
      <c r="AY269" s="193"/>
      <c r="AZ269" s="285">
        <f>+AU269/Fire!K33</f>
        <v>0</v>
      </c>
    </row>
    <row r="270" spans="1:51" ht="12" customHeight="1">
      <c r="A270" s="306"/>
      <c r="B270" s="306"/>
      <c r="C270" s="236"/>
      <c r="D270" s="471" t="s">
        <v>596</v>
      </c>
      <c r="E270" s="310"/>
      <c r="F270" s="311"/>
      <c r="G270" s="241"/>
      <c r="H270" s="376">
        <f>H194+H247+H262+H265+H268+H254</f>
        <v>94371911.17787045</v>
      </c>
      <c r="I270" s="241"/>
      <c r="J270" s="376">
        <f>J194+J247+J262+J265+J268+J254</f>
        <v>50548183.28156013</v>
      </c>
      <c r="K270" s="241"/>
      <c r="L270" s="376">
        <f>L194+L247+L262+L265+L268+L254</f>
        <v>23968197.084411003</v>
      </c>
      <c r="M270" s="241"/>
      <c r="N270" s="376">
        <f>N194+N247+N262+N265+N268+N254</f>
        <v>2739496.165585035</v>
      </c>
      <c r="O270" s="241"/>
      <c r="P270" s="376">
        <f>P194+P247+P262+P265+P268+P254</f>
        <v>8411923.784646273</v>
      </c>
      <c r="Q270" s="241"/>
      <c r="R270" s="376">
        <f>R194+R247+R262+R265+R268+R254</f>
        <v>2409713.2457004953</v>
      </c>
      <c r="S270" s="241"/>
      <c r="T270" s="376">
        <f>T194+T247+T262+T265+T268+T254</f>
        <v>2584164.060832701</v>
      </c>
      <c r="U270" s="241"/>
      <c r="V270" s="376">
        <f>V194+V247+V262+V265+V268+V254</f>
        <v>3710233.555134829</v>
      </c>
      <c r="W270" s="161"/>
      <c r="X270" s="193"/>
      <c r="AA270" s="471" t="s">
        <v>596</v>
      </c>
      <c r="AE270" s="376">
        <f>AE194+AE247+AE262+AE265+AE268+AE254</f>
        <v>94371911.17787045</v>
      </c>
      <c r="AG270" s="376">
        <f>AG194+AG247+AG262+AG265+AG268+AG254</f>
        <v>42722245.24290301</v>
      </c>
      <c r="AI270" s="376">
        <f>AI194+AI247+AI262+AI265+AI268+AI254</f>
        <v>18920640.578497272</v>
      </c>
      <c r="AK270" s="376">
        <f>AK194+AK247+AK262+AK265+AK268+AK254</f>
        <v>10144230.42075362</v>
      </c>
      <c r="AM270" s="376">
        <f>AM194+AM247+AM262+AM265+AM268+AM254</f>
        <v>4392800.435896191</v>
      </c>
      <c r="AO270" s="376">
        <f>AO194+AO247+AO262+AO265+AO268+AO254</f>
        <v>2673490.952721957</v>
      </c>
      <c r="AQ270" s="376">
        <f>AQ194+AQ247+AQ262+AQ265+AQ268+AQ254</f>
        <v>7537742.652923608</v>
      </c>
      <c r="AS270" s="376">
        <f>AS194+AS247+AS262+AS265+AS268+AS254</f>
        <v>1820536.437269348</v>
      </c>
      <c r="AU270" s="376">
        <f>AU194+AU247+AU262+AU265+AU268+AU254</f>
        <v>2478056.861321314</v>
      </c>
      <c r="AW270" s="376">
        <f>AW194+AW247+AW262+AW265+AW268+AW254</f>
        <v>3682219.40668414</v>
      </c>
      <c r="AY270" s="193"/>
    </row>
    <row r="271" spans="1:51" ht="9.75" customHeight="1">
      <c r="A271" s="306"/>
      <c r="B271" s="306"/>
      <c r="C271" s="236"/>
      <c r="D271" s="241"/>
      <c r="E271" s="310"/>
      <c r="F271" s="311"/>
      <c r="G271" s="241"/>
      <c r="H271" s="376"/>
      <c r="I271" s="163"/>
      <c r="J271" s="162"/>
      <c r="K271" s="163"/>
      <c r="L271" s="220"/>
      <c r="M271" s="163"/>
      <c r="N271" s="220"/>
      <c r="O271" s="163"/>
      <c r="P271" s="220"/>
      <c r="Q271" s="163"/>
      <c r="R271" s="220"/>
      <c r="S271" s="163"/>
      <c r="T271" s="220"/>
      <c r="U271" s="163"/>
      <c r="V271" s="220"/>
      <c r="W271" s="161"/>
      <c r="X271" s="193"/>
      <c r="AA271" s="241"/>
      <c r="AE271" s="163"/>
      <c r="AF271" s="163"/>
      <c r="AG271" s="163"/>
      <c r="AH271" s="163"/>
      <c r="AI271" s="163"/>
      <c r="AJ271" s="163"/>
      <c r="AK271" s="163"/>
      <c r="AL271" s="163"/>
      <c r="AM271" s="163"/>
      <c r="AN271" s="163"/>
      <c r="AO271" s="163"/>
      <c r="AP271" s="163"/>
      <c r="AQ271" s="163"/>
      <c r="AR271" s="163"/>
      <c r="AS271" s="163"/>
      <c r="AT271" s="163"/>
      <c r="AU271" s="163"/>
      <c r="AV271" s="163"/>
      <c r="AW271" s="163"/>
      <c r="AY271" s="193"/>
    </row>
    <row r="272" spans="1:51" ht="12.75">
      <c r="A272" s="306"/>
      <c r="B272" s="306"/>
      <c r="C272" s="236"/>
      <c r="D272" s="241" t="s">
        <v>742</v>
      </c>
      <c r="E272" s="310"/>
      <c r="F272" s="311">
        <v>19</v>
      </c>
      <c r="G272" s="241"/>
      <c r="H272" s="376">
        <v>289029.44</v>
      </c>
      <c r="I272" s="163"/>
      <c r="J272" s="235">
        <f>(VLOOKUP($F272,Factors,J$384))*$H272</f>
        <v>156191.509376</v>
      </c>
      <c r="K272" s="373"/>
      <c r="L272" s="235">
        <f>(VLOOKUP($F272,Factors,L$384))*$H272</f>
        <v>72662.001216</v>
      </c>
      <c r="M272" s="373"/>
      <c r="N272" s="235">
        <f>(VLOOKUP($F272,Factors,N$384))*$H272</f>
        <v>8266.241984</v>
      </c>
      <c r="O272" s="373"/>
      <c r="P272" s="235">
        <f>(VLOOKUP($F272,Factors,P$384))*$H272</f>
        <v>25405.687776000002</v>
      </c>
      <c r="Q272" s="373"/>
      <c r="R272" s="235">
        <f>(VLOOKUP($F272,Factors,R$384))*$H272</f>
        <v>7283.541888</v>
      </c>
      <c r="S272" s="373"/>
      <c r="T272" s="235">
        <f>(VLOOKUP($F272,Factors,T$384))*$H272</f>
        <v>7948.3096000000005</v>
      </c>
      <c r="U272" s="373"/>
      <c r="V272" s="235">
        <f>(VLOOKUP($F272,Factors,V$384))*$H272</f>
        <v>11272.14816</v>
      </c>
      <c r="W272" s="236"/>
      <c r="X272" s="236"/>
      <c r="AA272" s="241" t="s">
        <v>595</v>
      </c>
      <c r="AC272" s="280">
        <f>+F272</f>
        <v>19</v>
      </c>
      <c r="AE272" s="161">
        <f>+H272</f>
        <v>289029.44</v>
      </c>
      <c r="AG272" s="148">
        <f>(VLOOKUP($AC272,func,AG$384))*$AE272</f>
        <v>128704.80963199999</v>
      </c>
      <c r="AH272" s="148"/>
      <c r="AI272" s="148">
        <f>(VLOOKUP($AC272,func,AI$384))*$AE272</f>
        <v>56909.896735999995</v>
      </c>
      <c r="AJ272" s="148"/>
      <c r="AK272" s="148">
        <f>(VLOOKUP($AC272,func,AK$384))*$AE272</f>
        <v>31128.470688</v>
      </c>
      <c r="AL272" s="148"/>
      <c r="AM272" s="148">
        <f>(VLOOKUP($AC272,func,AM$384))*$AE272</f>
        <v>13208.645407999998</v>
      </c>
      <c r="AN272" s="148"/>
      <c r="AO272" s="148">
        <f>(VLOOKUP($AC272,func,AO$384))*$AE272</f>
        <v>8006.1154879999995</v>
      </c>
      <c r="AP272" s="148"/>
      <c r="AQ272" s="148">
        <f>(VLOOKUP($AC272,func,AQ$384))*$AE272</f>
        <v>26850.834976</v>
      </c>
      <c r="AR272" s="148"/>
      <c r="AS272" s="148">
        <f>(VLOOKUP($AC272,func,AS$384))*$AE272</f>
        <v>5433.753472</v>
      </c>
      <c r="AT272" s="148"/>
      <c r="AU272" s="148">
        <f>(VLOOKUP($AC272,func,AU$384))*$AE272</f>
        <v>7630.377216</v>
      </c>
      <c r="AV272" s="148"/>
      <c r="AW272" s="148">
        <f>(VLOOKUP($AC272,func,AW$384))*$AE272</f>
        <v>11185.439328</v>
      </c>
      <c r="AY272" s="193"/>
    </row>
    <row r="273" spans="1:51" ht="14.25" customHeight="1">
      <c r="A273" s="306"/>
      <c r="B273" s="306"/>
      <c r="C273" s="236"/>
      <c r="D273" s="241" t="s">
        <v>745</v>
      </c>
      <c r="E273" s="310"/>
      <c r="F273" s="311">
        <v>7</v>
      </c>
      <c r="G273" s="241"/>
      <c r="H273" s="376">
        <v>603424.2901763362</v>
      </c>
      <c r="I273" s="163"/>
      <c r="J273" s="235">
        <f>(VLOOKUP($F273,Factors,J$384))*$H273</f>
        <v>273109.83373380976</v>
      </c>
      <c r="K273" s="373"/>
      <c r="L273" s="235">
        <f>(VLOOKUP($F273,Factors,L$384))*$H273</f>
        <v>165338.25550831613</v>
      </c>
      <c r="M273" s="373"/>
      <c r="N273" s="235">
        <f>(VLOOKUP($F273,Factors,N$384))*$H273</f>
        <v>18826.83785350169</v>
      </c>
      <c r="O273" s="373"/>
      <c r="P273" s="235">
        <f>(VLOOKUP($F273,Factors,P$384))*$H273</f>
        <v>55635.7195542582</v>
      </c>
      <c r="Q273" s="373"/>
      <c r="R273" s="235">
        <f>(VLOOKUP($F273,Factors,R$384))*$H273</f>
        <v>15628.689115567107</v>
      </c>
      <c r="S273" s="373"/>
      <c r="T273" s="235">
        <f>(VLOOKUP($F273,Factors,T$384))*$H273</f>
        <v>33610.73296282192</v>
      </c>
      <c r="U273" s="373"/>
      <c r="V273" s="235">
        <f>(VLOOKUP($F273,Factors,V$384))*$H273</f>
        <v>41274.2214480614</v>
      </c>
      <c r="W273" s="236"/>
      <c r="X273" s="236"/>
      <c r="AA273" s="241" t="s">
        <v>745</v>
      </c>
      <c r="AC273" s="280">
        <f>+F273</f>
        <v>7</v>
      </c>
      <c r="AE273" s="161">
        <f>+H273</f>
        <v>603424.2901763362</v>
      </c>
      <c r="AG273" s="148">
        <f>(VLOOKUP($AC273,func,AG$384))*$AE273</f>
        <v>234973.4185946653</v>
      </c>
      <c r="AH273" s="148"/>
      <c r="AI273" s="148">
        <f>(VLOOKUP($AC273,func,AI$384))*$AE273</f>
        <v>46524.012772595524</v>
      </c>
      <c r="AJ273" s="148"/>
      <c r="AK273" s="148">
        <f>(VLOOKUP($AC273,func,AK$384))*$AE273</f>
        <v>247041.90439819204</v>
      </c>
      <c r="AL273" s="148"/>
      <c r="AM273" s="148">
        <f>(VLOOKUP($AC273,func,AM$384))*$AE273</f>
        <v>0</v>
      </c>
      <c r="AN273" s="148"/>
      <c r="AO273" s="148">
        <f>(VLOOKUP($AC273,func,AO$384))*$AE273</f>
        <v>0</v>
      </c>
      <c r="AP273" s="148"/>
      <c r="AQ273" s="148">
        <f>(VLOOKUP($AC273,func,AQ$384))*$AE273</f>
        <v>0</v>
      </c>
      <c r="AR273" s="148"/>
      <c r="AS273" s="148">
        <f>(VLOOKUP($AC273,func,AS$384))*$AE273</f>
        <v>0</v>
      </c>
      <c r="AT273" s="148"/>
      <c r="AU273" s="148">
        <f>(VLOOKUP($AC273,func,AU$384))*$AE273</f>
        <v>33610.73296282192</v>
      </c>
      <c r="AV273" s="148"/>
      <c r="AW273" s="148">
        <f>(VLOOKUP($AC273,func,AW$384))*$AE273</f>
        <v>41274.2214480614</v>
      </c>
      <c r="AY273" s="193"/>
    </row>
    <row r="274" spans="1:51" ht="14.25" customHeight="1">
      <c r="A274" s="306"/>
      <c r="B274" s="306"/>
      <c r="C274" s="236"/>
      <c r="D274" s="241" t="s">
        <v>746</v>
      </c>
      <c r="E274" s="310"/>
      <c r="F274" s="311">
        <v>13</v>
      </c>
      <c r="G274" s="241"/>
      <c r="H274" s="376">
        <v>723355.7098236638</v>
      </c>
      <c r="I274" s="163"/>
      <c r="J274" s="235">
        <f>(VLOOKUP($F274,Factors,J$384))*$H274</f>
        <v>649790.4341345972</v>
      </c>
      <c r="K274" s="373"/>
      <c r="L274" s="235">
        <f>(VLOOKUP($F274,Factors,L$384))*$H274</f>
        <v>52949.63795909219</v>
      </c>
      <c r="M274" s="373"/>
      <c r="N274" s="235">
        <f>(VLOOKUP($F274,Factors,N$384))*$H274</f>
        <v>289.34228392946557</v>
      </c>
      <c r="O274" s="373"/>
      <c r="P274" s="235">
        <f>(VLOOKUP($F274,Factors,P$384))*$H274</f>
        <v>4412.469829924349</v>
      </c>
      <c r="Q274" s="373"/>
      <c r="R274" s="235">
        <f>(VLOOKUP($F274,Factors,R$384))*$H274</f>
        <v>144.67114196473278</v>
      </c>
      <c r="S274" s="373"/>
      <c r="T274" s="235">
        <f>(VLOOKUP($F274,Factors,T$384))*$H274</f>
        <v>15552.147761208771</v>
      </c>
      <c r="U274" s="373"/>
      <c r="V274" s="235">
        <f>(VLOOKUP($F274,Factors,V$384))*$H274</f>
        <v>217.00671294709912</v>
      </c>
      <c r="W274" s="236"/>
      <c r="X274" s="236"/>
      <c r="AA274" s="241" t="s">
        <v>746</v>
      </c>
      <c r="AC274" s="280">
        <f>+F274</f>
        <v>13</v>
      </c>
      <c r="AE274" s="161">
        <f>+H274</f>
        <v>723355.7098236638</v>
      </c>
      <c r="AG274" s="148">
        <f>(VLOOKUP($AC274,func,AG$384))*$AE274</f>
        <v>0</v>
      </c>
      <c r="AH274" s="148"/>
      <c r="AI274" s="148">
        <f>(VLOOKUP($AC274,func,AI$384))*$AE274</f>
        <v>0</v>
      </c>
      <c r="AJ274" s="148"/>
      <c r="AK274" s="148">
        <f>(VLOOKUP($AC274,func,AK$384))*$AE274</f>
        <v>0</v>
      </c>
      <c r="AL274" s="148"/>
      <c r="AM274" s="148">
        <f>(VLOOKUP($AC274,func,AM$384))*$AE274</f>
        <v>0</v>
      </c>
      <c r="AN274" s="148"/>
      <c r="AO274" s="148">
        <f>(VLOOKUP($AC274,func,AO$384))*$AE274</f>
        <v>0</v>
      </c>
      <c r="AP274" s="148"/>
      <c r="AQ274" s="148">
        <f>(VLOOKUP($AC274,func,AQ$384))*$AE274</f>
        <v>707586.555349508</v>
      </c>
      <c r="AR274" s="148"/>
      <c r="AS274" s="148">
        <f>(VLOOKUP($AC274,func,AS$384))*$AE274</f>
        <v>0</v>
      </c>
      <c r="AT274" s="148"/>
      <c r="AU274" s="148">
        <f>(VLOOKUP($AC274,func,AU$384))*$AE274</f>
        <v>15552.147761208771</v>
      </c>
      <c r="AV274" s="148"/>
      <c r="AW274" s="148">
        <f>(VLOOKUP($AC274,func,AW$384))*$AE274</f>
        <v>217.00671294709912</v>
      </c>
      <c r="AY274" s="193"/>
    </row>
    <row r="275" spans="1:51" ht="12.75">
      <c r="A275" s="306"/>
      <c r="B275" s="306"/>
      <c r="C275" s="236"/>
      <c r="D275" s="241" t="s">
        <v>743</v>
      </c>
      <c r="E275" s="310"/>
      <c r="F275" s="311">
        <v>18</v>
      </c>
      <c r="G275" s="241"/>
      <c r="H275" s="376">
        <v>646180</v>
      </c>
      <c r="I275" s="221"/>
      <c r="J275" s="235">
        <f>(VLOOKUP($F275,Factors,J$384))*$H275</f>
        <v>322056.112</v>
      </c>
      <c r="K275" s="373"/>
      <c r="L275" s="235">
        <f>(VLOOKUP($F275,Factors,L$384))*$H275</f>
        <v>171625.408</v>
      </c>
      <c r="M275" s="373"/>
      <c r="N275" s="235">
        <f>(VLOOKUP($F275,Factors,N$384))*$H275</f>
        <v>19902.344</v>
      </c>
      <c r="O275" s="373"/>
      <c r="P275" s="235">
        <f>(VLOOKUP($F275,Factors,P$384))*$H275</f>
        <v>61257.863999999994</v>
      </c>
      <c r="Q275" s="373"/>
      <c r="R275" s="235">
        <f>(VLOOKUP($F275,Factors,R$384))*$H275</f>
        <v>17511.478</v>
      </c>
      <c r="S275" s="373"/>
      <c r="T275" s="235">
        <f>(VLOOKUP($F275,Factors,T$384))*$H275</f>
        <v>19773.108</v>
      </c>
      <c r="U275" s="373"/>
      <c r="V275" s="235">
        <f>(VLOOKUP($F275,Factors,V$384))*$H275</f>
        <v>34053.686</v>
      </c>
      <c r="W275" s="236"/>
      <c r="X275" s="236"/>
      <c r="AA275" s="241" t="s">
        <v>272</v>
      </c>
      <c r="AC275" s="280">
        <f>+F275</f>
        <v>18</v>
      </c>
      <c r="AE275" s="161">
        <f>+H275</f>
        <v>646180</v>
      </c>
      <c r="AG275" s="148">
        <f>(VLOOKUP($AC275,func,AG$384))*$AE275</f>
        <v>294205.754</v>
      </c>
      <c r="AH275" s="148"/>
      <c r="AI275" s="148">
        <f>(VLOOKUP($AC275,func,AI$384))*$AE275</f>
        <v>159864.932</v>
      </c>
      <c r="AJ275" s="148"/>
      <c r="AK275" s="148">
        <f>(VLOOKUP($AC275,func,AK$384))*$AE275</f>
        <v>70498.238</v>
      </c>
      <c r="AL275" s="148"/>
      <c r="AM275" s="148">
        <f>(VLOOKUP($AC275,func,AM$384))*$AE275</f>
        <v>42454.026</v>
      </c>
      <c r="AN275" s="148"/>
      <c r="AO275" s="148">
        <f>(VLOOKUP($AC275,func,AO$384))*$AE275</f>
        <v>14539.05</v>
      </c>
      <c r="AP275" s="148"/>
      <c r="AQ275" s="148">
        <f>(VLOOKUP($AC275,func,AQ$384))*$AE275</f>
        <v>9369.61</v>
      </c>
      <c r="AR275" s="148"/>
      <c r="AS275" s="148">
        <f>(VLOOKUP($AC275,func,AS$384))*$AE275</f>
        <v>2067.7760000000003</v>
      </c>
      <c r="AT275" s="148"/>
      <c r="AU275" s="148">
        <f>(VLOOKUP($AC275,func,AU$384))*$AE275</f>
        <v>19450.018</v>
      </c>
      <c r="AV275" s="148"/>
      <c r="AW275" s="148">
        <f>(VLOOKUP($AC275,func,AW$384))*$AE275</f>
        <v>33730.596000000005</v>
      </c>
      <c r="AY275" s="193"/>
    </row>
    <row r="276" spans="1:51" ht="12.75">
      <c r="A276" s="306"/>
      <c r="B276" s="306"/>
      <c r="C276" s="236"/>
      <c r="D276" s="241" t="s">
        <v>744</v>
      </c>
      <c r="E276" s="310"/>
      <c r="F276" s="311">
        <v>13</v>
      </c>
      <c r="G276" s="241"/>
      <c r="H276" s="469">
        <v>1508148.4</v>
      </c>
      <c r="I276" s="221"/>
      <c r="J276" s="468">
        <f>(VLOOKUP($F276,Factors,J$384))*$H276</f>
        <v>1354769.7077199998</v>
      </c>
      <c r="K276" s="221"/>
      <c r="L276" s="468">
        <f>(VLOOKUP($F276,Factors,L$384))*$H276</f>
        <v>110396.46287999999</v>
      </c>
      <c r="M276" s="221"/>
      <c r="N276" s="468">
        <f>(VLOOKUP($F276,Factors,N$384))*$H276</f>
        <v>603.25936</v>
      </c>
      <c r="O276" s="221"/>
      <c r="P276" s="468">
        <f>(VLOOKUP($F276,Factors,P$384))*$H276</f>
        <v>9199.70524</v>
      </c>
      <c r="Q276" s="221"/>
      <c r="R276" s="468">
        <f>(VLOOKUP($F276,Factors,R$384))*$H276</f>
        <v>301.62968</v>
      </c>
      <c r="S276" s="221"/>
      <c r="T276" s="468">
        <f>(VLOOKUP($F276,Factors,T$384))*$H276</f>
        <v>32425.190599999994</v>
      </c>
      <c r="U276" s="221"/>
      <c r="V276" s="468">
        <f>(VLOOKUP($F276,Factors,V$384))*$H276</f>
        <v>452.44451999999995</v>
      </c>
      <c r="W276" s="236"/>
      <c r="X276" s="236"/>
      <c r="AA276" s="241" t="s">
        <v>273</v>
      </c>
      <c r="AC276" s="280">
        <f>+F276</f>
        <v>13</v>
      </c>
      <c r="AE276" s="317">
        <f>+H276</f>
        <v>1508148.4</v>
      </c>
      <c r="AG276" s="149">
        <f>(VLOOKUP($AC276,func,AG$384))*$AE276</f>
        <v>0</v>
      </c>
      <c r="AI276" s="149">
        <f>(VLOOKUP($AC276,func,AI$384))*$AE276</f>
        <v>0</v>
      </c>
      <c r="AK276" s="149">
        <f>(VLOOKUP($AC276,func,AK$384))*$AE276</f>
        <v>0</v>
      </c>
      <c r="AM276" s="149">
        <f>(VLOOKUP($AC276,func,AM$384))*$AE276</f>
        <v>0</v>
      </c>
      <c r="AO276" s="149">
        <f>(VLOOKUP($AC276,func,AO$384))*$AE276</f>
        <v>0</v>
      </c>
      <c r="AQ276" s="149">
        <f>(VLOOKUP($AC276,func,AQ$384))*$AE276</f>
        <v>1475270.76488</v>
      </c>
      <c r="AS276" s="149">
        <f>(VLOOKUP($AC276,func,AS$384))*$AE276</f>
        <v>0</v>
      </c>
      <c r="AU276" s="149">
        <f>(VLOOKUP($AC276,func,AU$384))*$AE276</f>
        <v>32425.190599999994</v>
      </c>
      <c r="AW276" s="149">
        <f>(VLOOKUP($AC276,func,AW$384))*$AE276</f>
        <v>452.44451999999995</v>
      </c>
      <c r="AY276" s="193"/>
    </row>
    <row r="277" spans="1:51" ht="12.75">
      <c r="A277" s="306"/>
      <c r="B277" s="306"/>
      <c r="C277" s="236"/>
      <c r="D277" s="241"/>
      <c r="E277" s="310"/>
      <c r="F277" s="311"/>
      <c r="G277" s="241"/>
      <c r="H277" s="376"/>
      <c r="I277" s="221"/>
      <c r="J277" s="221"/>
      <c r="K277" s="221"/>
      <c r="L277" s="221"/>
      <c r="M277" s="221"/>
      <c r="N277" s="221"/>
      <c r="O277" s="221"/>
      <c r="P277" s="221"/>
      <c r="Q277" s="221"/>
      <c r="R277" s="221"/>
      <c r="S277" s="221"/>
      <c r="T277" s="221"/>
      <c r="U277" s="221"/>
      <c r="V277" s="221"/>
      <c r="X277" s="236"/>
      <c r="AA277" s="241"/>
      <c r="AC277" s="228"/>
      <c r="AE277" s="163"/>
      <c r="AF277" s="163"/>
      <c r="AG277" s="461"/>
      <c r="AH277" s="163"/>
      <c r="AI277" s="461"/>
      <c r="AJ277" s="163"/>
      <c r="AK277" s="461"/>
      <c r="AL277" s="163"/>
      <c r="AM277" s="461"/>
      <c r="AN277" s="163"/>
      <c r="AO277" s="461"/>
      <c r="AP277" s="163"/>
      <c r="AQ277" s="461"/>
      <c r="AR277" s="163"/>
      <c r="AS277" s="461"/>
      <c r="AT277" s="163"/>
      <c r="AU277" s="461"/>
      <c r="AV277" s="163"/>
      <c r="AW277" s="461"/>
      <c r="AY277" s="193"/>
    </row>
    <row r="278" spans="1:51" ht="12.75">
      <c r="A278" s="306"/>
      <c r="B278" s="306"/>
      <c r="C278" s="236"/>
      <c r="D278" s="241" t="s">
        <v>274</v>
      </c>
      <c r="E278" s="310"/>
      <c r="F278" s="311"/>
      <c r="G278" s="241"/>
      <c r="H278" s="376">
        <f>SUM(H272:H277)</f>
        <v>3770137.84</v>
      </c>
      <c r="I278" s="241"/>
      <c r="J278" s="376">
        <f>SUM(J272:J277)</f>
        <v>2755917.596964407</v>
      </c>
      <c r="K278" s="241"/>
      <c r="L278" s="376">
        <f>SUM(L272:L277)</f>
        <v>572971.7655634083</v>
      </c>
      <c r="M278" s="241"/>
      <c r="N278" s="376">
        <f>SUM(N272:N277)</f>
        <v>47888.02548143115</v>
      </c>
      <c r="O278" s="241"/>
      <c r="P278" s="376">
        <f>SUM(P272:P277)</f>
        <v>155911.44640018255</v>
      </c>
      <c r="Q278" s="241"/>
      <c r="R278" s="376">
        <f>SUM(R272:R277)</f>
        <v>40870.00982553184</v>
      </c>
      <c r="S278" s="241"/>
      <c r="T278" s="376">
        <f>SUM(T272:T277)</f>
        <v>109309.48892403068</v>
      </c>
      <c r="U278" s="241"/>
      <c r="V278" s="376">
        <f>SUM(V272:V277)</f>
        <v>87269.50684100851</v>
      </c>
      <c r="X278" s="236"/>
      <c r="AA278" s="241" t="s">
        <v>274</v>
      </c>
      <c r="AC278" s="228"/>
      <c r="AE278" s="376">
        <f>SUM(AE272:AE277)</f>
        <v>3770137.84</v>
      </c>
      <c r="AG278" s="376">
        <f>SUM(AG272:AG277)</f>
        <v>657883.9822266654</v>
      </c>
      <c r="AI278" s="376">
        <f>SUM(AI272:AI277)</f>
        <v>263298.8415085955</v>
      </c>
      <c r="AK278" s="376">
        <f>SUM(AK272:AK277)</f>
        <v>348668.61308619205</v>
      </c>
      <c r="AM278" s="376">
        <f>SUM(AM272:AM277)</f>
        <v>55662.671407999995</v>
      </c>
      <c r="AO278" s="376">
        <f>SUM(AO272:AO277)</f>
        <v>22545.165488</v>
      </c>
      <c r="AQ278" s="376">
        <f>SUM(AQ272:AQ277)</f>
        <v>2219077.765205508</v>
      </c>
      <c r="AS278" s="376">
        <f>SUM(AS272:AS277)</f>
        <v>7501.529472</v>
      </c>
      <c r="AU278" s="376">
        <f>SUM(AU272:AU277)</f>
        <v>108668.4665400307</v>
      </c>
      <c r="AW278" s="376">
        <f>SUM(AW272:AW277)</f>
        <v>86859.70800900851</v>
      </c>
      <c r="AY278" s="193"/>
    </row>
    <row r="279" spans="1:51" ht="12.75">
      <c r="A279" s="306"/>
      <c r="B279" s="306"/>
      <c r="C279" s="236"/>
      <c r="D279" s="241"/>
      <c r="E279" s="310"/>
      <c r="F279" s="311"/>
      <c r="G279" s="241"/>
      <c r="H279" s="376"/>
      <c r="I279" s="221"/>
      <c r="J279" s="221"/>
      <c r="K279" s="221"/>
      <c r="L279" s="221"/>
      <c r="M279" s="221"/>
      <c r="N279" s="221"/>
      <c r="O279" s="221"/>
      <c r="P279" s="221"/>
      <c r="Q279" s="221"/>
      <c r="R279" s="221"/>
      <c r="S279" s="221"/>
      <c r="T279" s="221"/>
      <c r="U279" s="221"/>
      <c r="V279" s="221"/>
      <c r="X279" s="236"/>
      <c r="AA279" s="241"/>
      <c r="AC279" s="228"/>
      <c r="AE279" s="163"/>
      <c r="AF279" s="163"/>
      <c r="AG279" s="163"/>
      <c r="AH279" s="163"/>
      <c r="AI279" s="163"/>
      <c r="AJ279" s="163"/>
      <c r="AK279" s="163"/>
      <c r="AL279" s="163"/>
      <c r="AM279" s="163"/>
      <c r="AN279" s="163"/>
      <c r="AO279" s="163"/>
      <c r="AP279" s="163"/>
      <c r="AQ279" s="163"/>
      <c r="AR279" s="163"/>
      <c r="AS279" s="163"/>
      <c r="AT279" s="163"/>
      <c r="AU279" s="163"/>
      <c r="AV279" s="163"/>
      <c r="AW279" s="163"/>
      <c r="AY279" s="193"/>
    </row>
    <row r="280" spans="1:51" ht="12.75">
      <c r="A280" s="306"/>
      <c r="B280" s="306"/>
      <c r="C280" s="236"/>
      <c r="D280" s="471" t="s">
        <v>594</v>
      </c>
      <c r="E280" s="310"/>
      <c r="F280" s="311"/>
      <c r="G280" s="241"/>
      <c r="H280" s="376"/>
      <c r="I280" s="241"/>
      <c r="J280" s="376"/>
      <c r="K280" s="241"/>
      <c r="L280" s="376"/>
      <c r="M280" s="241"/>
      <c r="N280" s="376"/>
      <c r="O280" s="241"/>
      <c r="P280" s="376"/>
      <c r="Q280" s="241"/>
      <c r="R280" s="376"/>
      <c r="S280" s="241"/>
      <c r="T280" s="376"/>
      <c r="U280" s="241"/>
      <c r="V280" s="376"/>
      <c r="X280" s="236"/>
      <c r="AA280" s="471" t="s">
        <v>594</v>
      </c>
      <c r="AC280" s="228"/>
      <c r="AE280" s="163"/>
      <c r="AF280" s="163"/>
      <c r="AG280" s="163"/>
      <c r="AH280" s="163"/>
      <c r="AI280" s="163"/>
      <c r="AJ280" s="163"/>
      <c r="AK280" s="163"/>
      <c r="AL280" s="163"/>
      <c r="AM280" s="163"/>
      <c r="AN280" s="163"/>
      <c r="AO280" s="163"/>
      <c r="AP280" s="163"/>
      <c r="AQ280" s="163"/>
      <c r="AR280" s="163"/>
      <c r="AS280" s="163"/>
      <c r="AT280" s="163"/>
      <c r="AU280" s="163"/>
      <c r="AV280" s="163"/>
      <c r="AW280" s="163"/>
      <c r="AY280" s="193"/>
    </row>
    <row r="281" spans="1:51" ht="13.5" thickBot="1">
      <c r="A281" s="306"/>
      <c r="B281" s="306"/>
      <c r="C281" s="236"/>
      <c r="D281" s="471" t="s">
        <v>593</v>
      </c>
      <c r="E281" s="310"/>
      <c r="F281" s="311"/>
      <c r="G281" s="241"/>
      <c r="H281" s="473">
        <f>H270-H278</f>
        <v>90601773.33787045</v>
      </c>
      <c r="I281" s="241"/>
      <c r="J281" s="473">
        <f>J270-J278</f>
        <v>47792265.68459573</v>
      </c>
      <c r="K281" s="241"/>
      <c r="L281" s="473">
        <f>L270-L278</f>
        <v>23395225.318847593</v>
      </c>
      <c r="M281" s="241"/>
      <c r="N281" s="473">
        <f>N270-N278</f>
        <v>2691608.1401036037</v>
      </c>
      <c r="O281" s="241"/>
      <c r="P281" s="473">
        <f>P270-P278</f>
        <v>8256012.33824609</v>
      </c>
      <c r="Q281" s="241"/>
      <c r="R281" s="473">
        <f>R270-R278</f>
        <v>2368843.2358749635</v>
      </c>
      <c r="S281" s="241"/>
      <c r="T281" s="473">
        <f>T270-T278</f>
        <v>2474854.5719086705</v>
      </c>
      <c r="U281" s="241"/>
      <c r="V281" s="473">
        <f>V270-V278</f>
        <v>3622964.0482938206</v>
      </c>
      <c r="X281" s="236"/>
      <c r="AA281" s="471" t="s">
        <v>593</v>
      </c>
      <c r="AC281" s="228"/>
      <c r="AE281" s="473">
        <f>AE270-AE278</f>
        <v>90601773.33787045</v>
      </c>
      <c r="AG281" s="473">
        <f>AG270-AG278</f>
        <v>42064361.26067635</v>
      </c>
      <c r="AI281" s="473">
        <f>AI270-AI278</f>
        <v>18657341.736988675</v>
      </c>
      <c r="AK281" s="473">
        <f>AK270-AK278</f>
        <v>9795561.807667429</v>
      </c>
      <c r="AM281" s="473">
        <f>AM270-AM278</f>
        <v>4337137.76448819</v>
      </c>
      <c r="AO281" s="473">
        <f>AO270-AO278</f>
        <v>2650945.787233957</v>
      </c>
      <c r="AQ281" s="473">
        <f>AQ270-AQ278</f>
        <v>5318664.8877181</v>
      </c>
      <c r="AS281" s="473">
        <f>AS270-AS278</f>
        <v>1813034.907797348</v>
      </c>
      <c r="AU281" s="473">
        <f>AU270-AU278</f>
        <v>2369388.394781283</v>
      </c>
      <c r="AW281" s="473">
        <f>AW270-AW278</f>
        <v>3595359.698675132</v>
      </c>
      <c r="AY281" s="193"/>
    </row>
    <row r="282" spans="1:51" ht="13.5" thickTop="1">
      <c r="A282" s="306"/>
      <c r="B282" s="306"/>
      <c r="C282" s="236"/>
      <c r="D282" s="241"/>
      <c r="E282" s="310"/>
      <c r="F282" s="311"/>
      <c r="G282" s="141"/>
      <c r="H282" s="221"/>
      <c r="I282" s="221"/>
      <c r="J282" s="221"/>
      <c r="K282" s="221"/>
      <c r="L282" s="221"/>
      <c r="M282" s="221"/>
      <c r="N282" s="221"/>
      <c r="O282" s="221"/>
      <c r="P282" s="221"/>
      <c r="Q282" s="221"/>
      <c r="R282" s="221"/>
      <c r="S282" s="221"/>
      <c r="T282" s="221"/>
      <c r="U282" s="221"/>
      <c r="V282" s="221"/>
      <c r="X282" s="193"/>
      <c r="AA282" s="241"/>
      <c r="AC282" s="228"/>
      <c r="AE282" s="163"/>
      <c r="AF282" s="163"/>
      <c r="AG282" s="163"/>
      <c r="AH282" s="163"/>
      <c r="AI282" s="163"/>
      <c r="AJ282" s="163"/>
      <c r="AK282" s="163"/>
      <c r="AL282" s="163"/>
      <c r="AM282" s="163"/>
      <c r="AN282" s="163"/>
      <c r="AO282" s="163"/>
      <c r="AP282" s="163"/>
      <c r="AQ282" s="477"/>
      <c r="AR282" s="163"/>
      <c r="AS282" s="477"/>
      <c r="AT282" s="163"/>
      <c r="AU282" s="163"/>
      <c r="AV282" s="163"/>
      <c r="AW282" s="163"/>
      <c r="AY282" s="193"/>
    </row>
    <row r="283" spans="1:51" ht="12.75">
      <c r="A283" s="306"/>
      <c r="B283" s="306"/>
      <c r="C283" s="236"/>
      <c r="D283" s="474" t="s">
        <v>317</v>
      </c>
      <c r="E283" s="315"/>
      <c r="F283" s="154"/>
      <c r="G283"/>
      <c r="H283" s="303"/>
      <c r="I283" s="221"/>
      <c r="J283" s="221"/>
      <c r="K283" s="221"/>
      <c r="L283" s="221"/>
      <c r="M283" s="221"/>
      <c r="N283" s="221"/>
      <c r="O283" s="221"/>
      <c r="P283" s="221"/>
      <c r="Q283" s="221"/>
      <c r="R283" s="221"/>
      <c r="S283" s="221"/>
      <c r="T283" s="221"/>
      <c r="U283" s="221"/>
      <c r="V283" s="221"/>
      <c r="X283" s="193"/>
      <c r="AA283" s="474" t="s">
        <v>317</v>
      </c>
      <c r="AC283" s="228"/>
      <c r="AE283" s="163"/>
      <c r="AF283" s="163"/>
      <c r="AG283" s="163"/>
      <c r="AH283" s="163"/>
      <c r="AI283" s="163"/>
      <c r="AJ283" s="163"/>
      <c r="AK283" s="163"/>
      <c r="AL283" s="163"/>
      <c r="AM283" s="163"/>
      <c r="AN283" s="163"/>
      <c r="AO283" s="163"/>
      <c r="AP283" s="163"/>
      <c r="AQ283" s="477"/>
      <c r="AR283" s="163"/>
      <c r="AS283" s="477"/>
      <c r="AT283" s="163"/>
      <c r="AU283" s="163"/>
      <c r="AV283" s="163"/>
      <c r="AW283" s="163"/>
      <c r="AY283" s="193"/>
    </row>
    <row r="284" spans="1:51" ht="12.75">
      <c r="A284" s="306"/>
      <c r="B284" s="306"/>
      <c r="C284" s="236"/>
      <c r="D284" s="241" t="s">
        <v>207</v>
      </c>
      <c r="E284" s="315"/>
      <c r="F284" s="154">
        <v>17</v>
      </c>
      <c r="G284"/>
      <c r="H284" s="376">
        <v>37450</v>
      </c>
      <c r="I284" s="306"/>
      <c r="J284" s="235">
        <f aca="true" t="shared" si="73" ref="J284:J306">(VLOOKUP($F284,Factors,J$384))*$H284</f>
        <v>18650.1</v>
      </c>
      <c r="K284" s="373"/>
      <c r="L284" s="235">
        <f aca="true" t="shared" si="74" ref="L284:L306">(VLOOKUP($F284,Factors,L$384))*$H284</f>
        <v>9946.72</v>
      </c>
      <c r="M284" s="373"/>
      <c r="N284" s="235">
        <f aca="true" t="shared" si="75" ref="N284:N306">(VLOOKUP($F284,Factors,N$384))*$H284</f>
        <v>1153.46</v>
      </c>
      <c r="O284" s="373"/>
      <c r="P284" s="235">
        <f aca="true" t="shared" si="76" ref="P284:P306">(VLOOKUP($F284,Factors,P$384))*$H284</f>
        <v>3550.2599999999998</v>
      </c>
      <c r="Q284" s="373"/>
      <c r="R284" s="235">
        <f aca="true" t="shared" si="77" ref="R284:R306">(VLOOKUP($F284,Factors,R$384))*$H284</f>
        <v>1014.895</v>
      </c>
      <c r="S284" s="373"/>
      <c r="T284" s="235">
        <f aca="true" t="shared" si="78" ref="T284:T306">(VLOOKUP($F284,Factors,T$384))*$H284</f>
        <v>1145.97</v>
      </c>
      <c r="U284" s="373"/>
      <c r="V284" s="235">
        <f aca="true" t="shared" si="79" ref="V284:V306">(VLOOKUP($F284,Factors,V$384))*$H284</f>
        <v>1988.595</v>
      </c>
      <c r="W284" s="236"/>
      <c r="X284" s="236"/>
      <c r="AA284" s="241" t="s">
        <v>207</v>
      </c>
      <c r="AC284" s="280">
        <f>+F284</f>
        <v>17</v>
      </c>
      <c r="AE284" s="161">
        <f>+H284</f>
        <v>37450</v>
      </c>
      <c r="AG284" s="148">
        <f aca="true" t="shared" si="80" ref="AG284:AG306">(VLOOKUP($AC284,func,AG$384))*$AE284</f>
        <v>17036.004999999997</v>
      </c>
      <c r="AH284" s="148"/>
      <c r="AI284" s="148">
        <f aca="true" t="shared" si="81" ref="AI284:AI306">(VLOOKUP($AC284,func,AI$384))*$AE284</f>
        <v>9310.07</v>
      </c>
      <c r="AJ284" s="148"/>
      <c r="AK284" s="148">
        <f aca="true" t="shared" si="82" ref="AK284:AK306">(VLOOKUP($AC284,func,AK$384))*$AE284</f>
        <v>4052.09</v>
      </c>
      <c r="AL284" s="148"/>
      <c r="AM284" s="148">
        <f aca="true" t="shared" si="83" ref="AM284:AM306">(VLOOKUP($AC284,func,AM$384))*$AE284</f>
        <v>2512.8950000000004</v>
      </c>
      <c r="AN284" s="148"/>
      <c r="AO284" s="148">
        <f aca="true" t="shared" si="84" ref="AO284:AO306">(VLOOKUP($AC284,func,AO$384))*$AE284</f>
        <v>850.115</v>
      </c>
      <c r="AP284" s="148"/>
      <c r="AQ284" s="148">
        <f aca="true" t="shared" si="85" ref="AQ284:AS306">(VLOOKUP($AC284,func,AQ$384))*$AE284</f>
        <v>494.34</v>
      </c>
      <c r="AR284" s="148"/>
      <c r="AS284" s="148">
        <f t="shared" si="85"/>
        <v>104.86</v>
      </c>
      <c r="AT284" s="148"/>
      <c r="AU284" s="148">
        <f aca="true" t="shared" si="86" ref="AU284:AW306">(VLOOKUP($AC284,func,AU$384))*$AE284</f>
        <v>1123.5</v>
      </c>
      <c r="AV284" s="148"/>
      <c r="AW284" s="148">
        <f t="shared" si="86"/>
        <v>1966.125</v>
      </c>
      <c r="AY284" s="193"/>
    </row>
    <row r="285" spans="1:51" ht="12.75">
      <c r="A285" s="242"/>
      <c r="B285" s="243"/>
      <c r="C285" s="236"/>
      <c r="D285" s="241" t="s">
        <v>208</v>
      </c>
      <c r="E285" s="315"/>
      <c r="F285" s="154">
        <v>17</v>
      </c>
      <c r="G285"/>
      <c r="H285" s="376">
        <v>70261</v>
      </c>
      <c r="I285" s="462"/>
      <c r="J285" s="235">
        <f t="shared" si="73"/>
        <v>34989.978</v>
      </c>
      <c r="K285" s="373"/>
      <c r="L285" s="235">
        <f t="shared" si="74"/>
        <v>18661.3216</v>
      </c>
      <c r="M285" s="373"/>
      <c r="N285" s="235">
        <f t="shared" si="75"/>
        <v>2164.0388000000003</v>
      </c>
      <c r="O285" s="373"/>
      <c r="P285" s="235">
        <f t="shared" si="76"/>
        <v>6660.7428</v>
      </c>
      <c r="Q285" s="373"/>
      <c r="R285" s="235">
        <f t="shared" si="77"/>
        <v>1904.0730999999998</v>
      </c>
      <c r="S285" s="373"/>
      <c r="T285" s="235">
        <f t="shared" si="78"/>
        <v>2149.9865999999997</v>
      </c>
      <c r="U285" s="373"/>
      <c r="V285" s="235">
        <f t="shared" si="79"/>
        <v>3730.8591</v>
      </c>
      <c r="W285" s="236"/>
      <c r="X285" s="236"/>
      <c r="AA285" s="241" t="s">
        <v>208</v>
      </c>
      <c r="AC285" s="280">
        <f aca="true" t="shared" si="87" ref="AC285:AC306">+F285</f>
        <v>17</v>
      </c>
      <c r="AE285" s="161">
        <f aca="true" t="shared" si="88" ref="AE285:AE306">+H285</f>
        <v>70261</v>
      </c>
      <c r="AG285" s="148">
        <f t="shared" si="80"/>
        <v>31961.7289</v>
      </c>
      <c r="AH285" s="148"/>
      <c r="AI285" s="148">
        <f t="shared" si="81"/>
        <v>17466.884599999998</v>
      </c>
      <c r="AJ285" s="148"/>
      <c r="AK285" s="148">
        <f t="shared" si="82"/>
        <v>7602.2402</v>
      </c>
      <c r="AL285" s="148"/>
      <c r="AM285" s="148">
        <f t="shared" si="83"/>
        <v>4714.5131</v>
      </c>
      <c r="AN285" s="148"/>
      <c r="AO285" s="148">
        <f t="shared" si="84"/>
        <v>1594.9247</v>
      </c>
      <c r="AP285" s="148"/>
      <c r="AQ285" s="148">
        <f t="shared" si="85"/>
        <v>927.4452</v>
      </c>
      <c r="AR285" s="148"/>
      <c r="AS285" s="148">
        <f t="shared" si="85"/>
        <v>196.7308</v>
      </c>
      <c r="AT285" s="148"/>
      <c r="AU285" s="148">
        <f t="shared" si="86"/>
        <v>2107.83</v>
      </c>
      <c r="AV285" s="148"/>
      <c r="AW285" s="148">
        <f t="shared" si="86"/>
        <v>3688.7025</v>
      </c>
      <c r="AY285" s="193"/>
    </row>
    <row r="286" spans="1:51" ht="12.75">
      <c r="A286" s="242"/>
      <c r="B286" s="243"/>
      <c r="C286" s="236"/>
      <c r="D286" s="241" t="s">
        <v>209</v>
      </c>
      <c r="E286" s="315"/>
      <c r="F286" s="154">
        <v>17</v>
      </c>
      <c r="G286"/>
      <c r="H286" s="376">
        <v>6340</v>
      </c>
      <c r="I286" s="306"/>
      <c r="J286" s="235">
        <f t="shared" si="73"/>
        <v>3157.32</v>
      </c>
      <c r="K286" s="373"/>
      <c r="L286" s="235">
        <f t="shared" si="74"/>
        <v>1683.904</v>
      </c>
      <c r="M286" s="373"/>
      <c r="N286" s="235">
        <f t="shared" si="75"/>
        <v>195.27200000000002</v>
      </c>
      <c r="O286" s="373"/>
      <c r="P286" s="235">
        <f t="shared" si="76"/>
        <v>601.0319999999999</v>
      </c>
      <c r="Q286" s="373"/>
      <c r="R286" s="235">
        <f t="shared" si="77"/>
        <v>171.814</v>
      </c>
      <c r="S286" s="373"/>
      <c r="T286" s="235">
        <f t="shared" si="78"/>
        <v>194.004</v>
      </c>
      <c r="U286" s="373"/>
      <c r="V286" s="235">
        <f t="shared" si="79"/>
        <v>336.654</v>
      </c>
      <c r="W286" s="236"/>
      <c r="X286" s="236"/>
      <c r="AA286" s="241" t="s">
        <v>209</v>
      </c>
      <c r="AC286" s="280">
        <f t="shared" si="87"/>
        <v>17</v>
      </c>
      <c r="AE286" s="161">
        <f t="shared" si="88"/>
        <v>6340</v>
      </c>
      <c r="AG286" s="148">
        <f t="shared" si="80"/>
        <v>2884.066</v>
      </c>
      <c r="AH286" s="148"/>
      <c r="AI286" s="148">
        <f t="shared" si="81"/>
        <v>1576.124</v>
      </c>
      <c r="AJ286" s="148"/>
      <c r="AK286" s="148">
        <f t="shared" si="82"/>
        <v>685.988</v>
      </c>
      <c r="AL286" s="148"/>
      <c r="AM286" s="148">
        <f t="shared" si="83"/>
        <v>425.41400000000004</v>
      </c>
      <c r="AN286" s="148"/>
      <c r="AO286" s="148">
        <f t="shared" si="84"/>
        <v>143.918</v>
      </c>
      <c r="AP286" s="148"/>
      <c r="AQ286" s="148">
        <f t="shared" si="85"/>
        <v>83.688</v>
      </c>
      <c r="AR286" s="148"/>
      <c r="AS286" s="148">
        <f t="shared" si="85"/>
        <v>17.752</v>
      </c>
      <c r="AT286" s="148"/>
      <c r="AU286" s="148">
        <f t="shared" si="86"/>
        <v>190.2</v>
      </c>
      <c r="AV286" s="148"/>
      <c r="AW286" s="148">
        <f t="shared" si="86"/>
        <v>332.84999999999997</v>
      </c>
      <c r="AY286" s="193"/>
    </row>
    <row r="287" spans="1:51" ht="12.75">
      <c r="A287" s="242"/>
      <c r="B287" s="243"/>
      <c r="C287" s="236"/>
      <c r="D287" s="241" t="s">
        <v>275</v>
      </c>
      <c r="E287" s="315"/>
      <c r="F287" s="154">
        <v>17</v>
      </c>
      <c r="G287"/>
      <c r="H287" s="376">
        <v>516446</v>
      </c>
      <c r="I287" s="306"/>
      <c r="J287" s="235">
        <f t="shared" si="73"/>
        <v>257190.108</v>
      </c>
      <c r="K287" s="373"/>
      <c r="L287" s="235">
        <f t="shared" si="74"/>
        <v>137168.0576</v>
      </c>
      <c r="M287" s="373"/>
      <c r="N287" s="235">
        <f t="shared" si="75"/>
        <v>15906.5368</v>
      </c>
      <c r="O287" s="373"/>
      <c r="P287" s="235">
        <f t="shared" si="76"/>
        <v>48959.080799999996</v>
      </c>
      <c r="Q287" s="373"/>
      <c r="R287" s="235">
        <f t="shared" si="77"/>
        <v>13995.686599999999</v>
      </c>
      <c r="S287" s="373"/>
      <c r="T287" s="235">
        <f t="shared" si="78"/>
        <v>15803.247599999999</v>
      </c>
      <c r="U287" s="373"/>
      <c r="V287" s="235">
        <f t="shared" si="79"/>
        <v>27423.282600000002</v>
      </c>
      <c r="W287" s="236"/>
      <c r="X287" s="236"/>
      <c r="AA287" s="241" t="s">
        <v>275</v>
      </c>
      <c r="AC287" s="280">
        <f t="shared" si="87"/>
        <v>17</v>
      </c>
      <c r="AE287" s="161">
        <f t="shared" si="88"/>
        <v>516446</v>
      </c>
      <c r="AG287" s="148">
        <f t="shared" si="80"/>
        <v>234931.2854</v>
      </c>
      <c r="AH287" s="148"/>
      <c r="AI287" s="148">
        <f t="shared" si="81"/>
        <v>128388.47559999999</v>
      </c>
      <c r="AJ287" s="148"/>
      <c r="AK287" s="148">
        <f t="shared" si="82"/>
        <v>55879.457200000004</v>
      </c>
      <c r="AL287" s="148"/>
      <c r="AM287" s="148">
        <f t="shared" si="83"/>
        <v>34653.526600000005</v>
      </c>
      <c r="AN287" s="148"/>
      <c r="AO287" s="148">
        <f t="shared" si="84"/>
        <v>11723.324200000001</v>
      </c>
      <c r="AP287" s="148"/>
      <c r="AQ287" s="148">
        <f t="shared" si="85"/>
        <v>6817.0872</v>
      </c>
      <c r="AR287" s="148"/>
      <c r="AS287" s="148">
        <f t="shared" si="85"/>
        <v>1446.0488</v>
      </c>
      <c r="AT287" s="148"/>
      <c r="AU287" s="148">
        <f t="shared" si="86"/>
        <v>15493.38</v>
      </c>
      <c r="AV287" s="148"/>
      <c r="AW287" s="148">
        <f t="shared" si="86"/>
        <v>27113.414999999997</v>
      </c>
      <c r="AY287" s="193"/>
    </row>
    <row r="288" spans="1:51" ht="12.75">
      <c r="A288" s="242"/>
      <c r="B288" s="243"/>
      <c r="C288" s="236"/>
      <c r="D288" s="241" t="s">
        <v>210</v>
      </c>
      <c r="E288" s="315"/>
      <c r="F288" s="154">
        <v>2</v>
      </c>
      <c r="G288"/>
      <c r="H288" s="376">
        <v>953579</v>
      </c>
      <c r="I288" s="306"/>
      <c r="J288" s="235">
        <f t="shared" si="73"/>
        <v>477457.0052999999</v>
      </c>
      <c r="K288" s="373"/>
      <c r="L288" s="235">
        <f t="shared" si="74"/>
        <v>292081.2477</v>
      </c>
      <c r="M288" s="373"/>
      <c r="N288" s="235">
        <f t="shared" si="75"/>
        <v>36522.0757</v>
      </c>
      <c r="O288" s="373"/>
      <c r="P288" s="235">
        <f t="shared" si="76"/>
        <v>111378.0272</v>
      </c>
      <c r="Q288" s="373"/>
      <c r="R288" s="235">
        <f t="shared" si="77"/>
        <v>32993.833399999996</v>
      </c>
      <c r="S288" s="373"/>
      <c r="T288" s="235">
        <f t="shared" si="78"/>
        <v>1430.3685</v>
      </c>
      <c r="U288" s="373"/>
      <c r="V288" s="235">
        <f t="shared" si="79"/>
        <v>1716.4422</v>
      </c>
      <c r="W288" s="236"/>
      <c r="X288" s="236"/>
      <c r="AA288" s="241" t="s">
        <v>210</v>
      </c>
      <c r="AC288" s="280">
        <f t="shared" si="87"/>
        <v>2</v>
      </c>
      <c r="AE288" s="161">
        <f t="shared" si="88"/>
        <v>953579</v>
      </c>
      <c r="AG288" s="148">
        <f t="shared" si="80"/>
        <v>574817.4212</v>
      </c>
      <c r="AH288" s="148"/>
      <c r="AI288" s="148">
        <f t="shared" si="81"/>
        <v>375614.7681</v>
      </c>
      <c r="AJ288" s="148"/>
      <c r="AK288" s="148">
        <f t="shared" si="82"/>
        <v>0</v>
      </c>
      <c r="AL288" s="148"/>
      <c r="AM288" s="148">
        <f t="shared" si="83"/>
        <v>0</v>
      </c>
      <c r="AN288" s="148"/>
      <c r="AO288" s="148">
        <f t="shared" si="84"/>
        <v>0</v>
      </c>
      <c r="AP288" s="148"/>
      <c r="AQ288" s="148">
        <f t="shared" si="85"/>
        <v>0</v>
      </c>
      <c r="AR288" s="148"/>
      <c r="AS288" s="148">
        <f t="shared" si="85"/>
        <v>0</v>
      </c>
      <c r="AT288" s="148"/>
      <c r="AU288" s="148">
        <f t="shared" si="86"/>
        <v>1430.3685</v>
      </c>
      <c r="AV288" s="148"/>
      <c r="AW288" s="148">
        <f t="shared" si="86"/>
        <v>1716.4422</v>
      </c>
      <c r="AY288" s="193"/>
    </row>
    <row r="289" spans="1:51" ht="12.75">
      <c r="A289" s="242"/>
      <c r="B289" s="243"/>
      <c r="C289" s="236"/>
      <c r="D289" s="241" t="s">
        <v>211</v>
      </c>
      <c r="E289" s="315"/>
      <c r="F289" s="154">
        <v>2</v>
      </c>
      <c r="G289"/>
      <c r="H289" s="376">
        <v>15946932</v>
      </c>
      <c r="I289" s="306"/>
      <c r="J289" s="235">
        <f t="shared" si="73"/>
        <v>7984628.852399998</v>
      </c>
      <c r="K289" s="373"/>
      <c r="L289" s="235">
        <f t="shared" si="74"/>
        <v>4884545.271600001</v>
      </c>
      <c r="M289" s="373"/>
      <c r="N289" s="235">
        <f t="shared" si="75"/>
        <v>610767.4956</v>
      </c>
      <c r="O289" s="373"/>
      <c r="P289" s="235">
        <f t="shared" si="76"/>
        <v>1862601.6576</v>
      </c>
      <c r="Q289" s="373"/>
      <c r="R289" s="235">
        <f t="shared" si="77"/>
        <v>551763.8472</v>
      </c>
      <c r="S289" s="373"/>
      <c r="T289" s="235">
        <f t="shared" si="78"/>
        <v>23920.398</v>
      </c>
      <c r="U289" s="373"/>
      <c r="V289" s="235">
        <f t="shared" si="79"/>
        <v>28704.4776</v>
      </c>
      <c r="W289" s="236"/>
      <c r="X289" s="236"/>
      <c r="AA289" s="241" t="s">
        <v>211</v>
      </c>
      <c r="AC289" s="280">
        <f t="shared" si="87"/>
        <v>2</v>
      </c>
      <c r="AE289" s="161">
        <f t="shared" si="88"/>
        <v>15946932</v>
      </c>
      <c r="AG289" s="148">
        <f t="shared" si="80"/>
        <v>9612810.6096</v>
      </c>
      <c r="AH289" s="148"/>
      <c r="AI289" s="148">
        <f t="shared" si="81"/>
        <v>6281496.5148</v>
      </c>
      <c r="AJ289" s="148"/>
      <c r="AK289" s="148">
        <f t="shared" si="82"/>
        <v>0</v>
      </c>
      <c r="AL289" s="148"/>
      <c r="AM289" s="148">
        <f t="shared" si="83"/>
        <v>0</v>
      </c>
      <c r="AN289" s="148"/>
      <c r="AO289" s="148">
        <f t="shared" si="84"/>
        <v>0</v>
      </c>
      <c r="AP289" s="148"/>
      <c r="AQ289" s="148">
        <f t="shared" si="85"/>
        <v>0</v>
      </c>
      <c r="AR289" s="148"/>
      <c r="AS289" s="148">
        <f t="shared" si="85"/>
        <v>0</v>
      </c>
      <c r="AT289" s="148"/>
      <c r="AU289" s="148">
        <f t="shared" si="86"/>
        <v>23920.398</v>
      </c>
      <c r="AV289" s="148"/>
      <c r="AW289" s="148">
        <f t="shared" si="86"/>
        <v>28704.4776</v>
      </c>
      <c r="AY289" s="193"/>
    </row>
    <row r="290" spans="1:51" ht="12.75">
      <c r="A290" s="242"/>
      <c r="B290" s="243"/>
      <c r="C290" s="236"/>
      <c r="D290" s="241" t="s">
        <v>276</v>
      </c>
      <c r="E290" s="315"/>
      <c r="F290" s="154">
        <v>1</v>
      </c>
      <c r="G290"/>
      <c r="H290" s="376">
        <v>634189</v>
      </c>
      <c r="I290" s="306"/>
      <c r="J290" s="235">
        <f t="shared" si="73"/>
        <v>309674.4887</v>
      </c>
      <c r="K290" s="373"/>
      <c r="L290" s="235">
        <f t="shared" si="74"/>
        <v>193934.99620000002</v>
      </c>
      <c r="M290" s="373"/>
      <c r="N290" s="235">
        <f t="shared" si="75"/>
        <v>26001.749</v>
      </c>
      <c r="O290" s="373"/>
      <c r="P290" s="235">
        <f t="shared" si="76"/>
        <v>77561.3147</v>
      </c>
      <c r="Q290" s="373"/>
      <c r="R290" s="235">
        <f t="shared" si="77"/>
        <v>23528.4119</v>
      </c>
      <c r="S290" s="373"/>
      <c r="T290" s="235">
        <f t="shared" si="78"/>
        <v>1585.4725</v>
      </c>
      <c r="U290" s="373"/>
      <c r="V290" s="235">
        <f t="shared" si="79"/>
        <v>1902.567</v>
      </c>
      <c r="W290" s="236"/>
      <c r="X290" s="236"/>
      <c r="AA290" s="241" t="s">
        <v>276</v>
      </c>
      <c r="AC290" s="280">
        <f t="shared" si="87"/>
        <v>1</v>
      </c>
      <c r="AE290" s="161">
        <f t="shared" si="88"/>
        <v>634189</v>
      </c>
      <c r="AG290" s="148">
        <f t="shared" si="80"/>
        <v>630700.9605</v>
      </c>
      <c r="AH290" s="148"/>
      <c r="AI290" s="148">
        <f t="shared" si="81"/>
        <v>0</v>
      </c>
      <c r="AJ290" s="148"/>
      <c r="AK290" s="148">
        <f t="shared" si="82"/>
        <v>0</v>
      </c>
      <c r="AL290" s="148"/>
      <c r="AM290" s="148">
        <f t="shared" si="83"/>
        <v>0</v>
      </c>
      <c r="AN290" s="148"/>
      <c r="AO290" s="148">
        <f t="shared" si="84"/>
        <v>0</v>
      </c>
      <c r="AP290" s="148"/>
      <c r="AQ290" s="148">
        <f t="shared" si="85"/>
        <v>0</v>
      </c>
      <c r="AR290" s="148"/>
      <c r="AS290" s="148">
        <f t="shared" si="85"/>
        <v>0</v>
      </c>
      <c r="AT290" s="148"/>
      <c r="AU290" s="148">
        <f t="shared" si="86"/>
        <v>1585.4725</v>
      </c>
      <c r="AV290" s="148"/>
      <c r="AW290" s="148">
        <f t="shared" si="86"/>
        <v>1902.567</v>
      </c>
      <c r="AY290" s="193"/>
    </row>
    <row r="291" spans="1:51" ht="12.75">
      <c r="A291" s="242"/>
      <c r="B291" s="243"/>
      <c r="C291" s="236"/>
      <c r="D291" s="241" t="s">
        <v>213</v>
      </c>
      <c r="E291" s="315"/>
      <c r="F291" s="154">
        <v>2</v>
      </c>
      <c r="G291"/>
      <c r="H291" s="376">
        <v>6012952</v>
      </c>
      <c r="I291" s="306"/>
      <c r="J291" s="235">
        <f t="shared" si="73"/>
        <v>3010685.0663999994</v>
      </c>
      <c r="K291" s="373"/>
      <c r="L291" s="235">
        <f t="shared" si="74"/>
        <v>1841767.1976</v>
      </c>
      <c r="M291" s="373"/>
      <c r="N291" s="235">
        <f t="shared" si="75"/>
        <v>230296.06160000002</v>
      </c>
      <c r="O291" s="373"/>
      <c r="P291" s="235">
        <f t="shared" si="76"/>
        <v>702312.7936</v>
      </c>
      <c r="Q291" s="373"/>
      <c r="R291" s="235">
        <f t="shared" si="77"/>
        <v>208048.1392</v>
      </c>
      <c r="S291" s="373"/>
      <c r="T291" s="235">
        <f t="shared" si="78"/>
        <v>9019.428</v>
      </c>
      <c r="U291" s="373"/>
      <c r="V291" s="235">
        <f t="shared" si="79"/>
        <v>10823.3136</v>
      </c>
      <c r="W291" s="236"/>
      <c r="X291" s="236"/>
      <c r="AA291" s="241" t="s">
        <v>213</v>
      </c>
      <c r="AC291" s="280">
        <f t="shared" si="87"/>
        <v>2</v>
      </c>
      <c r="AE291" s="161">
        <f t="shared" si="88"/>
        <v>6012952</v>
      </c>
      <c r="AG291" s="148">
        <f t="shared" si="80"/>
        <v>3624607.4656</v>
      </c>
      <c r="AH291" s="148"/>
      <c r="AI291" s="148">
        <f t="shared" si="81"/>
        <v>2368501.7928</v>
      </c>
      <c r="AJ291" s="148"/>
      <c r="AK291" s="148">
        <f t="shared" si="82"/>
        <v>0</v>
      </c>
      <c r="AL291" s="148"/>
      <c r="AM291" s="148">
        <f t="shared" si="83"/>
        <v>0</v>
      </c>
      <c r="AN291" s="148"/>
      <c r="AO291" s="148">
        <f t="shared" si="84"/>
        <v>0</v>
      </c>
      <c r="AP291" s="148"/>
      <c r="AQ291" s="148">
        <f t="shared" si="85"/>
        <v>0</v>
      </c>
      <c r="AR291" s="148"/>
      <c r="AS291" s="148">
        <f t="shared" si="85"/>
        <v>0</v>
      </c>
      <c r="AT291" s="148"/>
      <c r="AU291" s="148">
        <f t="shared" si="86"/>
        <v>9019.428</v>
      </c>
      <c r="AV291" s="148"/>
      <c r="AW291" s="148">
        <f t="shared" si="86"/>
        <v>10823.3136</v>
      </c>
      <c r="AY291" s="193"/>
    </row>
    <row r="292" spans="1:51" ht="12.75">
      <c r="A292" s="242"/>
      <c r="B292" s="243"/>
      <c r="C292" s="236"/>
      <c r="D292" s="241" t="s">
        <v>214</v>
      </c>
      <c r="E292" s="315"/>
      <c r="F292" s="154">
        <v>2</v>
      </c>
      <c r="G292"/>
      <c r="H292" s="376">
        <v>0</v>
      </c>
      <c r="I292" s="306"/>
      <c r="J292" s="235">
        <f t="shared" si="73"/>
        <v>0</v>
      </c>
      <c r="K292" s="373"/>
      <c r="L292" s="235">
        <f t="shared" si="74"/>
        <v>0</v>
      </c>
      <c r="M292" s="373"/>
      <c r="N292" s="235">
        <f t="shared" si="75"/>
        <v>0</v>
      </c>
      <c r="O292" s="373"/>
      <c r="P292" s="235">
        <f t="shared" si="76"/>
        <v>0</v>
      </c>
      <c r="Q292" s="373"/>
      <c r="R292" s="235">
        <f t="shared" si="77"/>
        <v>0</v>
      </c>
      <c r="S292" s="373"/>
      <c r="T292" s="235">
        <f t="shared" si="78"/>
        <v>0</v>
      </c>
      <c r="U292" s="373"/>
      <c r="V292" s="235">
        <f t="shared" si="79"/>
        <v>0</v>
      </c>
      <c r="W292" s="236"/>
      <c r="X292" s="236"/>
      <c r="AA292" s="241" t="s">
        <v>214</v>
      </c>
      <c r="AC292" s="280">
        <f t="shared" si="87"/>
        <v>2</v>
      </c>
      <c r="AE292" s="161">
        <f t="shared" si="88"/>
        <v>0</v>
      </c>
      <c r="AG292" s="148">
        <f t="shared" si="80"/>
        <v>0</v>
      </c>
      <c r="AH292" s="148"/>
      <c r="AI292" s="148">
        <f t="shared" si="81"/>
        <v>0</v>
      </c>
      <c r="AJ292" s="148"/>
      <c r="AK292" s="148">
        <f t="shared" si="82"/>
        <v>0</v>
      </c>
      <c r="AL292" s="148"/>
      <c r="AM292" s="148">
        <f t="shared" si="83"/>
        <v>0</v>
      </c>
      <c r="AN292" s="148"/>
      <c r="AO292" s="148">
        <f t="shared" si="84"/>
        <v>0</v>
      </c>
      <c r="AP292" s="148"/>
      <c r="AQ292" s="148">
        <f t="shared" si="85"/>
        <v>0</v>
      </c>
      <c r="AR292" s="148"/>
      <c r="AS292" s="148">
        <f t="shared" si="85"/>
        <v>0</v>
      </c>
      <c r="AT292" s="148"/>
      <c r="AU292" s="148">
        <f t="shared" si="86"/>
        <v>0</v>
      </c>
      <c r="AV292" s="148"/>
      <c r="AW292" s="148">
        <f t="shared" si="86"/>
        <v>0</v>
      </c>
      <c r="AY292" s="193"/>
    </row>
    <row r="293" spans="1:51" ht="12.75">
      <c r="A293" s="242"/>
      <c r="B293" s="243"/>
      <c r="C293" s="236"/>
      <c r="D293" s="241" t="s">
        <v>215</v>
      </c>
      <c r="E293" s="315"/>
      <c r="F293" s="154">
        <v>2</v>
      </c>
      <c r="G293"/>
      <c r="H293" s="376">
        <v>4501356</v>
      </c>
      <c r="I293" s="306"/>
      <c r="J293" s="235">
        <f t="shared" si="73"/>
        <v>2253828.9491999997</v>
      </c>
      <c r="K293" s="373"/>
      <c r="L293" s="235">
        <f t="shared" si="74"/>
        <v>1378765.3428</v>
      </c>
      <c r="M293" s="373"/>
      <c r="N293" s="235">
        <f t="shared" si="75"/>
        <v>172401.93480000002</v>
      </c>
      <c r="O293" s="373"/>
      <c r="P293" s="235">
        <f t="shared" si="76"/>
        <v>525758.3808</v>
      </c>
      <c r="Q293" s="373"/>
      <c r="R293" s="235">
        <f t="shared" si="77"/>
        <v>155746.9176</v>
      </c>
      <c r="S293" s="373"/>
      <c r="T293" s="235">
        <f t="shared" si="78"/>
        <v>6752.034000000001</v>
      </c>
      <c r="U293" s="373"/>
      <c r="V293" s="235">
        <f t="shared" si="79"/>
        <v>8102.440799999999</v>
      </c>
      <c r="W293" s="236"/>
      <c r="X293" s="236"/>
      <c r="AA293" s="241" t="s">
        <v>215</v>
      </c>
      <c r="AC293" s="280">
        <f t="shared" si="87"/>
        <v>2</v>
      </c>
      <c r="AE293" s="161">
        <f t="shared" si="88"/>
        <v>4501356</v>
      </c>
      <c r="AG293" s="148">
        <f t="shared" si="80"/>
        <v>2713417.3968</v>
      </c>
      <c r="AH293" s="148"/>
      <c r="AI293" s="148">
        <f t="shared" si="81"/>
        <v>1773084.1283999998</v>
      </c>
      <c r="AJ293" s="148"/>
      <c r="AK293" s="148">
        <f t="shared" si="82"/>
        <v>0</v>
      </c>
      <c r="AL293" s="148"/>
      <c r="AM293" s="148">
        <f t="shared" si="83"/>
        <v>0</v>
      </c>
      <c r="AN293" s="148"/>
      <c r="AO293" s="148">
        <f t="shared" si="84"/>
        <v>0</v>
      </c>
      <c r="AP293" s="148"/>
      <c r="AQ293" s="148">
        <f t="shared" si="85"/>
        <v>0</v>
      </c>
      <c r="AR293" s="148"/>
      <c r="AS293" s="148">
        <f t="shared" si="85"/>
        <v>0</v>
      </c>
      <c r="AT293" s="148"/>
      <c r="AU293" s="148">
        <f t="shared" si="86"/>
        <v>6752.034000000001</v>
      </c>
      <c r="AV293" s="148"/>
      <c r="AW293" s="148">
        <f t="shared" si="86"/>
        <v>8102.440799999999</v>
      </c>
      <c r="AY293" s="193"/>
    </row>
    <row r="294" spans="1:51" ht="12.75">
      <c r="A294" s="242"/>
      <c r="B294" s="243"/>
      <c r="C294" s="236"/>
      <c r="D294" s="241" t="s">
        <v>277</v>
      </c>
      <c r="E294" s="315"/>
      <c r="F294" s="154">
        <v>6</v>
      </c>
      <c r="G294"/>
      <c r="H294" s="376">
        <v>195364</v>
      </c>
      <c r="I294" s="306"/>
      <c r="J294" s="235">
        <f t="shared" si="73"/>
        <v>92641.60879999999</v>
      </c>
      <c r="K294" s="373"/>
      <c r="L294" s="235">
        <f t="shared" si="74"/>
        <v>56460.195999999996</v>
      </c>
      <c r="M294" s="373"/>
      <c r="N294" s="235">
        <f t="shared" si="75"/>
        <v>6857.2764</v>
      </c>
      <c r="O294" s="373"/>
      <c r="P294" s="235">
        <f t="shared" si="76"/>
        <v>20708.584000000003</v>
      </c>
      <c r="Q294" s="373"/>
      <c r="R294" s="235">
        <f t="shared" si="77"/>
        <v>6017.211200000001</v>
      </c>
      <c r="S294" s="373"/>
      <c r="T294" s="235">
        <f t="shared" si="78"/>
        <v>5685.0924</v>
      </c>
      <c r="U294" s="373"/>
      <c r="V294" s="235">
        <f t="shared" si="79"/>
        <v>6994.031199999999</v>
      </c>
      <c r="W294" s="236"/>
      <c r="X294" s="236"/>
      <c r="AA294" s="241" t="s">
        <v>277</v>
      </c>
      <c r="AC294" s="280">
        <f t="shared" si="87"/>
        <v>6</v>
      </c>
      <c r="AE294" s="161">
        <f t="shared" si="88"/>
        <v>195364</v>
      </c>
      <c r="AG294" s="148">
        <f t="shared" si="80"/>
        <v>101108.58687799999</v>
      </c>
      <c r="AH294" s="148"/>
      <c r="AI294" s="148">
        <f t="shared" si="81"/>
        <v>54193.9736</v>
      </c>
      <c r="AJ294" s="148"/>
      <c r="AK294" s="148">
        <f t="shared" si="82"/>
        <v>27390.579819200004</v>
      </c>
      <c r="AL294" s="148"/>
      <c r="AM294" s="148">
        <f t="shared" si="83"/>
        <v>0</v>
      </c>
      <c r="AN294" s="148"/>
      <c r="AO294" s="148">
        <f t="shared" si="84"/>
        <v>0</v>
      </c>
      <c r="AP294" s="148"/>
      <c r="AQ294" s="148">
        <f t="shared" si="85"/>
        <v>0</v>
      </c>
      <c r="AR294" s="148"/>
      <c r="AS294" s="148">
        <f t="shared" si="85"/>
        <v>0</v>
      </c>
      <c r="AT294" s="148"/>
      <c r="AU294" s="148">
        <f t="shared" si="86"/>
        <v>5682.3963768</v>
      </c>
      <c r="AV294" s="148"/>
      <c r="AW294" s="148">
        <f t="shared" si="86"/>
        <v>6988.463326000001</v>
      </c>
      <c r="AY294" s="193"/>
    </row>
    <row r="295" spans="1:51" ht="12.75">
      <c r="A295" s="242"/>
      <c r="B295" s="243"/>
      <c r="C295" s="236"/>
      <c r="D295" s="241" t="s">
        <v>216</v>
      </c>
      <c r="E295" s="315"/>
      <c r="F295" s="154">
        <v>6</v>
      </c>
      <c r="G295"/>
      <c r="H295" s="376">
        <v>8601353</v>
      </c>
      <c r="I295" s="306"/>
      <c r="J295" s="235">
        <f t="shared" si="73"/>
        <v>4078761.5925999996</v>
      </c>
      <c r="K295" s="373"/>
      <c r="L295" s="235">
        <f t="shared" si="74"/>
        <v>2485791.017</v>
      </c>
      <c r="M295" s="373"/>
      <c r="N295" s="235">
        <f t="shared" si="75"/>
        <v>301907.4903</v>
      </c>
      <c r="O295" s="373"/>
      <c r="P295" s="235">
        <f t="shared" si="76"/>
        <v>911743.4180000001</v>
      </c>
      <c r="Q295" s="373"/>
      <c r="R295" s="235">
        <f t="shared" si="77"/>
        <v>264921.6724</v>
      </c>
      <c r="S295" s="373"/>
      <c r="T295" s="235">
        <f t="shared" si="78"/>
        <v>250299.37230000002</v>
      </c>
      <c r="U295" s="373"/>
      <c r="V295" s="235">
        <f t="shared" si="79"/>
        <v>307928.4374</v>
      </c>
      <c r="W295" s="236"/>
      <c r="X295" s="236"/>
      <c r="AA295" s="241" t="s">
        <v>216</v>
      </c>
      <c r="AC295" s="280">
        <f t="shared" si="87"/>
        <v>6</v>
      </c>
      <c r="AE295" s="161">
        <f t="shared" si="88"/>
        <v>8601353</v>
      </c>
      <c r="AG295" s="148">
        <f t="shared" si="80"/>
        <v>4451539.930943499</v>
      </c>
      <c r="AH295" s="148"/>
      <c r="AI295" s="148">
        <f t="shared" si="81"/>
        <v>2386015.3222</v>
      </c>
      <c r="AJ295" s="148"/>
      <c r="AK295" s="148">
        <f t="shared" si="82"/>
        <v>1205933.7743884001</v>
      </c>
      <c r="AL295" s="148"/>
      <c r="AM295" s="148">
        <f t="shared" si="83"/>
        <v>0</v>
      </c>
      <c r="AN295" s="148"/>
      <c r="AO295" s="148">
        <f t="shared" si="84"/>
        <v>0</v>
      </c>
      <c r="AP295" s="148"/>
      <c r="AQ295" s="148">
        <f t="shared" si="85"/>
        <v>0</v>
      </c>
      <c r="AR295" s="148"/>
      <c r="AS295" s="148">
        <f t="shared" si="85"/>
        <v>0</v>
      </c>
      <c r="AT295" s="148"/>
      <c r="AU295" s="148">
        <f t="shared" si="86"/>
        <v>250180.6736286</v>
      </c>
      <c r="AV295" s="148"/>
      <c r="AW295" s="148">
        <f t="shared" si="86"/>
        <v>307683.29883950006</v>
      </c>
      <c r="AY295" s="193"/>
    </row>
    <row r="296" spans="1:51" ht="12.75">
      <c r="A296" s="242"/>
      <c r="B296" s="243"/>
      <c r="C296" s="236"/>
      <c r="D296" s="241" t="s">
        <v>218</v>
      </c>
      <c r="E296" s="315"/>
      <c r="F296" s="154">
        <v>6</v>
      </c>
      <c r="G296"/>
      <c r="H296" s="376">
        <v>2690040</v>
      </c>
      <c r="I296" s="306"/>
      <c r="J296" s="235">
        <f t="shared" si="73"/>
        <v>1275616.9679999999</v>
      </c>
      <c r="K296" s="373"/>
      <c r="L296" s="235">
        <f t="shared" si="74"/>
        <v>777421.5599999999</v>
      </c>
      <c r="M296" s="373"/>
      <c r="N296" s="235">
        <f t="shared" si="75"/>
        <v>94420.404</v>
      </c>
      <c r="O296" s="373"/>
      <c r="P296" s="235">
        <f t="shared" si="76"/>
        <v>285144.24000000005</v>
      </c>
      <c r="Q296" s="373"/>
      <c r="R296" s="235">
        <f t="shared" si="77"/>
        <v>82853.232</v>
      </c>
      <c r="S296" s="373"/>
      <c r="T296" s="235">
        <f t="shared" si="78"/>
        <v>78280.164</v>
      </c>
      <c r="U296" s="373"/>
      <c r="V296" s="235">
        <f t="shared" si="79"/>
        <v>96303.432</v>
      </c>
      <c r="W296" s="236"/>
      <c r="X296" s="236"/>
      <c r="AA296" s="241" t="s">
        <v>218</v>
      </c>
      <c r="AC296" s="280">
        <f t="shared" si="87"/>
        <v>6</v>
      </c>
      <c r="AE296" s="161">
        <f t="shared" si="88"/>
        <v>2690040</v>
      </c>
      <c r="AG296" s="148">
        <f t="shared" si="80"/>
        <v>1392201.9565799998</v>
      </c>
      <c r="AH296" s="148"/>
      <c r="AI296" s="148">
        <f t="shared" si="81"/>
        <v>746217.0959999999</v>
      </c>
      <c r="AJ296" s="148"/>
      <c r="AK296" s="148">
        <f t="shared" si="82"/>
        <v>377151.14011200005</v>
      </c>
      <c r="AL296" s="148"/>
      <c r="AM296" s="148">
        <f t="shared" si="83"/>
        <v>0</v>
      </c>
      <c r="AN296" s="148"/>
      <c r="AO296" s="148">
        <f t="shared" si="84"/>
        <v>0</v>
      </c>
      <c r="AP296" s="148"/>
      <c r="AQ296" s="148">
        <f t="shared" si="85"/>
        <v>0</v>
      </c>
      <c r="AR296" s="148"/>
      <c r="AS296" s="148">
        <f t="shared" si="85"/>
        <v>0</v>
      </c>
      <c r="AT296" s="148"/>
      <c r="AU296" s="148">
        <f t="shared" si="86"/>
        <v>78243.041448</v>
      </c>
      <c r="AV296" s="148"/>
      <c r="AW296" s="148">
        <f t="shared" si="86"/>
        <v>96226.76586000001</v>
      </c>
      <c r="AY296" s="193"/>
    </row>
    <row r="297" spans="1:51" ht="12.75">
      <c r="A297" s="242"/>
      <c r="B297" s="243"/>
      <c r="C297" s="236"/>
      <c r="D297" s="241" t="s">
        <v>219</v>
      </c>
      <c r="E297" s="315"/>
      <c r="F297" s="154">
        <v>6</v>
      </c>
      <c r="G297"/>
      <c r="H297" s="376">
        <v>14424653</v>
      </c>
      <c r="I297" s="306"/>
      <c r="J297" s="235">
        <f t="shared" si="73"/>
        <v>6840170.4525999995</v>
      </c>
      <c r="K297" s="373"/>
      <c r="L297" s="235">
        <f t="shared" si="74"/>
        <v>4168724.7169999997</v>
      </c>
      <c r="M297" s="373"/>
      <c r="N297" s="235">
        <f t="shared" si="75"/>
        <v>506305.32029999996</v>
      </c>
      <c r="O297" s="373"/>
      <c r="P297" s="235">
        <f t="shared" si="76"/>
        <v>1529013.218</v>
      </c>
      <c r="Q297" s="373"/>
      <c r="R297" s="235">
        <f t="shared" si="77"/>
        <v>444279.3124</v>
      </c>
      <c r="S297" s="373"/>
      <c r="T297" s="235">
        <f t="shared" si="78"/>
        <v>419757.4023</v>
      </c>
      <c r="U297" s="373"/>
      <c r="V297" s="235">
        <f t="shared" si="79"/>
        <v>516402.57739999995</v>
      </c>
      <c r="W297" s="236"/>
      <c r="X297" s="236"/>
      <c r="AA297" s="241" t="s">
        <v>219</v>
      </c>
      <c r="AC297" s="280">
        <f t="shared" si="87"/>
        <v>6</v>
      </c>
      <c r="AE297" s="161">
        <f t="shared" si="88"/>
        <v>14424653</v>
      </c>
      <c r="AG297" s="148">
        <f t="shared" si="80"/>
        <v>7465327.701293499</v>
      </c>
      <c r="AH297" s="148"/>
      <c r="AI297" s="148">
        <f t="shared" si="81"/>
        <v>4001398.7421999997</v>
      </c>
      <c r="AJ297" s="148"/>
      <c r="AK297" s="148">
        <f t="shared" si="82"/>
        <v>2022376.7396284002</v>
      </c>
      <c r="AL297" s="148"/>
      <c r="AM297" s="148">
        <f t="shared" si="83"/>
        <v>0</v>
      </c>
      <c r="AN297" s="148"/>
      <c r="AO297" s="148">
        <f t="shared" si="84"/>
        <v>0</v>
      </c>
      <c r="AP297" s="148"/>
      <c r="AQ297" s="148">
        <f t="shared" si="85"/>
        <v>0</v>
      </c>
      <c r="AR297" s="148"/>
      <c r="AS297" s="148">
        <f t="shared" si="85"/>
        <v>0</v>
      </c>
      <c r="AT297" s="148"/>
      <c r="AU297" s="148">
        <f t="shared" si="86"/>
        <v>419558.3420886</v>
      </c>
      <c r="AV297" s="148"/>
      <c r="AW297" s="148">
        <f t="shared" si="86"/>
        <v>515991.47478950006</v>
      </c>
      <c r="AY297" s="193"/>
    </row>
    <row r="298" spans="1:51" ht="12.75">
      <c r="A298" s="358"/>
      <c r="B298" s="359"/>
      <c r="C298" s="236"/>
      <c r="D298" s="241" t="s">
        <v>220</v>
      </c>
      <c r="E298" s="315"/>
      <c r="F298" s="154">
        <v>6</v>
      </c>
      <c r="G298"/>
      <c r="H298" s="376">
        <v>346201</v>
      </c>
      <c r="I298" s="306"/>
      <c r="J298" s="235">
        <f t="shared" si="73"/>
        <v>164168.51419999998</v>
      </c>
      <c r="K298" s="373"/>
      <c r="L298" s="235">
        <f t="shared" si="74"/>
        <v>100052.08899999999</v>
      </c>
      <c r="M298" s="373"/>
      <c r="N298" s="235">
        <f t="shared" si="75"/>
        <v>12151.6551</v>
      </c>
      <c r="O298" s="373"/>
      <c r="P298" s="235">
        <f t="shared" si="76"/>
        <v>36697.306000000004</v>
      </c>
      <c r="Q298" s="373"/>
      <c r="R298" s="235">
        <f t="shared" si="77"/>
        <v>10662.9908</v>
      </c>
      <c r="S298" s="373"/>
      <c r="T298" s="235">
        <f t="shared" si="78"/>
        <v>10074.4491</v>
      </c>
      <c r="U298" s="373"/>
      <c r="V298" s="235">
        <f t="shared" si="79"/>
        <v>12393.995799999999</v>
      </c>
      <c r="W298" s="236"/>
      <c r="X298" s="236"/>
      <c r="AA298" s="241" t="s">
        <v>220</v>
      </c>
      <c r="AC298" s="280">
        <f t="shared" si="87"/>
        <v>6</v>
      </c>
      <c r="AE298" s="161">
        <f t="shared" si="88"/>
        <v>346201</v>
      </c>
      <c r="AG298" s="148">
        <f t="shared" si="80"/>
        <v>179172.69243949998</v>
      </c>
      <c r="AH298" s="148"/>
      <c r="AI298" s="148">
        <f t="shared" si="81"/>
        <v>96036.1574</v>
      </c>
      <c r="AJ298" s="148"/>
      <c r="AK298" s="148">
        <f t="shared" si="82"/>
        <v>48538.34956280001</v>
      </c>
      <c r="AL298" s="148"/>
      <c r="AM298" s="148">
        <f t="shared" si="83"/>
        <v>0</v>
      </c>
      <c r="AN298" s="148"/>
      <c r="AO298" s="148">
        <f t="shared" si="84"/>
        <v>0</v>
      </c>
      <c r="AP298" s="148"/>
      <c r="AQ298" s="148">
        <f t="shared" si="85"/>
        <v>0</v>
      </c>
      <c r="AR298" s="148"/>
      <c r="AS298" s="148">
        <f t="shared" si="85"/>
        <v>0</v>
      </c>
      <c r="AT298" s="148"/>
      <c r="AU298" s="148">
        <f t="shared" si="86"/>
        <v>10069.6715262</v>
      </c>
      <c r="AV298" s="148"/>
      <c r="AW298" s="148">
        <f t="shared" si="86"/>
        <v>12384.129071500001</v>
      </c>
      <c r="AY298" s="193"/>
    </row>
    <row r="299" spans="1:51" ht="12.75">
      <c r="A299" s="242"/>
      <c r="B299" s="243"/>
      <c r="C299" s="236"/>
      <c r="D299" s="241" t="s">
        <v>278</v>
      </c>
      <c r="E299" s="315"/>
      <c r="F299" s="154">
        <v>6</v>
      </c>
      <c r="G299"/>
      <c r="H299" s="376">
        <v>8163505</v>
      </c>
      <c r="I299" s="306"/>
      <c r="J299" s="235">
        <f t="shared" si="73"/>
        <v>3871134.0709999995</v>
      </c>
      <c r="K299" s="373"/>
      <c r="L299" s="235">
        <f t="shared" si="74"/>
        <v>2359252.945</v>
      </c>
      <c r="M299" s="373"/>
      <c r="N299" s="235">
        <f t="shared" si="75"/>
        <v>286539.0255</v>
      </c>
      <c r="O299" s="373"/>
      <c r="P299" s="235">
        <f t="shared" si="76"/>
        <v>865331.5300000001</v>
      </c>
      <c r="Q299" s="373"/>
      <c r="R299" s="235">
        <f t="shared" si="77"/>
        <v>251435.954</v>
      </c>
      <c r="S299" s="373"/>
      <c r="T299" s="235">
        <f t="shared" si="78"/>
        <v>237557.99550000002</v>
      </c>
      <c r="U299" s="373"/>
      <c r="V299" s="235">
        <f t="shared" si="79"/>
        <v>292253.479</v>
      </c>
      <c r="W299" s="236"/>
      <c r="X299" s="236"/>
      <c r="AA299" s="241" t="s">
        <v>278</v>
      </c>
      <c r="AC299" s="280">
        <f t="shared" si="87"/>
        <v>6</v>
      </c>
      <c r="AE299" s="161">
        <f t="shared" si="88"/>
        <v>8163505</v>
      </c>
      <c r="AG299" s="148">
        <f t="shared" si="80"/>
        <v>4224936.2959475</v>
      </c>
      <c r="AH299" s="148"/>
      <c r="AI299" s="148">
        <f t="shared" si="81"/>
        <v>2264556.287</v>
      </c>
      <c r="AJ299" s="148"/>
      <c r="AK299" s="148">
        <f t="shared" si="82"/>
        <v>1144546.258814</v>
      </c>
      <c r="AL299" s="148"/>
      <c r="AM299" s="148">
        <f t="shared" si="83"/>
        <v>0</v>
      </c>
      <c r="AN299" s="148"/>
      <c r="AO299" s="148">
        <f t="shared" si="84"/>
        <v>0</v>
      </c>
      <c r="AP299" s="148"/>
      <c r="AQ299" s="148">
        <f t="shared" si="85"/>
        <v>0</v>
      </c>
      <c r="AR299" s="148"/>
      <c r="AS299" s="148">
        <f t="shared" si="85"/>
        <v>0</v>
      </c>
      <c r="AT299" s="148"/>
      <c r="AU299" s="148">
        <f t="shared" si="86"/>
        <v>237445.339131</v>
      </c>
      <c r="AV299" s="148"/>
      <c r="AW299" s="148">
        <f t="shared" si="86"/>
        <v>292020.8191075</v>
      </c>
      <c r="AY299" s="193"/>
    </row>
    <row r="300" spans="1:51" ht="12.75">
      <c r="A300" s="358"/>
      <c r="B300" s="359"/>
      <c r="C300" s="236"/>
      <c r="D300" s="241" t="s">
        <v>279</v>
      </c>
      <c r="E300" s="315"/>
      <c r="F300" s="154">
        <v>2</v>
      </c>
      <c r="G300"/>
      <c r="H300" s="376">
        <v>561501</v>
      </c>
      <c r="I300" s="306"/>
      <c r="J300" s="235">
        <f t="shared" si="73"/>
        <v>281143.55069999996</v>
      </c>
      <c r="K300" s="373"/>
      <c r="L300" s="235">
        <f t="shared" si="74"/>
        <v>171987.7563</v>
      </c>
      <c r="M300" s="373"/>
      <c r="N300" s="235">
        <f t="shared" si="75"/>
        <v>21505.4883</v>
      </c>
      <c r="O300" s="373"/>
      <c r="P300" s="235">
        <f t="shared" si="76"/>
        <v>65583.3168</v>
      </c>
      <c r="Q300" s="373"/>
      <c r="R300" s="235">
        <f t="shared" si="77"/>
        <v>19427.9346</v>
      </c>
      <c r="S300" s="373"/>
      <c r="T300" s="235">
        <f t="shared" si="78"/>
        <v>842.2515</v>
      </c>
      <c r="U300" s="373"/>
      <c r="V300" s="235">
        <f t="shared" si="79"/>
        <v>1010.7017999999999</v>
      </c>
      <c r="W300" s="236"/>
      <c r="X300" s="236"/>
      <c r="AA300" s="241" t="s">
        <v>279</v>
      </c>
      <c r="AC300" s="280">
        <f t="shared" si="87"/>
        <v>2</v>
      </c>
      <c r="AE300" s="161">
        <f t="shared" si="88"/>
        <v>561501</v>
      </c>
      <c r="AG300" s="148">
        <f t="shared" si="80"/>
        <v>338472.8028</v>
      </c>
      <c r="AH300" s="148"/>
      <c r="AI300" s="148">
        <f t="shared" si="81"/>
        <v>221175.24389999997</v>
      </c>
      <c r="AJ300" s="148"/>
      <c r="AK300" s="148">
        <f t="shared" si="82"/>
        <v>0</v>
      </c>
      <c r="AL300" s="148"/>
      <c r="AM300" s="148">
        <f t="shared" si="83"/>
        <v>0</v>
      </c>
      <c r="AN300" s="148"/>
      <c r="AO300" s="148">
        <f t="shared" si="84"/>
        <v>0</v>
      </c>
      <c r="AP300" s="148"/>
      <c r="AQ300" s="148">
        <f t="shared" si="85"/>
        <v>0</v>
      </c>
      <c r="AR300" s="148"/>
      <c r="AS300" s="148">
        <f t="shared" si="85"/>
        <v>0</v>
      </c>
      <c r="AT300" s="148"/>
      <c r="AU300" s="148">
        <f t="shared" si="86"/>
        <v>842.2515</v>
      </c>
      <c r="AV300" s="148"/>
      <c r="AW300" s="148">
        <f t="shared" si="86"/>
        <v>1010.7017999999999</v>
      </c>
      <c r="AY300" s="193"/>
    </row>
    <row r="301" spans="1:51" ht="12.75">
      <c r="A301" s="242"/>
      <c r="B301" s="243"/>
      <c r="C301" s="236"/>
      <c r="D301" s="241" t="s">
        <v>222</v>
      </c>
      <c r="E301" s="315"/>
      <c r="F301" s="154">
        <v>2</v>
      </c>
      <c r="G301"/>
      <c r="H301" s="376">
        <v>42088824</v>
      </c>
      <c r="I301" s="306"/>
      <c r="J301" s="235">
        <f t="shared" si="73"/>
        <v>21073874.176799998</v>
      </c>
      <c r="K301" s="373"/>
      <c r="L301" s="235">
        <f t="shared" si="74"/>
        <v>12891806.7912</v>
      </c>
      <c r="M301" s="373"/>
      <c r="N301" s="235">
        <f t="shared" si="75"/>
        <v>1612001.9592</v>
      </c>
      <c r="O301" s="373"/>
      <c r="P301" s="235">
        <f t="shared" si="76"/>
        <v>4915974.6432</v>
      </c>
      <c r="Q301" s="373"/>
      <c r="R301" s="235">
        <f t="shared" si="77"/>
        <v>1456273.3103999998</v>
      </c>
      <c r="S301" s="373"/>
      <c r="T301" s="235">
        <f t="shared" si="78"/>
        <v>63133.236000000004</v>
      </c>
      <c r="U301" s="373"/>
      <c r="V301" s="235">
        <f t="shared" si="79"/>
        <v>75759.8832</v>
      </c>
      <c r="W301" s="236"/>
      <c r="X301" s="236"/>
      <c r="AA301" s="241" t="s">
        <v>222</v>
      </c>
      <c r="AC301" s="280">
        <f t="shared" si="87"/>
        <v>2</v>
      </c>
      <c r="AE301" s="161">
        <f t="shared" si="88"/>
        <v>42088824</v>
      </c>
      <c r="AG301" s="148">
        <f t="shared" si="80"/>
        <v>25371143.1072</v>
      </c>
      <c r="AH301" s="148"/>
      <c r="AI301" s="148">
        <f t="shared" si="81"/>
        <v>16578787.773599999</v>
      </c>
      <c r="AJ301" s="148"/>
      <c r="AK301" s="148">
        <f t="shared" si="82"/>
        <v>0</v>
      </c>
      <c r="AL301" s="148"/>
      <c r="AM301" s="148">
        <f t="shared" si="83"/>
        <v>0</v>
      </c>
      <c r="AN301" s="148"/>
      <c r="AO301" s="148">
        <f t="shared" si="84"/>
        <v>0</v>
      </c>
      <c r="AP301" s="148"/>
      <c r="AQ301" s="148">
        <f t="shared" si="85"/>
        <v>0</v>
      </c>
      <c r="AR301" s="148"/>
      <c r="AS301" s="148">
        <f t="shared" si="85"/>
        <v>0</v>
      </c>
      <c r="AT301" s="148"/>
      <c r="AU301" s="148">
        <f t="shared" si="86"/>
        <v>63133.236000000004</v>
      </c>
      <c r="AV301" s="148"/>
      <c r="AW301" s="148">
        <f t="shared" si="86"/>
        <v>75759.8832</v>
      </c>
      <c r="AY301" s="193"/>
    </row>
    <row r="302" spans="1:51" ht="12.75">
      <c r="A302" s="242"/>
      <c r="B302" s="243"/>
      <c r="C302" s="236"/>
      <c r="D302" s="241" t="s">
        <v>223</v>
      </c>
      <c r="E302" s="315"/>
      <c r="F302" s="154">
        <v>2</v>
      </c>
      <c r="G302"/>
      <c r="H302" s="376">
        <v>33105046</v>
      </c>
      <c r="I302" s="306"/>
      <c r="J302" s="235">
        <f t="shared" si="73"/>
        <v>16575696.532199997</v>
      </c>
      <c r="K302" s="373"/>
      <c r="L302" s="235">
        <f t="shared" si="74"/>
        <v>10140075.5898</v>
      </c>
      <c r="M302" s="373"/>
      <c r="N302" s="235">
        <f t="shared" si="75"/>
        <v>1267923.2618</v>
      </c>
      <c r="O302" s="373"/>
      <c r="P302" s="235">
        <f t="shared" si="76"/>
        <v>3866669.3728</v>
      </c>
      <c r="Q302" s="373"/>
      <c r="R302" s="235">
        <f t="shared" si="77"/>
        <v>1145434.5916</v>
      </c>
      <c r="S302" s="373"/>
      <c r="T302" s="235">
        <f t="shared" si="78"/>
        <v>49657.569</v>
      </c>
      <c r="U302" s="373"/>
      <c r="V302" s="235">
        <f t="shared" si="79"/>
        <v>59589.0828</v>
      </c>
      <c r="W302" s="236"/>
      <c r="X302" s="236"/>
      <c r="AA302" s="241" t="s">
        <v>223</v>
      </c>
      <c r="AC302" s="280">
        <f t="shared" si="87"/>
        <v>2</v>
      </c>
      <c r="AE302" s="161">
        <f t="shared" si="88"/>
        <v>33105046</v>
      </c>
      <c r="AG302" s="148">
        <f t="shared" si="80"/>
        <v>19955721.7288</v>
      </c>
      <c r="AH302" s="148"/>
      <c r="AI302" s="148">
        <f t="shared" si="81"/>
        <v>13040077.619399998</v>
      </c>
      <c r="AJ302" s="148"/>
      <c r="AK302" s="148">
        <f t="shared" si="82"/>
        <v>0</v>
      </c>
      <c r="AL302" s="148"/>
      <c r="AM302" s="148">
        <f t="shared" si="83"/>
        <v>0</v>
      </c>
      <c r="AN302" s="148"/>
      <c r="AO302" s="148">
        <f t="shared" si="84"/>
        <v>0</v>
      </c>
      <c r="AP302" s="148"/>
      <c r="AQ302" s="148">
        <f t="shared" si="85"/>
        <v>0</v>
      </c>
      <c r="AR302" s="148"/>
      <c r="AS302" s="148">
        <f t="shared" si="85"/>
        <v>0</v>
      </c>
      <c r="AT302" s="148"/>
      <c r="AU302" s="148">
        <f t="shared" si="86"/>
        <v>49657.569</v>
      </c>
      <c r="AV302" s="148"/>
      <c r="AW302" s="148">
        <f t="shared" si="86"/>
        <v>59589.0828</v>
      </c>
      <c r="AY302" s="193"/>
    </row>
    <row r="303" spans="1:51" ht="12.75">
      <c r="A303" s="242"/>
      <c r="B303" s="243"/>
      <c r="C303" s="236"/>
      <c r="D303" s="241" t="s">
        <v>224</v>
      </c>
      <c r="E303" s="315"/>
      <c r="F303" s="154">
        <v>2</v>
      </c>
      <c r="G303"/>
      <c r="H303" s="376">
        <v>143074</v>
      </c>
      <c r="I303" s="306"/>
      <c r="J303" s="235">
        <f t="shared" si="73"/>
        <v>71637.15179999999</v>
      </c>
      <c r="K303" s="373"/>
      <c r="L303" s="235">
        <f t="shared" si="74"/>
        <v>43823.5662</v>
      </c>
      <c r="M303" s="373"/>
      <c r="N303" s="235">
        <f t="shared" si="75"/>
        <v>5479.7342</v>
      </c>
      <c r="O303" s="373"/>
      <c r="P303" s="235">
        <f t="shared" si="76"/>
        <v>16711.0432</v>
      </c>
      <c r="Q303" s="373"/>
      <c r="R303" s="235">
        <f t="shared" si="77"/>
        <v>4950.3604</v>
      </c>
      <c r="S303" s="373"/>
      <c r="T303" s="235">
        <f t="shared" si="78"/>
        <v>214.61100000000002</v>
      </c>
      <c r="U303" s="373"/>
      <c r="V303" s="235">
        <f t="shared" si="79"/>
        <v>257.53319999999997</v>
      </c>
      <c r="W303" s="236"/>
      <c r="X303" s="236"/>
      <c r="AA303" s="241" t="s">
        <v>224</v>
      </c>
      <c r="AC303" s="280">
        <f t="shared" si="87"/>
        <v>2</v>
      </c>
      <c r="AE303" s="161">
        <f t="shared" si="88"/>
        <v>143074</v>
      </c>
      <c r="AG303" s="148">
        <f t="shared" si="80"/>
        <v>86245.00720000001</v>
      </c>
      <c r="AH303" s="148"/>
      <c r="AI303" s="148">
        <f t="shared" si="81"/>
        <v>56356.8486</v>
      </c>
      <c r="AJ303" s="148"/>
      <c r="AK303" s="148">
        <f t="shared" si="82"/>
        <v>0</v>
      </c>
      <c r="AL303" s="148"/>
      <c r="AM303" s="148">
        <f t="shared" si="83"/>
        <v>0</v>
      </c>
      <c r="AN303" s="148"/>
      <c r="AO303" s="148">
        <f t="shared" si="84"/>
        <v>0</v>
      </c>
      <c r="AP303" s="148"/>
      <c r="AQ303" s="148">
        <f t="shared" si="85"/>
        <v>0</v>
      </c>
      <c r="AR303" s="148"/>
      <c r="AS303" s="148">
        <f t="shared" si="85"/>
        <v>0</v>
      </c>
      <c r="AT303" s="148"/>
      <c r="AU303" s="148">
        <f t="shared" si="86"/>
        <v>214.61100000000002</v>
      </c>
      <c r="AV303" s="148"/>
      <c r="AW303" s="148">
        <f t="shared" si="86"/>
        <v>257.53319999999997</v>
      </c>
      <c r="AY303" s="193"/>
    </row>
    <row r="304" spans="1:51" ht="12.75">
      <c r="A304" s="242"/>
      <c r="B304" s="243"/>
      <c r="C304" s="236"/>
      <c r="D304" s="241" t="s">
        <v>280</v>
      </c>
      <c r="E304" s="315"/>
      <c r="F304" s="154">
        <v>7</v>
      </c>
      <c r="G304"/>
      <c r="H304" s="376">
        <v>8047212</v>
      </c>
      <c r="I304" s="306"/>
      <c r="J304" s="235">
        <f t="shared" si="73"/>
        <v>3642168.1512</v>
      </c>
      <c r="K304" s="373"/>
      <c r="L304" s="235">
        <f t="shared" si="74"/>
        <v>2204936.088</v>
      </c>
      <c r="M304" s="373"/>
      <c r="N304" s="235">
        <f t="shared" si="75"/>
        <v>251073.0144</v>
      </c>
      <c r="O304" s="373"/>
      <c r="P304" s="235">
        <f t="shared" si="76"/>
        <v>741952.9464</v>
      </c>
      <c r="Q304" s="373"/>
      <c r="R304" s="235">
        <f t="shared" si="77"/>
        <v>208422.7908</v>
      </c>
      <c r="S304" s="373"/>
      <c r="T304" s="235">
        <f t="shared" si="78"/>
        <v>448229.7084</v>
      </c>
      <c r="U304" s="373"/>
      <c r="V304" s="235">
        <f t="shared" si="79"/>
        <v>550429.3008</v>
      </c>
      <c r="W304" s="236"/>
      <c r="X304" s="236"/>
      <c r="AA304" s="241" t="s">
        <v>280</v>
      </c>
      <c r="AC304" s="280">
        <f t="shared" si="87"/>
        <v>7</v>
      </c>
      <c r="AE304" s="161">
        <f t="shared" si="88"/>
        <v>8047212</v>
      </c>
      <c r="AG304" s="148">
        <f t="shared" si="80"/>
        <v>3133584.3527999995</v>
      </c>
      <c r="AH304" s="148"/>
      <c r="AI304" s="148">
        <f t="shared" si="81"/>
        <v>620440.0452</v>
      </c>
      <c r="AJ304" s="148"/>
      <c r="AK304" s="148">
        <f t="shared" si="82"/>
        <v>3294528.5927999998</v>
      </c>
      <c r="AL304" s="148"/>
      <c r="AM304" s="148">
        <f t="shared" si="83"/>
        <v>0</v>
      </c>
      <c r="AN304" s="148"/>
      <c r="AO304" s="148">
        <f t="shared" si="84"/>
        <v>0</v>
      </c>
      <c r="AP304" s="148"/>
      <c r="AQ304" s="148">
        <f t="shared" si="85"/>
        <v>0</v>
      </c>
      <c r="AR304" s="148"/>
      <c r="AS304" s="148">
        <f t="shared" si="85"/>
        <v>0</v>
      </c>
      <c r="AT304" s="148"/>
      <c r="AU304" s="148">
        <f t="shared" si="86"/>
        <v>448229.7084</v>
      </c>
      <c r="AV304" s="148"/>
      <c r="AW304" s="148">
        <f t="shared" si="86"/>
        <v>550429.3008</v>
      </c>
      <c r="AY304" s="193"/>
    </row>
    <row r="305" spans="1:51" ht="12.75">
      <c r="A305" s="242"/>
      <c r="B305" s="243"/>
      <c r="C305" s="236"/>
      <c r="D305" s="241" t="s">
        <v>225</v>
      </c>
      <c r="E305" s="315"/>
      <c r="F305" s="154">
        <v>7</v>
      </c>
      <c r="G305"/>
      <c r="H305" s="376">
        <v>479875</v>
      </c>
      <c r="I305" s="306"/>
      <c r="J305" s="235">
        <f t="shared" si="73"/>
        <v>217191.425</v>
      </c>
      <c r="K305" s="373"/>
      <c r="L305" s="235">
        <f t="shared" si="74"/>
        <v>131485.75</v>
      </c>
      <c r="M305" s="373"/>
      <c r="N305" s="235">
        <f t="shared" si="75"/>
        <v>14972.099999999999</v>
      </c>
      <c r="O305" s="373"/>
      <c r="P305" s="235">
        <f t="shared" si="76"/>
        <v>44244.475</v>
      </c>
      <c r="Q305" s="373"/>
      <c r="R305" s="235">
        <f t="shared" si="77"/>
        <v>12428.762499999999</v>
      </c>
      <c r="S305" s="373"/>
      <c r="T305" s="235">
        <f t="shared" si="78"/>
        <v>26729.0375</v>
      </c>
      <c r="U305" s="373"/>
      <c r="V305" s="235">
        <f t="shared" si="79"/>
        <v>32823.450000000004</v>
      </c>
      <c r="W305" s="236"/>
      <c r="X305" s="236"/>
      <c r="AA305" s="241" t="s">
        <v>225</v>
      </c>
      <c r="AC305" s="280">
        <f t="shared" si="87"/>
        <v>7</v>
      </c>
      <c r="AE305" s="161">
        <f t="shared" si="88"/>
        <v>479875</v>
      </c>
      <c r="AG305" s="148">
        <f t="shared" si="80"/>
        <v>186863.32499999998</v>
      </c>
      <c r="AH305" s="148"/>
      <c r="AI305" s="148">
        <f t="shared" si="81"/>
        <v>36998.3625</v>
      </c>
      <c r="AJ305" s="148"/>
      <c r="AK305" s="148">
        <f t="shared" si="82"/>
        <v>196460.82499999998</v>
      </c>
      <c r="AL305" s="148"/>
      <c r="AM305" s="148">
        <f t="shared" si="83"/>
        <v>0</v>
      </c>
      <c r="AN305" s="148"/>
      <c r="AO305" s="148">
        <f t="shared" si="84"/>
        <v>0</v>
      </c>
      <c r="AP305" s="148"/>
      <c r="AQ305" s="148">
        <f t="shared" si="85"/>
        <v>0</v>
      </c>
      <c r="AR305" s="148"/>
      <c r="AS305" s="148">
        <f t="shared" si="85"/>
        <v>0</v>
      </c>
      <c r="AT305" s="148"/>
      <c r="AU305" s="148">
        <f t="shared" si="86"/>
        <v>26729.0375</v>
      </c>
      <c r="AV305" s="148"/>
      <c r="AW305" s="148">
        <f t="shared" si="86"/>
        <v>32823.450000000004</v>
      </c>
      <c r="AY305" s="193"/>
    </row>
    <row r="306" spans="1:51" ht="12.75">
      <c r="A306" s="242"/>
      <c r="B306" s="243"/>
      <c r="C306" s="236"/>
      <c r="D306" s="241" t="s">
        <v>226</v>
      </c>
      <c r="E306" s="315"/>
      <c r="F306" s="154">
        <v>5</v>
      </c>
      <c r="G306"/>
      <c r="H306" s="376">
        <v>12116129</v>
      </c>
      <c r="I306" s="306"/>
      <c r="J306" s="235">
        <f t="shared" si="73"/>
        <v>4917936.761100001</v>
      </c>
      <c r="K306" s="373"/>
      <c r="L306" s="235">
        <f t="shared" si="74"/>
        <v>2967239.9921</v>
      </c>
      <c r="M306" s="373"/>
      <c r="N306" s="235">
        <f t="shared" si="75"/>
        <v>329558.7088</v>
      </c>
      <c r="O306" s="373"/>
      <c r="P306" s="235">
        <f t="shared" si="76"/>
        <v>960809.0297</v>
      </c>
      <c r="Q306" s="373"/>
      <c r="R306" s="235">
        <f t="shared" si="77"/>
        <v>264131.6122</v>
      </c>
      <c r="S306" s="373"/>
      <c r="T306" s="235">
        <f t="shared" si="78"/>
        <v>1199496.771</v>
      </c>
      <c r="U306" s="373"/>
      <c r="V306" s="235">
        <f t="shared" si="79"/>
        <v>1476956.1250999998</v>
      </c>
      <c r="W306" s="236"/>
      <c r="X306" s="236"/>
      <c r="AA306" s="241" t="s">
        <v>226</v>
      </c>
      <c r="AC306" s="280">
        <f t="shared" si="87"/>
        <v>5</v>
      </c>
      <c r="AE306" s="161">
        <f t="shared" si="88"/>
        <v>12116129</v>
      </c>
      <c r="AG306" s="148">
        <f t="shared" si="80"/>
        <v>3763269.6673999997</v>
      </c>
      <c r="AH306" s="148"/>
      <c r="AI306" s="148">
        <f t="shared" si="81"/>
        <v>0</v>
      </c>
      <c r="AJ306" s="148"/>
      <c r="AK306" s="148">
        <f t="shared" si="82"/>
        <v>5676406.436500001</v>
      </c>
      <c r="AL306" s="148"/>
      <c r="AM306" s="148">
        <f t="shared" si="83"/>
        <v>0</v>
      </c>
      <c r="AN306" s="148"/>
      <c r="AO306" s="148">
        <f t="shared" si="84"/>
        <v>0</v>
      </c>
      <c r="AP306" s="148"/>
      <c r="AQ306" s="148">
        <f t="shared" si="85"/>
        <v>0</v>
      </c>
      <c r="AR306" s="148"/>
      <c r="AS306" s="148">
        <f t="shared" si="85"/>
        <v>0</v>
      </c>
      <c r="AT306" s="148"/>
      <c r="AU306" s="148">
        <f t="shared" si="86"/>
        <v>1199496.771</v>
      </c>
      <c r="AV306" s="148"/>
      <c r="AW306" s="148">
        <f t="shared" si="86"/>
        <v>1476956.1250999998</v>
      </c>
      <c r="AY306" s="193"/>
    </row>
    <row r="307" spans="1:51" ht="12.75">
      <c r="A307" s="242"/>
      <c r="B307" s="243"/>
      <c r="C307" s="236"/>
      <c r="D307" s="241" t="s">
        <v>227</v>
      </c>
      <c r="E307" s="315"/>
      <c r="F307" s="154"/>
      <c r="G307"/>
      <c r="H307" s="376"/>
      <c r="I307" s="306"/>
      <c r="J307" s="162"/>
      <c r="K307" s="220"/>
      <c r="L307" s="162"/>
      <c r="M307" s="220"/>
      <c r="N307" s="162"/>
      <c r="O307" s="220"/>
      <c r="P307" s="162"/>
      <c r="Q307" s="220"/>
      <c r="R307" s="162"/>
      <c r="S307" s="220"/>
      <c r="T307" s="162"/>
      <c r="U307" s="220"/>
      <c r="V307" s="162"/>
      <c r="X307" s="193"/>
      <c r="AA307" s="241" t="s">
        <v>227</v>
      </c>
      <c r="AC307" s="280"/>
      <c r="AE307" s="461"/>
      <c r="AF307" s="163"/>
      <c r="AG307" s="162"/>
      <c r="AH307" s="162"/>
      <c r="AI307" s="162"/>
      <c r="AJ307" s="162"/>
      <c r="AK307" s="162"/>
      <c r="AL307" s="162"/>
      <c r="AM307" s="162"/>
      <c r="AN307" s="162"/>
      <c r="AO307" s="162"/>
      <c r="AP307" s="162"/>
      <c r="AQ307" s="162"/>
      <c r="AR307" s="162"/>
      <c r="AS307" s="162"/>
      <c r="AT307" s="162"/>
      <c r="AU307" s="162"/>
      <c r="AV307" s="162"/>
      <c r="AW307" s="162"/>
      <c r="AY307" s="193"/>
    </row>
    <row r="308" spans="1:51" s="137" customFormat="1" ht="12.75">
      <c r="A308" s="496"/>
      <c r="B308" s="243">
        <f>+H308+H309</f>
        <v>172435108.32500905</v>
      </c>
      <c r="C308" s="373"/>
      <c r="D308" s="137" t="s">
        <v>228</v>
      </c>
      <c r="E308" s="153"/>
      <c r="F308" s="153">
        <v>4</v>
      </c>
      <c r="H308" s="491">
        <v>47195417.875322</v>
      </c>
      <c r="I308" s="306"/>
      <c r="J308" s="235">
        <f aca="true" t="shared" si="89" ref="J308:J323">(VLOOKUP($F308,Factors,J$384))*$H308</f>
        <v>21313450.712495416</v>
      </c>
      <c r="K308" s="373"/>
      <c r="L308" s="235">
        <f aca="true" t="shared" si="90" ref="L308:L323">(VLOOKUP($F308,Factors,L$384))*$H308</f>
        <v>12856031.82923771</v>
      </c>
      <c r="M308" s="373"/>
      <c r="N308" s="235">
        <f aca="true" t="shared" si="91" ref="N308:N323">(VLOOKUP($F308,Factors,N$384))*$H308</f>
        <v>1425301.6198347243</v>
      </c>
      <c r="O308" s="373"/>
      <c r="P308" s="235">
        <f aca="true" t="shared" si="92" ref="P308:P323">(VLOOKUP($F308,Factors,P$384))*$H308</f>
        <v>4162635.8566034003</v>
      </c>
      <c r="Q308" s="373"/>
      <c r="R308" s="235">
        <f aca="true" t="shared" si="93" ref="R308:R323">(VLOOKUP($F308,Factors,R$384))*$H308</f>
        <v>1146848.6543703247</v>
      </c>
      <c r="S308" s="373"/>
      <c r="T308" s="235">
        <f aca="true" t="shared" si="94" ref="T308:T323">(VLOOKUP($F308,Factors,T$384))*$H308</f>
        <v>2822285.9889442553</v>
      </c>
      <c r="U308" s="373"/>
      <c r="V308" s="235">
        <f aca="true" t="shared" si="95" ref="V308:V323">(VLOOKUP($F308,Factors,V$384))*$H308</f>
        <v>3468863.2138361675</v>
      </c>
      <c r="W308" s="373"/>
      <c r="X308" s="373"/>
      <c r="AA308" s="137" t="s">
        <v>228</v>
      </c>
      <c r="AC308" s="314">
        <f aca="true" t="shared" si="96" ref="AC308:AC323">+F308</f>
        <v>4</v>
      </c>
      <c r="AE308" s="156">
        <f aca="true" t="shared" si="97" ref="AE308:AE323">+H308</f>
        <v>47195417.875322</v>
      </c>
      <c r="AG308" s="148">
        <f aca="true" t="shared" si="98" ref="AG308:AG323">(VLOOKUP($AC308,func,AG$384))*$AE308</f>
        <v>16306016.875923749</v>
      </c>
      <c r="AH308" s="148"/>
      <c r="AI308" s="148">
        <f aca="true" t="shared" si="99" ref="AI308:AI323">(VLOOKUP($AC308,func,AI$384))*$AE308</f>
        <v>0</v>
      </c>
      <c r="AJ308" s="148"/>
      <c r="AK308" s="148">
        <f aca="true" t="shared" si="100" ref="AK308:AK323">(VLOOKUP($AC308,func,AK$384))*$AE308</f>
        <v>24598251.796617825</v>
      </c>
      <c r="AL308" s="148"/>
      <c r="AM308" s="148">
        <f aca="true" t="shared" si="101" ref="AM308:AM323">(VLOOKUP($AC308,func,AM$384))*$AE308</f>
        <v>0</v>
      </c>
      <c r="AN308" s="148"/>
      <c r="AO308" s="148">
        <f aca="true" t="shared" si="102" ref="AO308:AO323">(VLOOKUP($AC308,func,AO$384))*$AE308</f>
        <v>0</v>
      </c>
      <c r="AP308" s="148"/>
      <c r="AQ308" s="148">
        <f aca="true" t="shared" si="103" ref="AQ308:AS323">(VLOOKUP($AC308,func,AQ$384))*$AE308</f>
        <v>0</v>
      </c>
      <c r="AR308" s="148"/>
      <c r="AS308" s="148">
        <f t="shared" si="103"/>
        <v>0</v>
      </c>
      <c r="AT308" s="148"/>
      <c r="AU308" s="148">
        <f aca="true" t="shared" si="104" ref="AU308:AW323">(VLOOKUP($AC308,func,AU$384))*$AE308</f>
        <v>2822285.9889442553</v>
      </c>
      <c r="AV308" s="148"/>
      <c r="AW308" s="148">
        <f t="shared" si="104"/>
        <v>3468863.2138361675</v>
      </c>
      <c r="AY308" s="193"/>
    </row>
    <row r="309" spans="1:51" s="137" customFormat="1" ht="12.75">
      <c r="A309" s="242"/>
      <c r="B309" s="243"/>
      <c r="C309" s="373"/>
      <c r="D309" s="141" t="s">
        <v>229</v>
      </c>
      <c r="E309" s="153"/>
      <c r="F309" s="153">
        <v>3</v>
      </c>
      <c r="H309" s="491">
        <v>125239690.44968706</v>
      </c>
      <c r="I309" s="306"/>
      <c r="J309" s="235">
        <f t="shared" si="89"/>
        <v>57234538.535506986</v>
      </c>
      <c r="K309" s="373"/>
      <c r="L309" s="235">
        <f t="shared" si="90"/>
        <v>35029541.41877747</v>
      </c>
      <c r="M309" s="373"/>
      <c r="N309" s="235">
        <f t="shared" si="91"/>
        <v>4370865.196694079</v>
      </c>
      <c r="O309" s="373"/>
      <c r="P309" s="235">
        <f t="shared" si="92"/>
        <v>13363074.97098161</v>
      </c>
      <c r="Q309" s="373"/>
      <c r="R309" s="235">
        <f t="shared" si="93"/>
        <v>3945050.2491651424</v>
      </c>
      <c r="S309" s="373"/>
      <c r="T309" s="235">
        <f t="shared" si="94"/>
        <v>5072207.463212326</v>
      </c>
      <c r="U309" s="373"/>
      <c r="V309" s="235">
        <f t="shared" si="95"/>
        <v>6224412.615349447</v>
      </c>
      <c r="W309" s="373"/>
      <c r="X309" s="373"/>
      <c r="AA309" s="141" t="s">
        <v>229</v>
      </c>
      <c r="AC309" s="314">
        <f t="shared" si="96"/>
        <v>3</v>
      </c>
      <c r="AE309" s="156">
        <f t="shared" si="97"/>
        <v>125239690.44968706</v>
      </c>
      <c r="AG309" s="148">
        <f t="shared" si="98"/>
        <v>69295120.72581185</v>
      </c>
      <c r="AH309" s="148"/>
      <c r="AI309" s="148">
        <f t="shared" si="99"/>
        <v>45036192.685707465</v>
      </c>
      <c r="AJ309" s="148"/>
      <c r="AK309" s="148">
        <f t="shared" si="100"/>
        <v>0</v>
      </c>
      <c r="AL309" s="148"/>
      <c r="AM309" s="148">
        <f t="shared" si="101"/>
        <v>0</v>
      </c>
      <c r="AN309" s="148"/>
      <c r="AO309" s="148">
        <f t="shared" si="102"/>
        <v>0</v>
      </c>
      <c r="AP309" s="148"/>
      <c r="AQ309" s="148">
        <f t="shared" si="103"/>
        <v>0</v>
      </c>
      <c r="AR309" s="148"/>
      <c r="AS309" s="148">
        <f t="shared" si="103"/>
        <v>0</v>
      </c>
      <c r="AT309" s="148"/>
      <c r="AU309" s="148">
        <f t="shared" si="104"/>
        <v>4896871.896582765</v>
      </c>
      <c r="AV309" s="148"/>
      <c r="AW309" s="148">
        <f t="shared" si="104"/>
        <v>6011505.141584979</v>
      </c>
      <c r="AY309" s="193"/>
    </row>
    <row r="310" spans="1:51" ht="12.75">
      <c r="A310" s="358"/>
      <c r="B310" s="359"/>
      <c r="C310" s="236"/>
      <c r="D310" s="241" t="s">
        <v>230</v>
      </c>
      <c r="E310" s="315"/>
      <c r="F310" s="154">
        <v>10</v>
      </c>
      <c r="G310"/>
      <c r="H310" s="376">
        <v>8831168.885005156</v>
      </c>
      <c r="I310" s="306"/>
      <c r="J310" s="235">
        <f t="shared" si="89"/>
        <v>7389922.122972314</v>
      </c>
      <c r="K310" s="373"/>
      <c r="L310" s="235">
        <f t="shared" si="90"/>
        <v>935220.7849220459</v>
      </c>
      <c r="M310" s="373"/>
      <c r="N310" s="235">
        <f t="shared" si="91"/>
        <v>7948.05199650464</v>
      </c>
      <c r="O310" s="373"/>
      <c r="P310" s="235">
        <f t="shared" si="92"/>
        <v>104207.79284306083</v>
      </c>
      <c r="Q310" s="373"/>
      <c r="R310" s="235">
        <f t="shared" si="93"/>
        <v>4415.584442502578</v>
      </c>
      <c r="S310" s="373"/>
      <c r="T310" s="235">
        <f t="shared" si="94"/>
        <v>389454.54782872734</v>
      </c>
      <c r="U310" s="373"/>
      <c r="V310" s="235">
        <f t="shared" si="95"/>
        <v>0</v>
      </c>
      <c r="W310" s="236"/>
      <c r="X310" s="236"/>
      <c r="AA310" s="241" t="s">
        <v>230</v>
      </c>
      <c r="AC310" s="280">
        <f t="shared" si="96"/>
        <v>10</v>
      </c>
      <c r="AE310" s="161">
        <f t="shared" si="97"/>
        <v>8831168.885005156</v>
      </c>
      <c r="AG310" s="148">
        <f t="shared" si="98"/>
        <v>0</v>
      </c>
      <c r="AH310" s="148"/>
      <c r="AI310" s="148">
        <f t="shared" si="99"/>
        <v>0</v>
      </c>
      <c r="AJ310" s="148"/>
      <c r="AK310" s="148">
        <f t="shared" si="100"/>
        <v>0</v>
      </c>
      <c r="AL310" s="148"/>
      <c r="AM310" s="148">
        <f t="shared" si="101"/>
        <v>0</v>
      </c>
      <c r="AN310" s="148"/>
      <c r="AO310" s="148">
        <f t="shared" si="102"/>
        <v>8441714.337176427</v>
      </c>
      <c r="AP310" s="148"/>
      <c r="AQ310" s="148">
        <f t="shared" si="103"/>
        <v>0</v>
      </c>
      <c r="AR310" s="148"/>
      <c r="AS310" s="148">
        <f t="shared" si="103"/>
        <v>0</v>
      </c>
      <c r="AT310" s="148"/>
      <c r="AU310" s="148">
        <f t="shared" si="104"/>
        <v>389454.54782872734</v>
      </c>
      <c r="AV310" s="148"/>
      <c r="AW310" s="148">
        <f t="shared" si="104"/>
        <v>0</v>
      </c>
      <c r="AY310" s="193"/>
    </row>
    <row r="311" spans="1:51" ht="12.75">
      <c r="A311" s="242"/>
      <c r="B311" s="243"/>
      <c r="C311" s="236"/>
      <c r="D311" s="241" t="s">
        <v>231</v>
      </c>
      <c r="E311" s="315"/>
      <c r="F311" s="154">
        <v>9</v>
      </c>
      <c r="G311"/>
      <c r="H311" s="376">
        <v>15247471.057583436</v>
      </c>
      <c r="I311" s="306"/>
      <c r="J311" s="235">
        <f t="shared" si="89"/>
        <v>11920472.87281873</v>
      </c>
      <c r="K311" s="373"/>
      <c r="L311" s="235">
        <f t="shared" si="90"/>
        <v>2563099.8847797755</v>
      </c>
      <c r="M311" s="373"/>
      <c r="N311" s="235">
        <f t="shared" si="91"/>
        <v>70138.3668648838</v>
      </c>
      <c r="O311" s="373"/>
      <c r="P311" s="235">
        <f t="shared" si="92"/>
        <v>489443.82094842824</v>
      </c>
      <c r="Q311" s="373"/>
      <c r="R311" s="235">
        <f t="shared" si="93"/>
        <v>48791.907384267</v>
      </c>
      <c r="S311" s="373"/>
      <c r="T311" s="235">
        <f t="shared" si="94"/>
        <v>155524.20478735107</v>
      </c>
      <c r="U311" s="373"/>
      <c r="V311" s="235">
        <f t="shared" si="95"/>
        <v>0</v>
      </c>
      <c r="W311" s="236"/>
      <c r="X311" s="236"/>
      <c r="AA311" s="241" t="s">
        <v>231</v>
      </c>
      <c r="AC311" s="280">
        <f t="shared" si="96"/>
        <v>9</v>
      </c>
      <c r="AE311" s="161">
        <f t="shared" si="97"/>
        <v>15247471.057583436</v>
      </c>
      <c r="AG311" s="148">
        <f t="shared" si="98"/>
        <v>0</v>
      </c>
      <c r="AH311" s="148"/>
      <c r="AI311" s="148">
        <f t="shared" si="99"/>
        <v>0</v>
      </c>
      <c r="AJ311" s="148"/>
      <c r="AK311" s="148">
        <f t="shared" si="100"/>
        <v>0</v>
      </c>
      <c r="AL311" s="148"/>
      <c r="AM311" s="148">
        <f t="shared" si="101"/>
        <v>15091946.852796085</v>
      </c>
      <c r="AN311" s="148"/>
      <c r="AO311" s="148">
        <f t="shared" si="102"/>
        <v>0</v>
      </c>
      <c r="AP311" s="148"/>
      <c r="AQ311" s="148">
        <f t="shared" si="103"/>
        <v>0</v>
      </c>
      <c r="AR311" s="148"/>
      <c r="AS311" s="148">
        <f t="shared" si="103"/>
        <v>0</v>
      </c>
      <c r="AT311" s="148"/>
      <c r="AU311" s="148">
        <f t="shared" si="104"/>
        <v>155524.20478735107</v>
      </c>
      <c r="AV311" s="148"/>
      <c r="AW311" s="148">
        <f t="shared" si="104"/>
        <v>0</v>
      </c>
      <c r="AY311" s="193"/>
    </row>
    <row r="312" spans="1:51" ht="12.75">
      <c r="A312" s="242"/>
      <c r="B312" s="243"/>
      <c r="C312" s="236"/>
      <c r="D312" s="241" t="s">
        <v>232</v>
      </c>
      <c r="E312" s="315"/>
      <c r="F312" s="154">
        <v>9</v>
      </c>
      <c r="G312"/>
      <c r="H312" s="376">
        <v>11434249.227354068</v>
      </c>
      <c r="I312" s="306"/>
      <c r="J312" s="235">
        <f t="shared" si="89"/>
        <v>8939296.045945412</v>
      </c>
      <c r="K312" s="373"/>
      <c r="L312" s="235">
        <f t="shared" si="90"/>
        <v>1922097.295118219</v>
      </c>
      <c r="M312" s="373"/>
      <c r="N312" s="235">
        <f t="shared" si="91"/>
        <v>52597.54644582872</v>
      </c>
      <c r="O312" s="373"/>
      <c r="P312" s="235">
        <f t="shared" si="92"/>
        <v>367039.40019806556</v>
      </c>
      <c r="Q312" s="373"/>
      <c r="R312" s="235">
        <f t="shared" si="93"/>
        <v>36589.59752753302</v>
      </c>
      <c r="S312" s="373"/>
      <c r="T312" s="235">
        <f t="shared" si="94"/>
        <v>116629.3421190115</v>
      </c>
      <c r="U312" s="373"/>
      <c r="V312" s="235">
        <f t="shared" si="95"/>
        <v>0</v>
      </c>
      <c r="W312" s="236"/>
      <c r="X312" s="236"/>
      <c r="AA312" s="241" t="s">
        <v>232</v>
      </c>
      <c r="AC312" s="280">
        <f t="shared" si="96"/>
        <v>9</v>
      </c>
      <c r="AE312" s="161">
        <f t="shared" si="97"/>
        <v>11434249.227354068</v>
      </c>
      <c r="AG312" s="148">
        <f t="shared" si="98"/>
        <v>0</v>
      </c>
      <c r="AH312" s="148"/>
      <c r="AI312" s="148">
        <f t="shared" si="99"/>
        <v>0</v>
      </c>
      <c r="AJ312" s="148"/>
      <c r="AK312" s="148">
        <f t="shared" si="100"/>
        <v>0</v>
      </c>
      <c r="AL312" s="148"/>
      <c r="AM312" s="148">
        <f t="shared" si="101"/>
        <v>11317619.885235056</v>
      </c>
      <c r="AN312" s="148"/>
      <c r="AO312" s="148">
        <f t="shared" si="102"/>
        <v>0</v>
      </c>
      <c r="AP312" s="148"/>
      <c r="AQ312" s="148">
        <f t="shared" si="103"/>
        <v>0</v>
      </c>
      <c r="AR312" s="148"/>
      <c r="AS312" s="148">
        <f t="shared" si="103"/>
        <v>0</v>
      </c>
      <c r="AT312" s="148"/>
      <c r="AU312" s="148">
        <f t="shared" si="104"/>
        <v>116629.3421190115</v>
      </c>
      <c r="AV312" s="148"/>
      <c r="AW312" s="148">
        <f t="shared" si="104"/>
        <v>0</v>
      </c>
      <c r="AY312" s="193"/>
    </row>
    <row r="313" spans="1:51" ht="12.75">
      <c r="A313" s="242"/>
      <c r="B313" s="243"/>
      <c r="C313" s="236"/>
      <c r="D313" s="241" t="s">
        <v>233</v>
      </c>
      <c r="E313" s="315"/>
      <c r="F313" s="154">
        <v>8</v>
      </c>
      <c r="G313"/>
      <c r="H313" s="376">
        <v>7167216.505048222</v>
      </c>
      <c r="I313" s="306"/>
      <c r="J313" s="235">
        <f t="shared" si="89"/>
        <v>0</v>
      </c>
      <c r="K313" s="373"/>
      <c r="L313" s="235">
        <f t="shared" si="90"/>
        <v>0</v>
      </c>
      <c r="M313" s="373"/>
      <c r="N313" s="235">
        <f t="shared" si="91"/>
        <v>0</v>
      </c>
      <c r="O313" s="373"/>
      <c r="P313" s="235">
        <f t="shared" si="92"/>
        <v>0</v>
      </c>
      <c r="Q313" s="373"/>
      <c r="R313" s="235">
        <f t="shared" si="93"/>
        <v>0</v>
      </c>
      <c r="S313" s="373"/>
      <c r="T313" s="235">
        <f t="shared" si="94"/>
        <v>0</v>
      </c>
      <c r="U313" s="373"/>
      <c r="V313" s="235">
        <f t="shared" si="95"/>
        <v>7167216.505048222</v>
      </c>
      <c r="W313" s="236"/>
      <c r="X313" s="236"/>
      <c r="AA313" s="241" t="s">
        <v>233</v>
      </c>
      <c r="AC313" s="280">
        <f t="shared" si="96"/>
        <v>8</v>
      </c>
      <c r="AE313" s="161">
        <f t="shared" si="97"/>
        <v>7167216.505048222</v>
      </c>
      <c r="AG313" s="148">
        <f t="shared" si="98"/>
        <v>0</v>
      </c>
      <c r="AH313" s="148"/>
      <c r="AI313" s="148">
        <f t="shared" si="99"/>
        <v>0</v>
      </c>
      <c r="AJ313" s="148"/>
      <c r="AK313" s="148">
        <f t="shared" si="100"/>
        <v>0</v>
      </c>
      <c r="AL313" s="148"/>
      <c r="AM313" s="148">
        <f t="shared" si="101"/>
        <v>0</v>
      </c>
      <c r="AN313" s="148"/>
      <c r="AO313" s="148">
        <f t="shared" si="102"/>
        <v>0</v>
      </c>
      <c r="AP313" s="148"/>
      <c r="AQ313" s="148">
        <f t="shared" si="103"/>
        <v>0</v>
      </c>
      <c r="AR313" s="148"/>
      <c r="AS313" s="148">
        <f t="shared" si="103"/>
        <v>0</v>
      </c>
      <c r="AT313" s="148"/>
      <c r="AU313" s="148">
        <f t="shared" si="104"/>
        <v>0</v>
      </c>
      <c r="AV313" s="148"/>
      <c r="AW313" s="148">
        <f t="shared" si="104"/>
        <v>7167216.505048222</v>
      </c>
      <c r="AY313" s="193"/>
    </row>
    <row r="314" spans="1:51" ht="12.75">
      <c r="A314" s="242"/>
      <c r="B314" s="243"/>
      <c r="C314" s="236"/>
      <c r="D314" s="241" t="s">
        <v>644</v>
      </c>
      <c r="E314" s="315"/>
      <c r="F314" s="154">
        <v>15</v>
      </c>
      <c r="G314"/>
      <c r="H314" s="376">
        <v>9402661</v>
      </c>
      <c r="I314" s="306"/>
      <c r="J314" s="235">
        <f t="shared" si="89"/>
        <v>5651939.5271</v>
      </c>
      <c r="K314" s="373"/>
      <c r="L314" s="235">
        <f t="shared" si="90"/>
        <v>2118419.5233</v>
      </c>
      <c r="M314" s="373"/>
      <c r="N314" s="235">
        <f t="shared" si="91"/>
        <v>223783.3318</v>
      </c>
      <c r="O314" s="373"/>
      <c r="P314" s="235">
        <f t="shared" si="92"/>
        <v>685453.9869</v>
      </c>
      <c r="Q314" s="373"/>
      <c r="R314" s="235">
        <f t="shared" si="93"/>
        <v>193694.8166</v>
      </c>
      <c r="S314" s="373"/>
      <c r="T314" s="235">
        <f t="shared" si="94"/>
        <v>277378.4995</v>
      </c>
      <c r="U314" s="373"/>
      <c r="V314" s="235">
        <f t="shared" si="95"/>
        <v>251991.31480000002</v>
      </c>
      <c r="W314" s="236"/>
      <c r="X314" s="236"/>
      <c r="AA314" s="241" t="s">
        <v>235</v>
      </c>
      <c r="AC314" s="280">
        <f t="shared" si="96"/>
        <v>15</v>
      </c>
      <c r="AE314" s="161">
        <f t="shared" si="97"/>
        <v>9402661</v>
      </c>
      <c r="AG314" s="148">
        <f t="shared" si="98"/>
        <v>3148951.1689</v>
      </c>
      <c r="AH314" s="148"/>
      <c r="AI314" s="148">
        <f t="shared" si="99"/>
        <v>1463054.0516</v>
      </c>
      <c r="AJ314" s="148"/>
      <c r="AK314" s="148">
        <f t="shared" si="100"/>
        <v>1373728.7721000002</v>
      </c>
      <c r="AL314" s="148"/>
      <c r="AM314" s="148">
        <f t="shared" si="101"/>
        <v>119413.7947</v>
      </c>
      <c r="AN314" s="148"/>
      <c r="AO314" s="148">
        <f t="shared" si="102"/>
        <v>345077.6587</v>
      </c>
      <c r="AP314" s="148"/>
      <c r="AQ314" s="148">
        <f t="shared" si="103"/>
        <v>1794027.7188</v>
      </c>
      <c r="AR314" s="148"/>
      <c r="AS314" s="148">
        <f t="shared" si="103"/>
        <v>658186.27</v>
      </c>
      <c r="AT314" s="148"/>
      <c r="AU314" s="148">
        <f t="shared" si="104"/>
        <v>248230.2504</v>
      </c>
      <c r="AV314" s="148"/>
      <c r="AW314" s="148">
        <f t="shared" si="104"/>
        <v>251991.31480000002</v>
      </c>
      <c r="AY314" s="193"/>
    </row>
    <row r="315" spans="1:51" ht="12.75">
      <c r="A315" s="242"/>
      <c r="B315" s="243"/>
      <c r="C315" s="236"/>
      <c r="D315" s="241" t="s">
        <v>238</v>
      </c>
      <c r="E315" s="315"/>
      <c r="F315" s="154">
        <v>15</v>
      </c>
      <c r="G315"/>
      <c r="H315" s="376">
        <v>-1295739</v>
      </c>
      <c r="I315" s="306"/>
      <c r="J315" s="235">
        <f t="shared" si="89"/>
        <v>-778868.7128999999</v>
      </c>
      <c r="K315" s="373"/>
      <c r="L315" s="235">
        <f t="shared" si="90"/>
        <v>-291929.9967</v>
      </c>
      <c r="M315" s="373"/>
      <c r="N315" s="235">
        <f t="shared" si="91"/>
        <v>-30838.588200000002</v>
      </c>
      <c r="O315" s="373"/>
      <c r="P315" s="235">
        <f t="shared" si="92"/>
        <v>-94459.37310000001</v>
      </c>
      <c r="Q315" s="373"/>
      <c r="R315" s="235">
        <f t="shared" si="93"/>
        <v>-26692.2234</v>
      </c>
      <c r="S315" s="373"/>
      <c r="T315" s="235">
        <f t="shared" si="94"/>
        <v>-38224.3005</v>
      </c>
      <c r="U315" s="373"/>
      <c r="V315" s="235">
        <f t="shared" si="95"/>
        <v>-34725.8052</v>
      </c>
      <c r="W315" s="236"/>
      <c r="X315" s="236"/>
      <c r="AA315" s="241" t="s">
        <v>238</v>
      </c>
      <c r="AC315" s="280">
        <f t="shared" si="96"/>
        <v>15</v>
      </c>
      <c r="AE315" s="161">
        <f t="shared" si="97"/>
        <v>-1295739</v>
      </c>
      <c r="AG315" s="148">
        <f t="shared" si="98"/>
        <v>-433942.9911</v>
      </c>
      <c r="AH315" s="148"/>
      <c r="AI315" s="148">
        <f t="shared" si="99"/>
        <v>-201616.98839999997</v>
      </c>
      <c r="AJ315" s="148"/>
      <c r="AK315" s="148">
        <f t="shared" si="100"/>
        <v>-189307.46790000002</v>
      </c>
      <c r="AL315" s="148"/>
      <c r="AM315" s="148">
        <f t="shared" si="101"/>
        <v>-16455.885299999998</v>
      </c>
      <c r="AN315" s="148"/>
      <c r="AO315" s="148">
        <f t="shared" si="102"/>
        <v>-47553.621300000006</v>
      </c>
      <c r="AP315" s="148"/>
      <c r="AQ315" s="148">
        <f t="shared" si="103"/>
        <v>-247227.0012</v>
      </c>
      <c r="AR315" s="148"/>
      <c r="AS315" s="148">
        <f t="shared" si="103"/>
        <v>-90701.73000000001</v>
      </c>
      <c r="AT315" s="148"/>
      <c r="AU315" s="148">
        <f t="shared" si="104"/>
        <v>-34207.5096</v>
      </c>
      <c r="AV315" s="148"/>
      <c r="AW315" s="148">
        <f t="shared" si="104"/>
        <v>-34725.8052</v>
      </c>
      <c r="AY315" s="193"/>
    </row>
    <row r="316" spans="1:51" ht="12.75">
      <c r="A316" s="242"/>
      <c r="B316" s="243"/>
      <c r="C316" s="236"/>
      <c r="D316" s="241" t="s">
        <v>281</v>
      </c>
      <c r="E316" s="315"/>
      <c r="F316" s="154">
        <v>15</v>
      </c>
      <c r="G316"/>
      <c r="H316" s="376">
        <v>1644818</v>
      </c>
      <c r="I316" s="306"/>
      <c r="J316" s="235">
        <f t="shared" si="89"/>
        <v>988700.0998</v>
      </c>
      <c r="K316" s="373"/>
      <c r="L316" s="235">
        <f t="shared" si="90"/>
        <v>370577.4954</v>
      </c>
      <c r="M316" s="373"/>
      <c r="N316" s="235">
        <f t="shared" si="91"/>
        <v>39146.6684</v>
      </c>
      <c r="O316" s="373"/>
      <c r="P316" s="235">
        <f t="shared" si="92"/>
        <v>119907.23220000001</v>
      </c>
      <c r="Q316" s="373"/>
      <c r="R316" s="235">
        <f t="shared" si="93"/>
        <v>33883.2508</v>
      </c>
      <c r="S316" s="373"/>
      <c r="T316" s="235">
        <f t="shared" si="94"/>
        <v>48522.130999999994</v>
      </c>
      <c r="U316" s="373"/>
      <c r="V316" s="235">
        <f t="shared" si="95"/>
        <v>44081.1224</v>
      </c>
      <c r="W316" s="236"/>
      <c r="X316" s="236"/>
      <c r="AA316" s="241" t="s">
        <v>281</v>
      </c>
      <c r="AC316" s="280">
        <f t="shared" si="96"/>
        <v>15</v>
      </c>
      <c r="AE316" s="161">
        <f t="shared" si="97"/>
        <v>1644818</v>
      </c>
      <c r="AG316" s="148">
        <f t="shared" si="98"/>
        <v>550849.5482</v>
      </c>
      <c r="AH316" s="148"/>
      <c r="AI316" s="148">
        <f t="shared" si="99"/>
        <v>255933.68079999997</v>
      </c>
      <c r="AJ316" s="148"/>
      <c r="AK316" s="148">
        <f t="shared" si="100"/>
        <v>240307.90980000002</v>
      </c>
      <c r="AL316" s="148"/>
      <c r="AM316" s="148">
        <f t="shared" si="101"/>
        <v>20889.188599999998</v>
      </c>
      <c r="AN316" s="148"/>
      <c r="AO316" s="148">
        <f t="shared" si="102"/>
        <v>60364.82060000001</v>
      </c>
      <c r="AP316" s="148"/>
      <c r="AQ316" s="148">
        <f t="shared" si="103"/>
        <v>313831.2744</v>
      </c>
      <c r="AR316" s="148"/>
      <c r="AS316" s="148">
        <f t="shared" si="103"/>
        <v>115137.26000000001</v>
      </c>
      <c r="AT316" s="148"/>
      <c r="AU316" s="148">
        <f t="shared" si="104"/>
        <v>43423.1952</v>
      </c>
      <c r="AV316" s="148"/>
      <c r="AW316" s="148">
        <f t="shared" si="104"/>
        <v>44081.1224</v>
      </c>
      <c r="AY316" s="193"/>
    </row>
    <row r="317" spans="1:51" ht="12.75">
      <c r="A317" s="242"/>
      <c r="B317" s="243"/>
      <c r="C317" s="236"/>
      <c r="D317" s="241" t="s">
        <v>247</v>
      </c>
      <c r="E317" s="315"/>
      <c r="F317" s="154">
        <v>15</v>
      </c>
      <c r="G317"/>
      <c r="H317" s="376">
        <v>-513</v>
      </c>
      <c r="I317" s="306"/>
      <c r="J317" s="235">
        <f t="shared" si="89"/>
        <v>-308.36429999999996</v>
      </c>
      <c r="K317" s="373"/>
      <c r="L317" s="235">
        <f t="shared" si="90"/>
        <v>-115.5789</v>
      </c>
      <c r="M317" s="373"/>
      <c r="N317" s="235">
        <f t="shared" si="91"/>
        <v>-12.2094</v>
      </c>
      <c r="O317" s="373"/>
      <c r="P317" s="235">
        <f t="shared" si="92"/>
        <v>-37.3977</v>
      </c>
      <c r="Q317" s="373"/>
      <c r="R317" s="235">
        <f t="shared" si="93"/>
        <v>-10.5678</v>
      </c>
      <c r="S317" s="373"/>
      <c r="T317" s="235">
        <f t="shared" si="94"/>
        <v>-15.1335</v>
      </c>
      <c r="U317" s="373"/>
      <c r="V317" s="235">
        <f t="shared" si="95"/>
        <v>-13.7484</v>
      </c>
      <c r="W317" s="236"/>
      <c r="X317" s="236"/>
      <c r="AA317" s="241" t="s">
        <v>247</v>
      </c>
      <c r="AC317" s="280">
        <f t="shared" si="96"/>
        <v>15</v>
      </c>
      <c r="AE317" s="161">
        <f t="shared" si="97"/>
        <v>-513</v>
      </c>
      <c r="AG317" s="148">
        <f t="shared" si="98"/>
        <v>-171.8037</v>
      </c>
      <c r="AH317" s="148"/>
      <c r="AI317" s="148">
        <f t="shared" si="99"/>
        <v>-79.8228</v>
      </c>
      <c r="AJ317" s="148"/>
      <c r="AK317" s="148">
        <f t="shared" si="100"/>
        <v>-74.94930000000001</v>
      </c>
      <c r="AL317" s="148"/>
      <c r="AM317" s="148">
        <f t="shared" si="101"/>
        <v>-6.5150999999999994</v>
      </c>
      <c r="AN317" s="148"/>
      <c r="AO317" s="148">
        <f t="shared" si="102"/>
        <v>-18.8271</v>
      </c>
      <c r="AP317" s="148"/>
      <c r="AQ317" s="148">
        <f t="shared" si="103"/>
        <v>-97.8804</v>
      </c>
      <c r="AR317" s="148"/>
      <c r="AS317" s="148">
        <f t="shared" si="103"/>
        <v>-35.910000000000004</v>
      </c>
      <c r="AT317" s="148"/>
      <c r="AU317" s="148">
        <f t="shared" si="104"/>
        <v>-13.5432</v>
      </c>
      <c r="AV317" s="148"/>
      <c r="AW317" s="148">
        <f t="shared" si="104"/>
        <v>-13.7484</v>
      </c>
      <c r="AY317" s="193"/>
    </row>
    <row r="318" spans="1:51" ht="12.75">
      <c r="A318" s="358"/>
      <c r="B318" s="359"/>
      <c r="C318" s="236"/>
      <c r="D318" s="241" t="s">
        <v>248</v>
      </c>
      <c r="E318" s="315"/>
      <c r="F318" s="154">
        <v>15</v>
      </c>
      <c r="G318"/>
      <c r="H318" s="376">
        <v>1089426</v>
      </c>
      <c r="I318" s="306"/>
      <c r="J318" s="235">
        <f t="shared" si="89"/>
        <v>654853.9686</v>
      </c>
      <c r="K318" s="373"/>
      <c r="L318" s="235">
        <f t="shared" si="90"/>
        <v>245447.6778</v>
      </c>
      <c r="M318" s="373"/>
      <c r="N318" s="235">
        <f t="shared" si="91"/>
        <v>25928.3388</v>
      </c>
      <c r="O318" s="373"/>
      <c r="P318" s="235">
        <f t="shared" si="92"/>
        <v>79419.1554</v>
      </c>
      <c r="Q318" s="373"/>
      <c r="R318" s="235">
        <f t="shared" si="93"/>
        <v>22442.1756</v>
      </c>
      <c r="S318" s="373"/>
      <c r="T318" s="235">
        <f t="shared" si="94"/>
        <v>32138.067</v>
      </c>
      <c r="U318" s="373"/>
      <c r="V318" s="235">
        <f t="shared" si="95"/>
        <v>29196.6168</v>
      </c>
      <c r="W318" s="236"/>
      <c r="X318" s="236"/>
      <c r="AA318" s="241" t="s">
        <v>248</v>
      </c>
      <c r="AC318" s="280">
        <f t="shared" si="96"/>
        <v>15</v>
      </c>
      <c r="AE318" s="161">
        <f t="shared" si="97"/>
        <v>1089426</v>
      </c>
      <c r="AG318" s="148">
        <f t="shared" si="98"/>
        <v>364848.76739999995</v>
      </c>
      <c r="AH318" s="148"/>
      <c r="AI318" s="148">
        <f t="shared" si="99"/>
        <v>169514.6856</v>
      </c>
      <c r="AJ318" s="148"/>
      <c r="AK318" s="148">
        <f t="shared" si="100"/>
        <v>159165.1386</v>
      </c>
      <c r="AL318" s="148"/>
      <c r="AM318" s="148">
        <f t="shared" si="101"/>
        <v>13835.7102</v>
      </c>
      <c r="AN318" s="148"/>
      <c r="AO318" s="148">
        <f t="shared" si="102"/>
        <v>39981.9342</v>
      </c>
      <c r="AP318" s="148"/>
      <c r="AQ318" s="148">
        <f t="shared" si="103"/>
        <v>207862.4808</v>
      </c>
      <c r="AR318" s="148"/>
      <c r="AS318" s="148">
        <f t="shared" si="103"/>
        <v>76259.82</v>
      </c>
      <c r="AT318" s="148"/>
      <c r="AU318" s="148">
        <f t="shared" si="104"/>
        <v>28760.8464</v>
      </c>
      <c r="AV318" s="148"/>
      <c r="AW318" s="148">
        <f t="shared" si="104"/>
        <v>29196.6168</v>
      </c>
      <c r="AY318" s="193"/>
    </row>
    <row r="319" spans="1:51" ht="12.75">
      <c r="A319" s="358"/>
      <c r="B319" s="359"/>
      <c r="C319" s="236"/>
      <c r="D319" s="241" t="s">
        <v>249</v>
      </c>
      <c r="E319" s="315"/>
      <c r="F319" s="154">
        <v>2</v>
      </c>
      <c r="G319"/>
      <c r="H319" s="376">
        <v>60335</v>
      </c>
      <c r="I319" s="306"/>
      <c r="J319" s="235">
        <f t="shared" si="89"/>
        <v>30209.734499999995</v>
      </c>
      <c r="K319" s="373"/>
      <c r="L319" s="235">
        <f t="shared" si="90"/>
        <v>18480.610500000003</v>
      </c>
      <c r="M319" s="373"/>
      <c r="N319" s="235">
        <f t="shared" si="91"/>
        <v>2310.8305</v>
      </c>
      <c r="O319" s="373"/>
      <c r="P319" s="235">
        <f t="shared" si="92"/>
        <v>7047.128</v>
      </c>
      <c r="Q319" s="373"/>
      <c r="R319" s="235">
        <f t="shared" si="93"/>
        <v>2087.591</v>
      </c>
      <c r="S319" s="373"/>
      <c r="T319" s="235">
        <f t="shared" si="94"/>
        <v>90.5025</v>
      </c>
      <c r="U319" s="373"/>
      <c r="V319" s="235">
        <f t="shared" si="95"/>
        <v>108.603</v>
      </c>
      <c r="W319" s="236"/>
      <c r="X319" s="236"/>
      <c r="AA319" s="241" t="s">
        <v>249</v>
      </c>
      <c r="AC319" s="280">
        <f t="shared" si="96"/>
        <v>2</v>
      </c>
      <c r="AE319" s="161">
        <f t="shared" si="97"/>
        <v>60335</v>
      </c>
      <c r="AG319" s="148">
        <f t="shared" si="98"/>
        <v>36369.938</v>
      </c>
      <c r="AH319" s="148"/>
      <c r="AI319" s="148">
        <f t="shared" si="99"/>
        <v>23765.956499999997</v>
      </c>
      <c r="AJ319" s="148"/>
      <c r="AK319" s="148">
        <f t="shared" si="100"/>
        <v>0</v>
      </c>
      <c r="AL319" s="148"/>
      <c r="AM319" s="148">
        <f t="shared" si="101"/>
        <v>0</v>
      </c>
      <c r="AN319" s="148"/>
      <c r="AO319" s="148">
        <f t="shared" si="102"/>
        <v>0</v>
      </c>
      <c r="AP319" s="148"/>
      <c r="AQ319" s="148">
        <f t="shared" si="103"/>
        <v>0</v>
      </c>
      <c r="AR319" s="148"/>
      <c r="AS319" s="148">
        <f t="shared" si="103"/>
        <v>0</v>
      </c>
      <c r="AT319" s="148"/>
      <c r="AU319" s="148">
        <f t="shared" si="104"/>
        <v>90.5025</v>
      </c>
      <c r="AV319" s="148"/>
      <c r="AW319" s="148">
        <f t="shared" si="104"/>
        <v>108.603</v>
      </c>
      <c r="AY319" s="193"/>
    </row>
    <row r="320" spans="1:51" ht="15" customHeight="1">
      <c r="A320" s="242"/>
      <c r="B320" s="243"/>
      <c r="C320" s="236"/>
      <c r="D320" s="241" t="s">
        <v>250</v>
      </c>
      <c r="E320" s="315"/>
      <c r="F320" s="154">
        <v>15</v>
      </c>
      <c r="G320"/>
      <c r="H320" s="376">
        <v>591209</v>
      </c>
      <c r="I320" s="306"/>
      <c r="J320" s="235">
        <f t="shared" si="89"/>
        <v>355375.7299</v>
      </c>
      <c r="K320" s="373"/>
      <c r="L320" s="235">
        <f t="shared" si="90"/>
        <v>133199.3877</v>
      </c>
      <c r="M320" s="373"/>
      <c r="N320" s="235">
        <f t="shared" si="91"/>
        <v>14070.774200000002</v>
      </c>
      <c r="O320" s="373"/>
      <c r="P320" s="235">
        <f t="shared" si="92"/>
        <v>43099.1361</v>
      </c>
      <c r="Q320" s="373"/>
      <c r="R320" s="235">
        <f t="shared" si="93"/>
        <v>12178.9054</v>
      </c>
      <c r="S320" s="373"/>
      <c r="T320" s="235">
        <f t="shared" si="94"/>
        <v>17440.6655</v>
      </c>
      <c r="U320" s="373"/>
      <c r="V320" s="235">
        <f t="shared" si="95"/>
        <v>15844.4012</v>
      </c>
      <c r="W320" s="236"/>
      <c r="X320" s="236"/>
      <c r="AA320" s="241" t="s">
        <v>250</v>
      </c>
      <c r="AC320" s="280">
        <f t="shared" si="96"/>
        <v>15</v>
      </c>
      <c r="AE320" s="161">
        <f t="shared" si="97"/>
        <v>591209</v>
      </c>
      <c r="AG320" s="148">
        <f t="shared" si="98"/>
        <v>197995.89409999998</v>
      </c>
      <c r="AH320" s="148"/>
      <c r="AI320" s="148">
        <f t="shared" si="99"/>
        <v>91992.1204</v>
      </c>
      <c r="AJ320" s="148"/>
      <c r="AK320" s="148">
        <f t="shared" si="100"/>
        <v>86375.6349</v>
      </c>
      <c r="AL320" s="148"/>
      <c r="AM320" s="148">
        <f t="shared" si="101"/>
        <v>7508.3543</v>
      </c>
      <c r="AN320" s="148"/>
      <c r="AO320" s="148">
        <f t="shared" si="102"/>
        <v>21697.370300000002</v>
      </c>
      <c r="AP320" s="148"/>
      <c r="AQ320" s="148">
        <f t="shared" si="103"/>
        <v>112802.6772</v>
      </c>
      <c r="AR320" s="148"/>
      <c r="AS320" s="148">
        <f t="shared" si="103"/>
        <v>41384.630000000005</v>
      </c>
      <c r="AT320" s="148"/>
      <c r="AU320" s="148">
        <f t="shared" si="104"/>
        <v>15607.9176</v>
      </c>
      <c r="AV320" s="148"/>
      <c r="AW320" s="148">
        <f t="shared" si="104"/>
        <v>15844.4012</v>
      </c>
      <c r="AY320" s="193"/>
    </row>
    <row r="321" spans="1:51" ht="12.75">
      <c r="A321" s="242"/>
      <c r="B321" s="243"/>
      <c r="C321" s="236"/>
      <c r="D321" s="241" t="s">
        <v>251</v>
      </c>
      <c r="E321" s="315"/>
      <c r="F321" s="154">
        <v>15</v>
      </c>
      <c r="G321"/>
      <c r="H321" s="376">
        <v>1091976</v>
      </c>
      <c r="I321" s="306"/>
      <c r="J321" s="235">
        <f t="shared" si="89"/>
        <v>656386.7736</v>
      </c>
      <c r="K321" s="373"/>
      <c r="L321" s="235">
        <f t="shared" si="90"/>
        <v>246022.1928</v>
      </c>
      <c r="M321" s="373"/>
      <c r="N321" s="235">
        <f t="shared" si="91"/>
        <v>25989.028800000004</v>
      </c>
      <c r="O321" s="373"/>
      <c r="P321" s="235">
        <f t="shared" si="92"/>
        <v>79605.05040000001</v>
      </c>
      <c r="Q321" s="373"/>
      <c r="R321" s="235">
        <f t="shared" si="93"/>
        <v>22494.7056</v>
      </c>
      <c r="S321" s="373"/>
      <c r="T321" s="235">
        <f t="shared" si="94"/>
        <v>32213.291999999998</v>
      </c>
      <c r="U321" s="373"/>
      <c r="V321" s="235">
        <f t="shared" si="95"/>
        <v>29264.9568</v>
      </c>
      <c r="W321" s="236"/>
      <c r="X321" s="236"/>
      <c r="AA321" s="241" t="s">
        <v>251</v>
      </c>
      <c r="AC321" s="280">
        <f t="shared" si="96"/>
        <v>15</v>
      </c>
      <c r="AE321" s="161">
        <f t="shared" si="97"/>
        <v>1091976</v>
      </c>
      <c r="AG321" s="148">
        <f t="shared" si="98"/>
        <v>365702.76239999995</v>
      </c>
      <c r="AH321" s="148"/>
      <c r="AI321" s="148">
        <f t="shared" si="99"/>
        <v>169911.4656</v>
      </c>
      <c r="AJ321" s="148"/>
      <c r="AK321" s="148">
        <f t="shared" si="100"/>
        <v>159537.6936</v>
      </c>
      <c r="AL321" s="148"/>
      <c r="AM321" s="148">
        <f t="shared" si="101"/>
        <v>13868.0952</v>
      </c>
      <c r="AN321" s="148"/>
      <c r="AO321" s="148">
        <f t="shared" si="102"/>
        <v>40075.5192</v>
      </c>
      <c r="AP321" s="148"/>
      <c r="AQ321" s="148">
        <f t="shared" si="103"/>
        <v>208349.0208</v>
      </c>
      <c r="AR321" s="148"/>
      <c r="AS321" s="148">
        <f t="shared" si="103"/>
        <v>76438.32</v>
      </c>
      <c r="AT321" s="148"/>
      <c r="AU321" s="148">
        <f t="shared" si="104"/>
        <v>28828.1664</v>
      </c>
      <c r="AV321" s="148"/>
      <c r="AW321" s="148">
        <f t="shared" si="104"/>
        <v>29264.9568</v>
      </c>
      <c r="AY321" s="193"/>
    </row>
    <row r="322" spans="1:51" ht="12.75">
      <c r="A322" s="242"/>
      <c r="B322" s="243"/>
      <c r="C322" s="236"/>
      <c r="D322" s="241" t="s">
        <v>252</v>
      </c>
      <c r="E322" s="315"/>
      <c r="F322" s="154">
        <v>15</v>
      </c>
      <c r="G322"/>
      <c r="H322" s="376">
        <v>803750</v>
      </c>
      <c r="I322" s="306"/>
      <c r="J322" s="235">
        <f t="shared" si="89"/>
        <v>483134.125</v>
      </c>
      <c r="K322" s="373"/>
      <c r="L322" s="235">
        <f t="shared" si="90"/>
        <v>181084.875</v>
      </c>
      <c r="M322" s="373"/>
      <c r="N322" s="235">
        <f t="shared" si="91"/>
        <v>19129.25</v>
      </c>
      <c r="O322" s="373"/>
      <c r="P322" s="235">
        <f t="shared" si="92"/>
        <v>58593.37500000001</v>
      </c>
      <c r="Q322" s="373"/>
      <c r="R322" s="235">
        <f t="shared" si="93"/>
        <v>16557.25</v>
      </c>
      <c r="S322" s="373"/>
      <c r="T322" s="235">
        <f t="shared" si="94"/>
        <v>23710.625</v>
      </c>
      <c r="U322" s="373"/>
      <c r="V322" s="235">
        <f t="shared" si="95"/>
        <v>21540.5</v>
      </c>
      <c r="W322" s="236"/>
      <c r="X322" s="236"/>
      <c r="AA322" s="241" t="s">
        <v>252</v>
      </c>
      <c r="AC322" s="280">
        <f t="shared" si="96"/>
        <v>15</v>
      </c>
      <c r="AE322" s="161">
        <f t="shared" si="97"/>
        <v>803750</v>
      </c>
      <c r="AG322" s="148">
        <f t="shared" si="98"/>
        <v>269175.875</v>
      </c>
      <c r="AH322" s="148"/>
      <c r="AI322" s="148">
        <f t="shared" si="99"/>
        <v>125063.49999999999</v>
      </c>
      <c r="AJ322" s="148"/>
      <c r="AK322" s="148">
        <f t="shared" si="100"/>
        <v>117427.875</v>
      </c>
      <c r="AL322" s="148"/>
      <c r="AM322" s="148">
        <f t="shared" si="101"/>
        <v>10207.625</v>
      </c>
      <c r="AN322" s="148"/>
      <c r="AO322" s="148">
        <f t="shared" si="102"/>
        <v>29497.625000000004</v>
      </c>
      <c r="AP322" s="148"/>
      <c r="AQ322" s="148">
        <f t="shared" si="103"/>
        <v>153355.5</v>
      </c>
      <c r="AR322" s="148"/>
      <c r="AS322" s="148">
        <f t="shared" si="103"/>
        <v>56262.50000000001</v>
      </c>
      <c r="AT322" s="148"/>
      <c r="AU322" s="148">
        <f t="shared" si="104"/>
        <v>21219</v>
      </c>
      <c r="AV322" s="148"/>
      <c r="AW322" s="148">
        <f t="shared" si="104"/>
        <v>21540.5</v>
      </c>
      <c r="AY322" s="193"/>
    </row>
    <row r="323" spans="1:51" ht="12.75">
      <c r="A323" s="242"/>
      <c r="B323" s="243"/>
      <c r="C323" s="236"/>
      <c r="D323" s="241" t="s">
        <v>253</v>
      </c>
      <c r="E323" s="315"/>
      <c r="F323" s="154">
        <v>15</v>
      </c>
      <c r="G323"/>
      <c r="H323" s="469">
        <v>-171258</v>
      </c>
      <c r="I323" s="306"/>
      <c r="J323" s="468">
        <f t="shared" si="89"/>
        <v>-102943.1838</v>
      </c>
      <c r="K323" s="306"/>
      <c r="L323" s="468">
        <f t="shared" si="90"/>
        <v>-38584.4274</v>
      </c>
      <c r="M323" s="306"/>
      <c r="N323" s="468">
        <f t="shared" si="91"/>
        <v>-4075.9404000000004</v>
      </c>
      <c r="O323" s="306"/>
      <c r="P323" s="468">
        <f t="shared" si="92"/>
        <v>-12484.708200000001</v>
      </c>
      <c r="Q323" s="306"/>
      <c r="R323" s="468">
        <f t="shared" si="93"/>
        <v>-3527.9148</v>
      </c>
      <c r="S323" s="306"/>
      <c r="T323" s="468">
        <f t="shared" si="94"/>
        <v>-5052.111</v>
      </c>
      <c r="U323" s="306"/>
      <c r="V323" s="468">
        <f t="shared" si="95"/>
        <v>-4589.7144</v>
      </c>
      <c r="W323" s="236"/>
      <c r="X323" s="236"/>
      <c r="AA323" s="241" t="s">
        <v>253</v>
      </c>
      <c r="AC323" s="280">
        <f t="shared" si="96"/>
        <v>15</v>
      </c>
      <c r="AE323" s="317">
        <f t="shared" si="97"/>
        <v>-171258</v>
      </c>
      <c r="AG323" s="149">
        <f t="shared" si="98"/>
        <v>-57354.3042</v>
      </c>
      <c r="AI323" s="149">
        <f t="shared" si="99"/>
        <v>-26647.744799999997</v>
      </c>
      <c r="AK323" s="149">
        <f t="shared" si="100"/>
        <v>-25020.793800000003</v>
      </c>
      <c r="AM323" s="149">
        <f t="shared" si="101"/>
        <v>-2174.9766</v>
      </c>
      <c r="AO323" s="149">
        <f t="shared" si="102"/>
        <v>-6285.168600000001</v>
      </c>
      <c r="AQ323" s="149">
        <f t="shared" si="103"/>
        <v>-32676.0264</v>
      </c>
      <c r="AS323" s="149">
        <f t="shared" si="103"/>
        <v>-11988.060000000001</v>
      </c>
      <c r="AU323" s="149">
        <f t="shared" si="104"/>
        <v>-4521.2112</v>
      </c>
      <c r="AW323" s="149">
        <f t="shared" si="104"/>
        <v>-4589.7144</v>
      </c>
      <c r="AY323" s="193"/>
    </row>
    <row r="324" spans="1:51" ht="12.75">
      <c r="A324" s="242"/>
      <c r="B324" s="243"/>
      <c r="C324" s="236"/>
      <c r="D324" s="241"/>
      <c r="E324" s="315"/>
      <c r="F324" s="154"/>
      <c r="G324"/>
      <c r="H324" s="377"/>
      <c r="I324" s="306"/>
      <c r="J324" s="162"/>
      <c r="K324" s="306"/>
      <c r="L324" s="162"/>
      <c r="M324" s="306"/>
      <c r="N324" s="162"/>
      <c r="O324" s="306"/>
      <c r="P324" s="162"/>
      <c r="Q324" s="306"/>
      <c r="R324" s="162"/>
      <c r="S324" s="306"/>
      <c r="T324" s="162"/>
      <c r="U324" s="306"/>
      <c r="V324" s="162"/>
      <c r="X324" s="193"/>
      <c r="AA324" s="241"/>
      <c r="AC324" s="280"/>
      <c r="AE324" s="461"/>
      <c r="AF324" s="163"/>
      <c r="AG324" s="162"/>
      <c r="AH324" s="163"/>
      <c r="AI324" s="162"/>
      <c r="AJ324" s="163"/>
      <c r="AK324" s="162"/>
      <c r="AL324" s="163"/>
      <c r="AM324" s="162"/>
      <c r="AN324" s="163"/>
      <c r="AO324" s="162"/>
      <c r="AP324" s="163"/>
      <c r="AQ324" s="162"/>
      <c r="AR324" s="163"/>
      <c r="AS324" s="162"/>
      <c r="AT324" s="163"/>
      <c r="AU324" s="162"/>
      <c r="AV324" s="163"/>
      <c r="AW324" s="162"/>
      <c r="AY324" s="193"/>
    </row>
    <row r="325" spans="1:51" ht="12.75">
      <c r="A325" s="242"/>
      <c r="B325" s="243"/>
      <c r="C325" s="236"/>
      <c r="D325" t="s">
        <v>738</v>
      </c>
      <c r="E325" s="315"/>
      <c r="F325" s="154"/>
      <c r="G325"/>
      <c r="H325" s="376"/>
      <c r="I325"/>
      <c r="J325" s="376"/>
      <c r="K325"/>
      <c r="L325" s="376"/>
      <c r="M325"/>
      <c r="N325" s="376"/>
      <c r="O325"/>
      <c r="P325" s="376"/>
      <c r="Q325"/>
      <c r="R325" s="376"/>
      <c r="S325"/>
      <c r="T325" s="376"/>
      <c r="U325"/>
      <c r="V325" s="376"/>
      <c r="X325" s="193"/>
      <c r="AA325" t="s">
        <v>282</v>
      </c>
      <c r="AB325" s="315"/>
      <c r="AC325" s="154"/>
      <c r="AE325" s="376"/>
      <c r="AF325" s="163"/>
      <c r="AG325" s="162"/>
      <c r="AH325" s="163"/>
      <c r="AI325" s="162"/>
      <c r="AJ325" s="163"/>
      <c r="AK325" s="162"/>
      <c r="AL325" s="163"/>
      <c r="AM325" s="162"/>
      <c r="AN325" s="163"/>
      <c r="AO325" s="162"/>
      <c r="AP325" s="163"/>
      <c r="AQ325" s="162"/>
      <c r="AR325" s="163"/>
      <c r="AS325" s="162"/>
      <c r="AT325" s="163"/>
      <c r="AU325" s="162"/>
      <c r="AV325" s="163"/>
      <c r="AW325" s="162"/>
      <c r="AY325" s="193"/>
    </row>
    <row r="326" spans="1:51" ht="12.75">
      <c r="A326" s="242"/>
      <c r="B326" s="243"/>
      <c r="C326" s="236"/>
      <c r="D326" t="s">
        <v>739</v>
      </c>
      <c r="E326" s="315"/>
      <c r="F326" s="154"/>
      <c r="G326"/>
      <c r="H326" s="376">
        <f>SUM(H284:H325)</f>
        <v>387974160.99999994</v>
      </c>
      <c r="I326"/>
      <c r="J326" s="376">
        <f>SUM(J284:J325)</f>
        <v>192188562.8112388</v>
      </c>
      <c r="K326"/>
      <c r="L326" s="376">
        <f>SUM(L284:L325)</f>
        <v>103546205.08903524</v>
      </c>
      <c r="M326"/>
      <c r="N326" s="376">
        <f>SUM(N284:N325)</f>
        <v>12048386.32893602</v>
      </c>
      <c r="O326"/>
      <c r="P326" s="376">
        <f>SUM(P284:P325)</f>
        <v>37052511.83917456</v>
      </c>
      <c r="Q326"/>
      <c r="R326" s="376">
        <f>SUM(R284:R325)</f>
        <v>10615211.33518977</v>
      </c>
      <c r="S326"/>
      <c r="T326" s="376">
        <f>SUM(T284:T325)</f>
        <v>11796262.35359167</v>
      </c>
      <c r="U326"/>
      <c r="V326" s="376">
        <f>SUM(V284:V325)</f>
        <v>20727021.242833838</v>
      </c>
      <c r="X326" s="193"/>
      <c r="AA326" t="s">
        <v>283</v>
      </c>
      <c r="AB326" s="315"/>
      <c r="AC326" s="154"/>
      <c r="AE326" s="376">
        <f>SUM(AE284:AE325)</f>
        <v>387974160.99999994</v>
      </c>
      <c r="AG326" s="376">
        <f>SUM(AG284:AG325)</f>
        <v>178136316.55101764</v>
      </c>
      <c r="AI326" s="376">
        <f>SUM(AI284:AI325)</f>
        <v>98164775.82010745</v>
      </c>
      <c r="AK326" s="376">
        <f>SUM(AK284:AK325)</f>
        <v>40581944.081642635</v>
      </c>
      <c r="AM326" s="376">
        <f>SUM(AM284:AM325)</f>
        <v>26618958.477731146</v>
      </c>
      <c r="AO326" s="376">
        <f>SUM(AO284:AO325)</f>
        <v>8938863.930076428</v>
      </c>
      <c r="AQ326" s="376">
        <f>SUM(AQ284:AQ325)</f>
        <v>2518550.3244000003</v>
      </c>
      <c r="AS326" s="376">
        <f>SUM(AS284:AS325)</f>
        <v>922708.4915999998</v>
      </c>
      <c r="AU326" s="376">
        <f>SUM(AU284:AU325)</f>
        <v>11579288.854361309</v>
      </c>
      <c r="AW326" s="376">
        <f>SUM(AW284:AW325)</f>
        <v>20512754.46906337</v>
      </c>
      <c r="AY326" s="193"/>
    </row>
    <row r="327" spans="1:51" ht="12.75">
      <c r="A327" s="242"/>
      <c r="B327" s="243"/>
      <c r="C327" s="236"/>
      <c r="D327"/>
      <c r="E327" s="315"/>
      <c r="F327" s="154"/>
      <c r="G327"/>
      <c r="H327" s="303"/>
      <c r="I327" s="306"/>
      <c r="J327" s="162"/>
      <c r="K327" s="220"/>
      <c r="L327" s="162"/>
      <c r="M327" s="220"/>
      <c r="N327" s="162"/>
      <c r="O327" s="220"/>
      <c r="P327" s="162"/>
      <c r="Q327" s="220"/>
      <c r="R327" s="162"/>
      <c r="S327" s="220"/>
      <c r="T327" s="162"/>
      <c r="U327" s="220"/>
      <c r="V327" s="162"/>
      <c r="X327" s="193"/>
      <c r="AA327"/>
      <c r="AC327" s="280"/>
      <c r="AE327" s="461"/>
      <c r="AF327" s="163"/>
      <c r="AG327" s="162"/>
      <c r="AH327" s="162"/>
      <c r="AI327" s="162"/>
      <c r="AJ327" s="162"/>
      <c r="AK327" s="162"/>
      <c r="AL327" s="162"/>
      <c r="AM327" s="162"/>
      <c r="AN327" s="162"/>
      <c r="AO327" s="162"/>
      <c r="AP327" s="162"/>
      <c r="AQ327" s="162"/>
      <c r="AR327" s="162"/>
      <c r="AS327" s="162"/>
      <c r="AT327" s="162"/>
      <c r="AU327" s="162"/>
      <c r="AV327" s="162"/>
      <c r="AW327" s="162"/>
      <c r="AY327" s="193"/>
    </row>
    <row r="328" spans="1:51" ht="12.75">
      <c r="A328" s="242"/>
      <c r="B328" s="243"/>
      <c r="C328" s="236"/>
      <c r="D328" s="474" t="s">
        <v>284</v>
      </c>
      <c r="E328" s="315"/>
      <c r="F328" s="154"/>
      <c r="G328"/>
      <c r="H328" s="303"/>
      <c r="I328" s="306"/>
      <c r="J328" s="162"/>
      <c r="K328" s="220"/>
      <c r="L328" s="162"/>
      <c r="M328" s="220"/>
      <c r="N328" s="162"/>
      <c r="O328" s="220"/>
      <c r="P328" s="162"/>
      <c r="Q328" s="220"/>
      <c r="R328" s="162"/>
      <c r="S328" s="220"/>
      <c r="T328" s="162"/>
      <c r="U328" s="220"/>
      <c r="V328" s="162"/>
      <c r="X328" s="193"/>
      <c r="AA328" s="474" t="s">
        <v>284</v>
      </c>
      <c r="AC328" s="280"/>
      <c r="AE328" s="461"/>
      <c r="AF328" s="163"/>
      <c r="AG328" s="162"/>
      <c r="AH328" s="162"/>
      <c r="AI328" s="162"/>
      <c r="AJ328" s="162"/>
      <c r="AK328" s="162"/>
      <c r="AL328" s="162"/>
      <c r="AM328" s="162"/>
      <c r="AN328" s="162"/>
      <c r="AO328" s="162"/>
      <c r="AP328" s="162"/>
      <c r="AQ328" s="162"/>
      <c r="AR328" s="162"/>
      <c r="AS328" s="162"/>
      <c r="AT328" s="162"/>
      <c r="AU328" s="162"/>
      <c r="AV328" s="162"/>
      <c r="AW328" s="162"/>
      <c r="AY328" s="193"/>
    </row>
    <row r="329" spans="1:51" ht="12.75">
      <c r="A329" s="242"/>
      <c r="B329" s="243"/>
      <c r="C329" s="236"/>
      <c r="D329" s="475" t="s">
        <v>285</v>
      </c>
      <c r="E329" s="315"/>
      <c r="F329" s="154">
        <v>17</v>
      </c>
      <c r="G329"/>
      <c r="H329" s="376">
        <v>2342</v>
      </c>
      <c r="I329" s="306"/>
      <c r="J329" s="235">
        <f aca="true" t="shared" si="105" ref="J329:J344">(VLOOKUP($F329,Factors,J$384))*$H329</f>
        <v>1166.316</v>
      </c>
      <c r="K329" s="373"/>
      <c r="L329" s="235">
        <f aca="true" t="shared" si="106" ref="L329:L344">(VLOOKUP($F329,Factors,L$384))*$H329</f>
        <v>622.0352</v>
      </c>
      <c r="M329" s="373"/>
      <c r="N329" s="235">
        <f aca="true" t="shared" si="107" ref="N329:N344">(VLOOKUP($F329,Factors,N$384))*$H329</f>
        <v>72.1336</v>
      </c>
      <c r="O329" s="373"/>
      <c r="P329" s="235">
        <f aca="true" t="shared" si="108" ref="P329:P344">(VLOOKUP($F329,Factors,P$384))*$H329</f>
        <v>222.02159999999998</v>
      </c>
      <c r="Q329" s="373"/>
      <c r="R329" s="235">
        <f aca="true" t="shared" si="109" ref="R329:R344">(VLOOKUP($F329,Factors,R$384))*$H329</f>
        <v>63.468199999999996</v>
      </c>
      <c r="S329" s="373"/>
      <c r="T329" s="235">
        <f aca="true" t="shared" si="110" ref="T329:T344">(VLOOKUP($F329,Factors,T$384))*$H329</f>
        <v>71.6652</v>
      </c>
      <c r="U329" s="373"/>
      <c r="V329" s="235">
        <f aca="true" t="shared" si="111" ref="V329:V344">(VLOOKUP($F329,Factors,V$384))*$H329</f>
        <v>124.3602</v>
      </c>
      <c r="W329" s="236"/>
      <c r="X329" s="236"/>
      <c r="AA329" s="475" t="s">
        <v>285</v>
      </c>
      <c r="AC329" s="280">
        <f aca="true" t="shared" si="112" ref="AC329:AC351">+F329</f>
        <v>17</v>
      </c>
      <c r="AE329" s="161">
        <f aca="true" t="shared" si="113" ref="AE329:AE351">+H329</f>
        <v>2342</v>
      </c>
      <c r="AG329" s="148">
        <f aca="true" t="shared" si="114" ref="AG329:AG344">(VLOOKUP($AC329,func,AG$384))*$AE329</f>
        <v>1065.3758</v>
      </c>
      <c r="AH329" s="148"/>
      <c r="AI329" s="148">
        <f aca="true" t="shared" si="115" ref="AI329:AI344">(VLOOKUP($AC329,func,AI$384))*$AE329</f>
        <v>582.2212</v>
      </c>
      <c r="AJ329" s="148"/>
      <c r="AK329" s="148">
        <f aca="true" t="shared" si="116" ref="AK329:AK344">(VLOOKUP($AC329,func,AK$384))*$AE329</f>
        <v>253.4044</v>
      </c>
      <c r="AL329" s="148"/>
      <c r="AM329" s="148">
        <f aca="true" t="shared" si="117" ref="AM329:AM344">(VLOOKUP($AC329,func,AM$384))*$AE329</f>
        <v>157.1482</v>
      </c>
      <c r="AN329" s="148"/>
      <c r="AO329" s="148">
        <f aca="true" t="shared" si="118" ref="AO329:AO344">(VLOOKUP($AC329,func,AO$384))*$AE329</f>
        <v>53.1634</v>
      </c>
      <c r="AP329" s="148"/>
      <c r="AQ329" s="148">
        <f aca="true" t="shared" si="119" ref="AQ329:AS344">(VLOOKUP($AC329,func,AQ$384))*$AE329</f>
        <v>30.9144</v>
      </c>
      <c r="AR329" s="148"/>
      <c r="AS329" s="148">
        <f t="shared" si="119"/>
        <v>6.5576</v>
      </c>
      <c r="AT329" s="148"/>
      <c r="AU329" s="148">
        <f aca="true" t="shared" si="120" ref="AU329:AW344">(VLOOKUP($AC329,func,AU$384))*$AE329</f>
        <v>70.25999999999999</v>
      </c>
      <c r="AV329" s="148"/>
      <c r="AW329" s="148">
        <f t="shared" si="120"/>
        <v>122.955</v>
      </c>
      <c r="AY329" s="193"/>
    </row>
    <row r="330" spans="1:51" ht="12.75">
      <c r="A330" s="242"/>
      <c r="B330" s="243"/>
      <c r="C330" s="236"/>
      <c r="D330" s="475" t="s">
        <v>286</v>
      </c>
      <c r="E330" s="315"/>
      <c r="F330" s="154">
        <v>17</v>
      </c>
      <c r="G330"/>
      <c r="H330" s="376"/>
      <c r="I330" s="306"/>
      <c r="J330" s="235">
        <f t="shared" si="105"/>
        <v>0</v>
      </c>
      <c r="K330" s="373"/>
      <c r="L330" s="235">
        <f t="shared" si="106"/>
        <v>0</v>
      </c>
      <c r="M330" s="373"/>
      <c r="N330" s="235">
        <f t="shared" si="107"/>
        <v>0</v>
      </c>
      <c r="O330" s="373"/>
      <c r="P330" s="235">
        <f t="shared" si="108"/>
        <v>0</v>
      </c>
      <c r="Q330" s="373"/>
      <c r="R330" s="235">
        <f t="shared" si="109"/>
        <v>0</v>
      </c>
      <c r="S330" s="373"/>
      <c r="T330" s="235">
        <f t="shared" si="110"/>
        <v>0</v>
      </c>
      <c r="U330" s="373"/>
      <c r="V330" s="235">
        <f t="shared" si="111"/>
        <v>0</v>
      </c>
      <c r="W330" s="236"/>
      <c r="X330" s="236"/>
      <c r="AA330" s="475" t="s">
        <v>286</v>
      </c>
      <c r="AC330" s="280">
        <f t="shared" si="112"/>
        <v>17</v>
      </c>
      <c r="AE330" s="161">
        <f t="shared" si="113"/>
        <v>0</v>
      </c>
      <c r="AG330" s="148">
        <f t="shared" si="114"/>
        <v>0</v>
      </c>
      <c r="AH330" s="148"/>
      <c r="AI330" s="148">
        <f t="shared" si="115"/>
        <v>0</v>
      </c>
      <c r="AJ330" s="148"/>
      <c r="AK330" s="148">
        <f t="shared" si="116"/>
        <v>0</v>
      </c>
      <c r="AL330" s="148"/>
      <c r="AM330" s="148">
        <f t="shared" si="117"/>
        <v>0</v>
      </c>
      <c r="AN330" s="148"/>
      <c r="AO330" s="148">
        <f t="shared" si="118"/>
        <v>0</v>
      </c>
      <c r="AP330" s="148"/>
      <c r="AQ330" s="148">
        <f t="shared" si="119"/>
        <v>0</v>
      </c>
      <c r="AR330" s="148"/>
      <c r="AS330" s="148">
        <f t="shared" si="119"/>
        <v>0</v>
      </c>
      <c r="AT330" s="148"/>
      <c r="AU330" s="148">
        <f t="shared" si="120"/>
        <v>0</v>
      </c>
      <c r="AV330" s="148"/>
      <c r="AW330" s="148">
        <f t="shared" si="120"/>
        <v>0</v>
      </c>
      <c r="AY330" s="193"/>
    </row>
    <row r="331" spans="1:51" ht="12.75">
      <c r="A331" s="242"/>
      <c r="B331" s="243"/>
      <c r="C331" s="236"/>
      <c r="D331" s="475" t="s">
        <v>287</v>
      </c>
      <c r="E331" s="315"/>
      <c r="F331" s="154">
        <v>2</v>
      </c>
      <c r="G331"/>
      <c r="H331" s="376">
        <v>572250</v>
      </c>
      <c r="I331" s="306"/>
      <c r="J331" s="235">
        <f t="shared" si="105"/>
        <v>286525.57499999995</v>
      </c>
      <c r="K331" s="373"/>
      <c r="L331" s="235">
        <f t="shared" si="106"/>
        <v>175280.17500000002</v>
      </c>
      <c r="M331" s="373"/>
      <c r="N331" s="235">
        <f t="shared" si="107"/>
        <v>21917.175</v>
      </c>
      <c r="O331" s="373"/>
      <c r="P331" s="235">
        <f t="shared" si="108"/>
        <v>66838.8</v>
      </c>
      <c r="Q331" s="373"/>
      <c r="R331" s="235">
        <f t="shared" si="109"/>
        <v>19799.85</v>
      </c>
      <c r="S331" s="373"/>
      <c r="T331" s="235">
        <f t="shared" si="110"/>
        <v>858.375</v>
      </c>
      <c r="U331" s="373"/>
      <c r="V331" s="235">
        <f t="shared" si="111"/>
        <v>1030.05</v>
      </c>
      <c r="W331" s="236"/>
      <c r="X331" s="236"/>
      <c r="AA331" s="475" t="s">
        <v>287</v>
      </c>
      <c r="AC331" s="280">
        <f t="shared" si="112"/>
        <v>2</v>
      </c>
      <c r="AE331" s="161">
        <f t="shared" si="113"/>
        <v>572250</v>
      </c>
      <c r="AG331" s="148">
        <f t="shared" si="114"/>
        <v>344952.3</v>
      </c>
      <c r="AH331" s="148"/>
      <c r="AI331" s="148">
        <f t="shared" si="115"/>
        <v>225409.275</v>
      </c>
      <c r="AJ331" s="148"/>
      <c r="AK331" s="148">
        <f t="shared" si="116"/>
        <v>0</v>
      </c>
      <c r="AL331" s="148"/>
      <c r="AM331" s="148">
        <f t="shared" si="117"/>
        <v>0</v>
      </c>
      <c r="AN331" s="148"/>
      <c r="AO331" s="148">
        <f t="shared" si="118"/>
        <v>0</v>
      </c>
      <c r="AP331" s="148"/>
      <c r="AQ331" s="148">
        <f t="shared" si="119"/>
        <v>0</v>
      </c>
      <c r="AR331" s="148"/>
      <c r="AS331" s="148">
        <f t="shared" si="119"/>
        <v>0</v>
      </c>
      <c r="AT331" s="148"/>
      <c r="AU331" s="148">
        <f t="shared" si="120"/>
        <v>858.375</v>
      </c>
      <c r="AV331" s="148"/>
      <c r="AW331" s="148">
        <f t="shared" si="120"/>
        <v>1030.05</v>
      </c>
      <c r="AY331" s="193"/>
    </row>
    <row r="332" spans="1:51" ht="12.75">
      <c r="A332" s="242"/>
      <c r="B332" s="243"/>
      <c r="C332" s="236"/>
      <c r="D332" s="475" t="s">
        <v>288</v>
      </c>
      <c r="E332" s="315"/>
      <c r="F332" s="154">
        <v>3</v>
      </c>
      <c r="G332"/>
      <c r="H332" s="376"/>
      <c r="I332" s="306"/>
      <c r="J332" s="235">
        <f t="shared" si="105"/>
        <v>0</v>
      </c>
      <c r="K332" s="373"/>
      <c r="L332" s="235">
        <f t="shared" si="106"/>
        <v>0</v>
      </c>
      <c r="M332" s="373"/>
      <c r="N332" s="235">
        <f t="shared" si="107"/>
        <v>0</v>
      </c>
      <c r="O332" s="373"/>
      <c r="P332" s="235">
        <f t="shared" si="108"/>
        <v>0</v>
      </c>
      <c r="Q332" s="373"/>
      <c r="R332" s="235">
        <f t="shared" si="109"/>
        <v>0</v>
      </c>
      <c r="S332" s="373"/>
      <c r="T332" s="235">
        <f t="shared" si="110"/>
        <v>0</v>
      </c>
      <c r="U332" s="373"/>
      <c r="V332" s="235">
        <f t="shared" si="111"/>
        <v>0</v>
      </c>
      <c r="W332" s="236"/>
      <c r="X332" s="236"/>
      <c r="AA332" s="475" t="s">
        <v>288</v>
      </c>
      <c r="AC332" s="280">
        <f t="shared" si="112"/>
        <v>3</v>
      </c>
      <c r="AE332" s="161">
        <f t="shared" si="113"/>
        <v>0</v>
      </c>
      <c r="AG332" s="148">
        <f t="shared" si="114"/>
        <v>0</v>
      </c>
      <c r="AH332" s="148"/>
      <c r="AI332" s="148">
        <f t="shared" si="115"/>
        <v>0</v>
      </c>
      <c r="AJ332" s="148"/>
      <c r="AK332" s="148">
        <f t="shared" si="116"/>
        <v>0</v>
      </c>
      <c r="AL332" s="148"/>
      <c r="AM332" s="148">
        <f t="shared" si="117"/>
        <v>0</v>
      </c>
      <c r="AN332" s="148"/>
      <c r="AO332" s="148">
        <f t="shared" si="118"/>
        <v>0</v>
      </c>
      <c r="AP332" s="148"/>
      <c r="AQ332" s="148">
        <f t="shared" si="119"/>
        <v>0</v>
      </c>
      <c r="AR332" s="148"/>
      <c r="AS332" s="148">
        <f t="shared" si="119"/>
        <v>0</v>
      </c>
      <c r="AT332" s="148"/>
      <c r="AU332" s="148">
        <f t="shared" si="120"/>
        <v>0</v>
      </c>
      <c r="AV332" s="148"/>
      <c r="AW332" s="148">
        <f t="shared" si="120"/>
        <v>0</v>
      </c>
      <c r="AY332" s="193"/>
    </row>
    <row r="333" spans="1:51" ht="12.75">
      <c r="A333" s="242"/>
      <c r="B333" s="243"/>
      <c r="C333" s="236"/>
      <c r="D333" s="475" t="s">
        <v>289</v>
      </c>
      <c r="E333" s="315"/>
      <c r="F333" s="154">
        <v>5</v>
      </c>
      <c r="G333"/>
      <c r="H333" s="376"/>
      <c r="I333" s="306"/>
      <c r="J333" s="235">
        <f t="shared" si="105"/>
        <v>0</v>
      </c>
      <c r="K333" s="373"/>
      <c r="L333" s="235">
        <f t="shared" si="106"/>
        <v>0</v>
      </c>
      <c r="M333" s="373"/>
      <c r="N333" s="235">
        <f t="shared" si="107"/>
        <v>0</v>
      </c>
      <c r="O333" s="373"/>
      <c r="P333" s="235">
        <f t="shared" si="108"/>
        <v>0</v>
      </c>
      <c r="Q333" s="373"/>
      <c r="R333" s="235">
        <f t="shared" si="109"/>
        <v>0</v>
      </c>
      <c r="S333" s="373"/>
      <c r="T333" s="235">
        <f t="shared" si="110"/>
        <v>0</v>
      </c>
      <c r="U333" s="373"/>
      <c r="V333" s="235">
        <f t="shared" si="111"/>
        <v>0</v>
      </c>
      <c r="W333" s="236"/>
      <c r="X333" s="236"/>
      <c r="AA333" s="475" t="s">
        <v>289</v>
      </c>
      <c r="AC333" s="280">
        <f t="shared" si="112"/>
        <v>5</v>
      </c>
      <c r="AE333" s="161">
        <f t="shared" si="113"/>
        <v>0</v>
      </c>
      <c r="AG333" s="148">
        <f t="shared" si="114"/>
        <v>0</v>
      </c>
      <c r="AH333" s="148"/>
      <c r="AI333" s="148">
        <f t="shared" si="115"/>
        <v>0</v>
      </c>
      <c r="AJ333" s="148"/>
      <c r="AK333" s="148">
        <f t="shared" si="116"/>
        <v>0</v>
      </c>
      <c r="AL333" s="148"/>
      <c r="AM333" s="148">
        <f t="shared" si="117"/>
        <v>0</v>
      </c>
      <c r="AN333" s="148"/>
      <c r="AO333" s="148">
        <f t="shared" si="118"/>
        <v>0</v>
      </c>
      <c r="AP333" s="148"/>
      <c r="AQ333" s="148">
        <f t="shared" si="119"/>
        <v>0</v>
      </c>
      <c r="AR333" s="148"/>
      <c r="AS333" s="148">
        <f t="shared" si="119"/>
        <v>0</v>
      </c>
      <c r="AT333" s="148"/>
      <c r="AU333" s="148">
        <f t="shared" si="120"/>
        <v>0</v>
      </c>
      <c r="AV333" s="148"/>
      <c r="AW333" s="148">
        <f t="shared" si="120"/>
        <v>0</v>
      </c>
      <c r="AY333" s="193"/>
    </row>
    <row r="334" spans="1:51" ht="12.75">
      <c r="A334" s="242"/>
      <c r="B334" s="243"/>
      <c r="C334" s="236"/>
      <c r="D334" s="475" t="s">
        <v>290</v>
      </c>
      <c r="E334" s="315"/>
      <c r="F334" s="154">
        <v>4</v>
      </c>
      <c r="G334"/>
      <c r="H334" s="376">
        <v>3893635</v>
      </c>
      <c r="I334" s="306"/>
      <c r="J334" s="235">
        <f t="shared" si="105"/>
        <v>1758365.566</v>
      </c>
      <c r="K334" s="373"/>
      <c r="L334" s="235">
        <f t="shared" si="106"/>
        <v>1060626.1739999999</v>
      </c>
      <c r="M334" s="373"/>
      <c r="N334" s="235">
        <f t="shared" si="107"/>
        <v>117587.777</v>
      </c>
      <c r="O334" s="373"/>
      <c r="P334" s="235">
        <f t="shared" si="108"/>
        <v>343418.607</v>
      </c>
      <c r="Q334" s="373"/>
      <c r="R334" s="235">
        <f t="shared" si="109"/>
        <v>94615.33050000001</v>
      </c>
      <c r="S334" s="373"/>
      <c r="T334" s="235">
        <f t="shared" si="110"/>
        <v>232839.373</v>
      </c>
      <c r="U334" s="373"/>
      <c r="V334" s="235">
        <f t="shared" si="111"/>
        <v>286182.17250000004</v>
      </c>
      <c r="W334" s="236"/>
      <c r="X334" s="236"/>
      <c r="AA334" s="475" t="s">
        <v>290</v>
      </c>
      <c r="AC334" s="280">
        <f t="shared" si="112"/>
        <v>4</v>
      </c>
      <c r="AE334" s="161">
        <f t="shared" si="113"/>
        <v>3893635</v>
      </c>
      <c r="AG334" s="148">
        <f t="shared" si="114"/>
        <v>1345250.8924999998</v>
      </c>
      <c r="AH334" s="148"/>
      <c r="AI334" s="148">
        <f t="shared" si="115"/>
        <v>0</v>
      </c>
      <c r="AJ334" s="148"/>
      <c r="AK334" s="148">
        <f t="shared" si="116"/>
        <v>2029362.562</v>
      </c>
      <c r="AL334" s="148"/>
      <c r="AM334" s="148">
        <f t="shared" si="117"/>
        <v>0</v>
      </c>
      <c r="AN334" s="148"/>
      <c r="AO334" s="148">
        <f t="shared" si="118"/>
        <v>0</v>
      </c>
      <c r="AP334" s="148"/>
      <c r="AQ334" s="148">
        <f t="shared" si="119"/>
        <v>0</v>
      </c>
      <c r="AR334" s="148"/>
      <c r="AS334" s="148">
        <f t="shared" si="119"/>
        <v>0</v>
      </c>
      <c r="AT334" s="148"/>
      <c r="AU334" s="148">
        <f t="shared" si="120"/>
        <v>232839.373</v>
      </c>
      <c r="AV334" s="148"/>
      <c r="AW334" s="148">
        <f t="shared" si="120"/>
        <v>286182.17250000004</v>
      </c>
      <c r="AY334" s="193"/>
    </row>
    <row r="335" spans="1:51" ht="12.75">
      <c r="A335" s="242"/>
      <c r="B335" s="243"/>
      <c r="C335" s="236"/>
      <c r="D335" s="475" t="s">
        <v>291</v>
      </c>
      <c r="E335" s="315"/>
      <c r="F335" s="154">
        <v>9</v>
      </c>
      <c r="G335"/>
      <c r="H335" s="376"/>
      <c r="I335" s="306"/>
      <c r="J335" s="235">
        <f t="shared" si="105"/>
        <v>0</v>
      </c>
      <c r="K335" s="373"/>
      <c r="L335" s="235">
        <f t="shared" si="106"/>
        <v>0</v>
      </c>
      <c r="M335" s="373"/>
      <c r="N335" s="235">
        <f t="shared" si="107"/>
        <v>0</v>
      </c>
      <c r="O335" s="373"/>
      <c r="P335" s="235">
        <f t="shared" si="108"/>
        <v>0</v>
      </c>
      <c r="Q335" s="373"/>
      <c r="R335" s="235">
        <f t="shared" si="109"/>
        <v>0</v>
      </c>
      <c r="S335" s="373"/>
      <c r="T335" s="235">
        <f t="shared" si="110"/>
        <v>0</v>
      </c>
      <c r="U335" s="373"/>
      <c r="V335" s="235">
        <f t="shared" si="111"/>
        <v>0</v>
      </c>
      <c r="W335" s="236"/>
      <c r="X335" s="236"/>
      <c r="AA335" s="475" t="s">
        <v>291</v>
      </c>
      <c r="AC335" s="280">
        <f t="shared" si="112"/>
        <v>9</v>
      </c>
      <c r="AE335" s="161">
        <f t="shared" si="113"/>
        <v>0</v>
      </c>
      <c r="AG335" s="148">
        <f t="shared" si="114"/>
        <v>0</v>
      </c>
      <c r="AH335" s="148"/>
      <c r="AI335" s="148">
        <f t="shared" si="115"/>
        <v>0</v>
      </c>
      <c r="AJ335" s="148"/>
      <c r="AK335" s="148">
        <f t="shared" si="116"/>
        <v>0</v>
      </c>
      <c r="AL335" s="148"/>
      <c r="AM335" s="148">
        <f t="shared" si="117"/>
        <v>0</v>
      </c>
      <c r="AN335" s="148"/>
      <c r="AO335" s="148">
        <f t="shared" si="118"/>
        <v>0</v>
      </c>
      <c r="AP335" s="148"/>
      <c r="AQ335" s="148">
        <f t="shared" si="119"/>
        <v>0</v>
      </c>
      <c r="AR335" s="148"/>
      <c r="AS335" s="148">
        <f t="shared" si="119"/>
        <v>0</v>
      </c>
      <c r="AT335" s="148"/>
      <c r="AU335" s="148">
        <f t="shared" si="120"/>
        <v>0</v>
      </c>
      <c r="AV335" s="148"/>
      <c r="AW335" s="148">
        <f t="shared" si="120"/>
        <v>0</v>
      </c>
      <c r="AY335" s="193"/>
    </row>
    <row r="336" spans="1:51" ht="12.75">
      <c r="A336" s="242"/>
      <c r="B336" s="243"/>
      <c r="C336" s="236"/>
      <c r="D336" s="475" t="s">
        <v>292</v>
      </c>
      <c r="E336" s="315"/>
      <c r="F336" s="154">
        <v>10</v>
      </c>
      <c r="G336"/>
      <c r="H336" s="376"/>
      <c r="I336" s="306"/>
      <c r="J336" s="235">
        <f t="shared" si="105"/>
        <v>0</v>
      </c>
      <c r="K336" s="373"/>
      <c r="L336" s="235">
        <f t="shared" si="106"/>
        <v>0</v>
      </c>
      <c r="M336" s="373"/>
      <c r="N336" s="235">
        <f t="shared" si="107"/>
        <v>0</v>
      </c>
      <c r="O336" s="373"/>
      <c r="P336" s="235">
        <f t="shared" si="108"/>
        <v>0</v>
      </c>
      <c r="Q336" s="373"/>
      <c r="R336" s="235">
        <f t="shared" si="109"/>
        <v>0</v>
      </c>
      <c r="S336" s="373"/>
      <c r="T336" s="235">
        <f t="shared" si="110"/>
        <v>0</v>
      </c>
      <c r="U336" s="373"/>
      <c r="V336" s="235">
        <f t="shared" si="111"/>
        <v>0</v>
      </c>
      <c r="W336" s="236"/>
      <c r="X336" s="236"/>
      <c r="AA336" s="475" t="s">
        <v>292</v>
      </c>
      <c r="AC336" s="280">
        <f t="shared" si="112"/>
        <v>10</v>
      </c>
      <c r="AE336" s="161">
        <f t="shared" si="113"/>
        <v>0</v>
      </c>
      <c r="AG336" s="148">
        <f t="shared" si="114"/>
        <v>0</v>
      </c>
      <c r="AH336" s="148"/>
      <c r="AI336" s="148">
        <f t="shared" si="115"/>
        <v>0</v>
      </c>
      <c r="AJ336" s="148"/>
      <c r="AK336" s="148">
        <f t="shared" si="116"/>
        <v>0</v>
      </c>
      <c r="AL336" s="148"/>
      <c r="AM336" s="148">
        <f t="shared" si="117"/>
        <v>0</v>
      </c>
      <c r="AN336" s="148"/>
      <c r="AO336" s="148">
        <f t="shared" si="118"/>
        <v>0</v>
      </c>
      <c r="AP336" s="148"/>
      <c r="AQ336" s="148">
        <f t="shared" si="119"/>
        <v>0</v>
      </c>
      <c r="AR336" s="148"/>
      <c r="AS336" s="148">
        <f t="shared" si="119"/>
        <v>0</v>
      </c>
      <c r="AT336" s="148"/>
      <c r="AU336" s="148">
        <f t="shared" si="120"/>
        <v>0</v>
      </c>
      <c r="AV336" s="148"/>
      <c r="AW336" s="148">
        <f t="shared" si="120"/>
        <v>0</v>
      </c>
      <c r="AY336" s="193"/>
    </row>
    <row r="337" spans="1:51" ht="12.75">
      <c r="A337" s="242"/>
      <c r="B337" s="243"/>
      <c r="C337" s="236"/>
      <c r="D337" s="475" t="s">
        <v>293</v>
      </c>
      <c r="E337" s="315"/>
      <c r="F337" s="154">
        <v>8</v>
      </c>
      <c r="G337"/>
      <c r="H337" s="376"/>
      <c r="I337" s="306"/>
      <c r="J337" s="235">
        <f t="shared" si="105"/>
        <v>0</v>
      </c>
      <c r="K337" s="373"/>
      <c r="L337" s="235">
        <f t="shared" si="106"/>
        <v>0</v>
      </c>
      <c r="M337" s="373"/>
      <c r="N337" s="235">
        <f t="shared" si="107"/>
        <v>0</v>
      </c>
      <c r="O337" s="373"/>
      <c r="P337" s="235">
        <f t="shared" si="108"/>
        <v>0</v>
      </c>
      <c r="Q337" s="373"/>
      <c r="R337" s="235">
        <f t="shared" si="109"/>
        <v>0</v>
      </c>
      <c r="S337" s="373"/>
      <c r="T337" s="235">
        <f t="shared" si="110"/>
        <v>0</v>
      </c>
      <c r="U337" s="373"/>
      <c r="V337" s="235">
        <f t="shared" si="111"/>
        <v>0</v>
      </c>
      <c r="W337" s="236"/>
      <c r="X337" s="236"/>
      <c r="AA337" s="475" t="s">
        <v>293</v>
      </c>
      <c r="AC337" s="280">
        <f t="shared" si="112"/>
        <v>8</v>
      </c>
      <c r="AE337" s="161">
        <f t="shared" si="113"/>
        <v>0</v>
      </c>
      <c r="AG337" s="148">
        <f t="shared" si="114"/>
        <v>0</v>
      </c>
      <c r="AH337" s="148"/>
      <c r="AI337" s="148">
        <f t="shared" si="115"/>
        <v>0</v>
      </c>
      <c r="AJ337" s="148"/>
      <c r="AK337" s="148">
        <f t="shared" si="116"/>
        <v>0</v>
      </c>
      <c r="AL337" s="148"/>
      <c r="AM337" s="148">
        <f t="shared" si="117"/>
        <v>0</v>
      </c>
      <c r="AN337" s="148"/>
      <c r="AO337" s="148">
        <f t="shared" si="118"/>
        <v>0</v>
      </c>
      <c r="AP337" s="148"/>
      <c r="AQ337" s="148">
        <f t="shared" si="119"/>
        <v>0</v>
      </c>
      <c r="AR337" s="148"/>
      <c r="AS337" s="148">
        <f t="shared" si="119"/>
        <v>0</v>
      </c>
      <c r="AT337" s="148"/>
      <c r="AU337" s="148">
        <f t="shared" si="120"/>
        <v>0</v>
      </c>
      <c r="AV337" s="148"/>
      <c r="AW337" s="148">
        <f t="shared" si="120"/>
        <v>0</v>
      </c>
      <c r="AY337" s="193"/>
    </row>
    <row r="338" spans="1:51" ht="12.75">
      <c r="A338" s="242"/>
      <c r="B338" s="243"/>
      <c r="C338" s="236"/>
      <c r="D338" s="475" t="s">
        <v>655</v>
      </c>
      <c r="E338" s="315"/>
      <c r="F338" s="154">
        <v>13</v>
      </c>
      <c r="G338"/>
      <c r="H338" s="376">
        <v>2235817</v>
      </c>
      <c r="I338" s="306"/>
      <c r="J338" s="235">
        <f t="shared" si="105"/>
        <v>2008434.4111</v>
      </c>
      <c r="K338" s="373"/>
      <c r="L338" s="235">
        <f t="shared" si="106"/>
        <v>163661.8044</v>
      </c>
      <c r="M338" s="373"/>
      <c r="N338" s="235">
        <f t="shared" si="107"/>
        <v>894.3268</v>
      </c>
      <c r="O338" s="373"/>
      <c r="P338" s="235">
        <f t="shared" si="108"/>
        <v>13638.4837</v>
      </c>
      <c r="Q338" s="373"/>
      <c r="R338" s="235">
        <f t="shared" si="109"/>
        <v>447.1634</v>
      </c>
      <c r="S338" s="373"/>
      <c r="T338" s="235">
        <f t="shared" si="110"/>
        <v>48070.0655</v>
      </c>
      <c r="U338" s="373"/>
      <c r="V338" s="235">
        <f t="shared" si="111"/>
        <v>670.7451</v>
      </c>
      <c r="W338" s="236"/>
      <c r="X338" s="236"/>
      <c r="AA338" s="475" t="s">
        <v>655</v>
      </c>
      <c r="AC338" s="280">
        <f t="shared" si="112"/>
        <v>13</v>
      </c>
      <c r="AE338" s="161">
        <f>+H338</f>
        <v>2235817</v>
      </c>
      <c r="AG338" s="148">
        <f t="shared" si="114"/>
        <v>0</v>
      </c>
      <c r="AH338" s="148"/>
      <c r="AI338" s="148">
        <f t="shared" si="115"/>
        <v>0</v>
      </c>
      <c r="AJ338" s="148"/>
      <c r="AK338" s="148">
        <f t="shared" si="116"/>
        <v>0</v>
      </c>
      <c r="AL338" s="148"/>
      <c r="AM338" s="148">
        <f t="shared" si="117"/>
        <v>0</v>
      </c>
      <c r="AN338" s="148"/>
      <c r="AO338" s="148">
        <f t="shared" si="118"/>
        <v>0</v>
      </c>
      <c r="AP338" s="148"/>
      <c r="AQ338" s="148">
        <f t="shared" si="119"/>
        <v>2187076.1894</v>
      </c>
      <c r="AR338" s="148"/>
      <c r="AS338" s="148">
        <f t="shared" si="119"/>
        <v>0</v>
      </c>
      <c r="AT338" s="148"/>
      <c r="AU338" s="148">
        <f t="shared" si="120"/>
        <v>48070.0655</v>
      </c>
      <c r="AV338" s="148"/>
      <c r="AW338" s="148">
        <f t="shared" si="120"/>
        <v>670.7451</v>
      </c>
      <c r="AY338" s="193"/>
    </row>
    <row r="339" spans="1:51" ht="12.75">
      <c r="A339" s="242"/>
      <c r="B339" s="243"/>
      <c r="C339" s="236"/>
      <c r="D339" s="475" t="s">
        <v>656</v>
      </c>
      <c r="E339" s="315"/>
      <c r="F339" s="154">
        <v>15</v>
      </c>
      <c r="G339"/>
      <c r="H339" s="376">
        <v>2235817</v>
      </c>
      <c r="I339" s="306"/>
      <c r="J339" s="235">
        <f t="shared" si="105"/>
        <v>1343949.5987</v>
      </c>
      <c r="K339" s="373"/>
      <c r="L339" s="235">
        <f t="shared" si="106"/>
        <v>503729.5701</v>
      </c>
      <c r="M339" s="373"/>
      <c r="N339" s="235">
        <f t="shared" si="107"/>
        <v>53212.4446</v>
      </c>
      <c r="O339" s="373"/>
      <c r="P339" s="235">
        <f t="shared" si="108"/>
        <v>162991.05930000002</v>
      </c>
      <c r="Q339" s="373"/>
      <c r="R339" s="235">
        <f t="shared" si="109"/>
        <v>46057.830200000004</v>
      </c>
      <c r="S339" s="373"/>
      <c r="T339" s="235">
        <f t="shared" si="110"/>
        <v>65956.60149999999</v>
      </c>
      <c r="U339" s="373"/>
      <c r="V339" s="235">
        <f t="shared" si="111"/>
        <v>59919.8956</v>
      </c>
      <c r="W339" s="236"/>
      <c r="X339" s="236"/>
      <c r="AA339" s="475" t="s">
        <v>656</v>
      </c>
      <c r="AC339" s="280">
        <f t="shared" si="112"/>
        <v>15</v>
      </c>
      <c r="AE339" s="161">
        <f>+H339</f>
        <v>2235817</v>
      </c>
      <c r="AG339" s="148">
        <f t="shared" si="114"/>
        <v>748775.1133</v>
      </c>
      <c r="AH339" s="148"/>
      <c r="AI339" s="148">
        <f t="shared" si="115"/>
        <v>347893.12519999995</v>
      </c>
      <c r="AJ339" s="148"/>
      <c r="AK339" s="148">
        <f t="shared" si="116"/>
        <v>326652.86370000005</v>
      </c>
      <c r="AL339" s="148"/>
      <c r="AM339" s="148">
        <f t="shared" si="117"/>
        <v>28394.8759</v>
      </c>
      <c r="AN339" s="148"/>
      <c r="AO339" s="148">
        <f t="shared" si="118"/>
        <v>82054.4839</v>
      </c>
      <c r="AP339" s="148"/>
      <c r="AQ339" s="148">
        <f t="shared" si="119"/>
        <v>426593.8836</v>
      </c>
      <c r="AR339" s="148"/>
      <c r="AS339" s="148">
        <f t="shared" si="119"/>
        <v>156507.19</v>
      </c>
      <c r="AT339" s="148"/>
      <c r="AU339" s="148">
        <f t="shared" si="120"/>
        <v>59025.5688</v>
      </c>
      <c r="AV339" s="148"/>
      <c r="AW339" s="148">
        <f t="shared" si="120"/>
        <v>59919.8956</v>
      </c>
      <c r="AY339" s="193"/>
    </row>
    <row r="340" spans="1:51" ht="12.75">
      <c r="A340" s="242"/>
      <c r="B340" s="243"/>
      <c r="C340" s="236"/>
      <c r="D340" s="475" t="s">
        <v>294</v>
      </c>
      <c r="E340" s="315"/>
      <c r="F340" s="154">
        <v>15</v>
      </c>
      <c r="G340"/>
      <c r="H340" s="376">
        <v>526411</v>
      </c>
      <c r="I340" s="306"/>
      <c r="J340" s="235">
        <f t="shared" si="105"/>
        <v>316425.6521</v>
      </c>
      <c r="K340" s="373"/>
      <c r="L340" s="235">
        <f t="shared" si="106"/>
        <v>118600.3983</v>
      </c>
      <c r="M340" s="373"/>
      <c r="N340" s="235">
        <f t="shared" si="107"/>
        <v>12528.581800000002</v>
      </c>
      <c r="O340" s="373"/>
      <c r="P340" s="235">
        <f t="shared" si="108"/>
        <v>38375.3619</v>
      </c>
      <c r="Q340" s="373"/>
      <c r="R340" s="235">
        <f t="shared" si="109"/>
        <v>10844.0666</v>
      </c>
      <c r="S340" s="373"/>
      <c r="T340" s="235">
        <f t="shared" si="110"/>
        <v>15529.1245</v>
      </c>
      <c r="U340" s="373"/>
      <c r="V340" s="235">
        <f t="shared" si="111"/>
        <v>14107.8148</v>
      </c>
      <c r="W340" s="236"/>
      <c r="X340" s="236"/>
      <c r="AA340" s="475" t="s">
        <v>294</v>
      </c>
      <c r="AC340" s="280">
        <f t="shared" si="112"/>
        <v>15</v>
      </c>
      <c r="AE340" s="161">
        <f t="shared" si="113"/>
        <v>526411</v>
      </c>
      <c r="AG340" s="148">
        <f t="shared" si="114"/>
        <v>176295.0439</v>
      </c>
      <c r="AH340" s="148"/>
      <c r="AI340" s="148">
        <f t="shared" si="115"/>
        <v>81909.55159999999</v>
      </c>
      <c r="AJ340" s="148"/>
      <c r="AK340" s="148">
        <f t="shared" si="116"/>
        <v>76908.6471</v>
      </c>
      <c r="AL340" s="148"/>
      <c r="AM340" s="148">
        <f t="shared" si="117"/>
        <v>6685.4196999999995</v>
      </c>
      <c r="AN340" s="148"/>
      <c r="AO340" s="148">
        <f t="shared" si="118"/>
        <v>19319.283700000004</v>
      </c>
      <c r="AP340" s="148"/>
      <c r="AQ340" s="148">
        <f t="shared" si="119"/>
        <v>100439.2188</v>
      </c>
      <c r="AR340" s="148"/>
      <c r="AS340" s="148">
        <f t="shared" si="119"/>
        <v>36848.770000000004</v>
      </c>
      <c r="AT340" s="148"/>
      <c r="AU340" s="148">
        <f t="shared" si="120"/>
        <v>13897.2504</v>
      </c>
      <c r="AV340" s="148"/>
      <c r="AW340" s="148">
        <f t="shared" si="120"/>
        <v>14107.8148</v>
      </c>
      <c r="AY340" s="193"/>
    </row>
    <row r="341" spans="1:51" ht="12.75">
      <c r="A341" s="358"/>
      <c r="B341" s="359"/>
      <c r="C341" s="236"/>
      <c r="D341" s="475" t="s">
        <v>295</v>
      </c>
      <c r="E341" s="315"/>
      <c r="F341" s="154" t="s">
        <v>4</v>
      </c>
      <c r="G341"/>
      <c r="H341" s="376">
        <v>2634000</v>
      </c>
      <c r="I341" s="306"/>
      <c r="J341" s="235">
        <f t="shared" si="105"/>
        <v>1550372.4000000001</v>
      </c>
      <c r="K341" s="373"/>
      <c r="L341" s="235">
        <f t="shared" si="106"/>
        <v>622150.7999999999</v>
      </c>
      <c r="M341" s="373"/>
      <c r="N341" s="235">
        <f t="shared" si="107"/>
        <v>69537.6</v>
      </c>
      <c r="O341" s="373"/>
      <c r="P341" s="235">
        <f t="shared" si="108"/>
        <v>212037</v>
      </c>
      <c r="Q341" s="373"/>
      <c r="R341" s="235">
        <f t="shared" si="109"/>
        <v>61108.799999999996</v>
      </c>
      <c r="S341" s="373"/>
      <c r="T341" s="235">
        <f t="shared" si="110"/>
        <v>62689.200000000004</v>
      </c>
      <c r="U341" s="373"/>
      <c r="V341" s="235">
        <f t="shared" si="111"/>
        <v>56104.2</v>
      </c>
      <c r="W341" s="236"/>
      <c r="X341" s="236"/>
      <c r="AA341" s="475" t="s">
        <v>295</v>
      </c>
      <c r="AC341" s="280" t="str">
        <f t="shared" si="112"/>
        <v>15A</v>
      </c>
      <c r="AE341" s="161">
        <f t="shared" si="113"/>
        <v>2634000</v>
      </c>
      <c r="AG341" s="148">
        <f t="shared" si="114"/>
        <v>1191094.8</v>
      </c>
      <c r="AH341" s="148"/>
      <c r="AI341" s="148">
        <f t="shared" si="115"/>
        <v>320821.2</v>
      </c>
      <c r="AJ341" s="148"/>
      <c r="AK341" s="148">
        <f t="shared" si="116"/>
        <v>297115.2</v>
      </c>
      <c r="AL341" s="148"/>
      <c r="AM341" s="148">
        <f t="shared" si="117"/>
        <v>27130.2</v>
      </c>
      <c r="AN341" s="148"/>
      <c r="AO341" s="148">
        <f t="shared" si="118"/>
        <v>75595.8</v>
      </c>
      <c r="AP341" s="148"/>
      <c r="AQ341" s="148">
        <f t="shared" si="119"/>
        <v>489924</v>
      </c>
      <c r="AR341" s="148"/>
      <c r="AS341" s="148">
        <f t="shared" si="119"/>
        <v>119320.2</v>
      </c>
      <c r="AT341" s="148"/>
      <c r="AU341" s="148">
        <f t="shared" si="120"/>
        <v>56894.4</v>
      </c>
      <c r="AV341" s="148"/>
      <c r="AW341" s="148">
        <f t="shared" si="120"/>
        <v>56104.2</v>
      </c>
      <c r="AY341" s="193"/>
    </row>
    <row r="342" spans="1:51" ht="12.75">
      <c r="A342" s="242"/>
      <c r="B342" s="243"/>
      <c r="C342" s="236"/>
      <c r="D342" s="475" t="s">
        <v>296</v>
      </c>
      <c r="E342" s="315"/>
      <c r="F342" s="154" t="s">
        <v>4</v>
      </c>
      <c r="G342"/>
      <c r="H342" s="376">
        <v>642421</v>
      </c>
      <c r="I342" s="306"/>
      <c r="J342" s="235">
        <f t="shared" si="105"/>
        <v>378129.0006</v>
      </c>
      <c r="K342" s="373"/>
      <c r="L342" s="235">
        <f t="shared" si="106"/>
        <v>151739.8402</v>
      </c>
      <c r="M342" s="373"/>
      <c r="N342" s="235">
        <f t="shared" si="107"/>
        <v>16959.9144</v>
      </c>
      <c r="O342" s="373"/>
      <c r="P342" s="235">
        <f t="shared" si="108"/>
        <v>51714.8905</v>
      </c>
      <c r="Q342" s="373"/>
      <c r="R342" s="235">
        <f t="shared" si="109"/>
        <v>14904.1672</v>
      </c>
      <c r="S342" s="373"/>
      <c r="T342" s="235">
        <f t="shared" si="110"/>
        <v>15289.6198</v>
      </c>
      <c r="U342" s="373"/>
      <c r="V342" s="235">
        <f t="shared" si="111"/>
        <v>13683.567299999999</v>
      </c>
      <c r="W342" s="236"/>
      <c r="X342" s="236"/>
      <c r="AA342" s="475" t="s">
        <v>296</v>
      </c>
      <c r="AC342" s="280" t="str">
        <f t="shared" si="112"/>
        <v>15A</v>
      </c>
      <c r="AE342" s="161">
        <f t="shared" si="113"/>
        <v>642421</v>
      </c>
      <c r="AG342" s="148">
        <f t="shared" si="114"/>
        <v>290502.7762</v>
      </c>
      <c r="AH342" s="148"/>
      <c r="AI342" s="148">
        <f t="shared" si="115"/>
        <v>78246.8778</v>
      </c>
      <c r="AJ342" s="148"/>
      <c r="AK342" s="148">
        <f t="shared" si="116"/>
        <v>72465.0888</v>
      </c>
      <c r="AL342" s="148"/>
      <c r="AM342" s="148">
        <f t="shared" si="117"/>
        <v>6616.9363</v>
      </c>
      <c r="AN342" s="148"/>
      <c r="AO342" s="148">
        <f t="shared" si="118"/>
        <v>18437.4827</v>
      </c>
      <c r="AP342" s="148"/>
      <c r="AQ342" s="148">
        <f t="shared" si="119"/>
        <v>119490.306</v>
      </c>
      <c r="AR342" s="148"/>
      <c r="AS342" s="148">
        <f t="shared" si="119"/>
        <v>29101.6713</v>
      </c>
      <c r="AT342" s="148"/>
      <c r="AU342" s="148">
        <f t="shared" si="120"/>
        <v>13876.2936</v>
      </c>
      <c r="AV342" s="148"/>
      <c r="AW342" s="148">
        <f t="shared" si="120"/>
        <v>13683.567299999999</v>
      </c>
      <c r="AY342" s="193"/>
    </row>
    <row r="343" spans="1:51" ht="12.75">
      <c r="A343" s="242"/>
      <c r="B343" s="243"/>
      <c r="C343" s="236"/>
      <c r="D343" s="475" t="s">
        <v>297</v>
      </c>
      <c r="E343" s="315"/>
      <c r="F343" s="154">
        <v>17</v>
      </c>
      <c r="G343"/>
      <c r="H343" s="376">
        <v>-40026731</v>
      </c>
      <c r="I343" s="306"/>
      <c r="J343" s="235">
        <f t="shared" si="105"/>
        <v>-19933312.038</v>
      </c>
      <c r="K343" s="373"/>
      <c r="L343" s="235">
        <f t="shared" si="106"/>
        <v>-10631099.7536</v>
      </c>
      <c r="M343" s="373"/>
      <c r="N343" s="235">
        <f t="shared" si="107"/>
        <v>-1232823.3148</v>
      </c>
      <c r="O343" s="373"/>
      <c r="P343" s="235">
        <f t="shared" si="108"/>
        <v>-3794534.0988</v>
      </c>
      <c r="Q343" s="373"/>
      <c r="R343" s="235">
        <f t="shared" si="109"/>
        <v>-1084724.4101</v>
      </c>
      <c r="S343" s="373"/>
      <c r="T343" s="235">
        <f t="shared" si="110"/>
        <v>-1224817.9686</v>
      </c>
      <c r="U343" s="373"/>
      <c r="V343" s="235">
        <f t="shared" si="111"/>
        <v>-2125419.4161</v>
      </c>
      <c r="W343" s="236"/>
      <c r="X343" s="236"/>
      <c r="AA343" s="475" t="s">
        <v>297</v>
      </c>
      <c r="AC343" s="280">
        <f t="shared" si="112"/>
        <v>17</v>
      </c>
      <c r="AE343" s="161">
        <f t="shared" si="113"/>
        <v>-40026731</v>
      </c>
      <c r="AG343" s="148">
        <f t="shared" si="114"/>
        <v>-18208159.9319</v>
      </c>
      <c r="AH343" s="148"/>
      <c r="AI343" s="148">
        <f t="shared" si="115"/>
        <v>-9950645.3266</v>
      </c>
      <c r="AJ343" s="148"/>
      <c r="AK343" s="148">
        <f t="shared" si="116"/>
        <v>-4330892.2942</v>
      </c>
      <c r="AL343" s="148"/>
      <c r="AM343" s="148">
        <f t="shared" si="117"/>
        <v>-2685793.6501</v>
      </c>
      <c r="AN343" s="148"/>
      <c r="AO343" s="148">
        <f t="shared" si="118"/>
        <v>-908606.7937</v>
      </c>
      <c r="AP343" s="148"/>
      <c r="AQ343" s="148">
        <f t="shared" si="119"/>
        <v>-528352.8492</v>
      </c>
      <c r="AR343" s="148"/>
      <c r="AS343" s="148">
        <f t="shared" si="119"/>
        <v>-112074.8468</v>
      </c>
      <c r="AT343" s="148"/>
      <c r="AU343" s="148">
        <f t="shared" si="120"/>
        <v>-1200801.93</v>
      </c>
      <c r="AV343" s="148"/>
      <c r="AW343" s="148">
        <f t="shared" si="120"/>
        <v>-2101403.3775</v>
      </c>
      <c r="AY343" s="193"/>
    </row>
    <row r="344" spans="1:51" ht="12.75">
      <c r="A344" s="242"/>
      <c r="B344" s="243"/>
      <c r="C344" s="236"/>
      <c r="D344" s="475" t="s">
        <v>298</v>
      </c>
      <c r="E344" s="315"/>
      <c r="F344" s="154">
        <v>17</v>
      </c>
      <c r="G344"/>
      <c r="H344" s="376">
        <v>-76952</v>
      </c>
      <c r="I344" s="306"/>
      <c r="J344" s="235">
        <f t="shared" si="105"/>
        <v>-38322.096</v>
      </c>
      <c r="K344" s="373"/>
      <c r="L344" s="235">
        <f t="shared" si="106"/>
        <v>-20438.4512</v>
      </c>
      <c r="M344" s="373"/>
      <c r="N344" s="235">
        <f t="shared" si="107"/>
        <v>-2370.1216</v>
      </c>
      <c r="O344" s="373"/>
      <c r="P344" s="235">
        <f t="shared" si="108"/>
        <v>-7295.049599999999</v>
      </c>
      <c r="Q344" s="373"/>
      <c r="R344" s="235">
        <f t="shared" si="109"/>
        <v>-2085.3992</v>
      </c>
      <c r="S344" s="373"/>
      <c r="T344" s="235">
        <f t="shared" si="110"/>
        <v>-2354.7311999999997</v>
      </c>
      <c r="U344" s="373"/>
      <c r="V344" s="235">
        <f t="shared" si="111"/>
        <v>-4086.1512000000002</v>
      </c>
      <c r="W344" s="236"/>
      <c r="X344" s="236"/>
      <c r="AA344" s="475" t="s">
        <v>298</v>
      </c>
      <c r="AC344" s="280">
        <f t="shared" si="112"/>
        <v>17</v>
      </c>
      <c r="AE344" s="161">
        <f t="shared" si="113"/>
        <v>-76952</v>
      </c>
      <c r="AG344" s="148">
        <f t="shared" si="114"/>
        <v>-35005.464799999994</v>
      </c>
      <c r="AH344" s="148"/>
      <c r="AI344" s="148">
        <f t="shared" si="115"/>
        <v>-19130.2672</v>
      </c>
      <c r="AJ344" s="148"/>
      <c r="AK344" s="148">
        <f t="shared" si="116"/>
        <v>-8326.206400000001</v>
      </c>
      <c r="AL344" s="148"/>
      <c r="AM344" s="148">
        <f t="shared" si="117"/>
        <v>-5163.479200000001</v>
      </c>
      <c r="AN344" s="148"/>
      <c r="AO344" s="148">
        <f t="shared" si="118"/>
        <v>-1746.8104</v>
      </c>
      <c r="AP344" s="148"/>
      <c r="AQ344" s="148">
        <f t="shared" si="119"/>
        <v>-1015.7664</v>
      </c>
      <c r="AR344" s="148"/>
      <c r="AS344" s="148">
        <f t="shared" si="119"/>
        <v>-215.4656</v>
      </c>
      <c r="AT344" s="148"/>
      <c r="AU344" s="148">
        <f t="shared" si="120"/>
        <v>-2308.56</v>
      </c>
      <c r="AV344" s="148"/>
      <c r="AW344" s="148">
        <f t="shared" si="120"/>
        <v>-4039.98</v>
      </c>
      <c r="AY344" s="193"/>
    </row>
    <row r="345" spans="1:51" ht="12.75">
      <c r="A345" s="242"/>
      <c r="B345" s="243"/>
      <c r="C345" s="236"/>
      <c r="D345" s="475" t="s">
        <v>299</v>
      </c>
      <c r="E345" s="315"/>
      <c r="F345" s="154"/>
      <c r="G345"/>
      <c r="H345" s="376"/>
      <c r="I345" s="306"/>
      <c r="J345" s="235"/>
      <c r="K345" s="373"/>
      <c r="L345" s="235"/>
      <c r="M345" s="373"/>
      <c r="N345" s="235"/>
      <c r="O345" s="373"/>
      <c r="P345" s="235"/>
      <c r="Q345" s="373"/>
      <c r="R345" s="235"/>
      <c r="S345" s="373"/>
      <c r="T345" s="235"/>
      <c r="U345" s="373"/>
      <c r="V345" s="235"/>
      <c r="W345" s="236"/>
      <c r="X345" s="236"/>
      <c r="AA345" s="475" t="s">
        <v>299</v>
      </c>
      <c r="AC345" s="280"/>
      <c r="AE345" s="161"/>
      <c r="AG345" s="148"/>
      <c r="AH345" s="148"/>
      <c r="AI345" s="148"/>
      <c r="AJ345" s="148"/>
      <c r="AK345" s="148"/>
      <c r="AL345" s="148"/>
      <c r="AM345" s="148"/>
      <c r="AN345" s="148"/>
      <c r="AO345" s="148"/>
      <c r="AP345" s="148"/>
      <c r="AQ345" s="148"/>
      <c r="AR345" s="148"/>
      <c r="AS345" s="148"/>
      <c r="AT345" s="148"/>
      <c r="AU345" s="148"/>
      <c r="AV345" s="148"/>
      <c r="AW345" s="148"/>
      <c r="AY345" s="193"/>
    </row>
    <row r="346" spans="1:51" ht="12.75">
      <c r="A346" s="242"/>
      <c r="B346" s="243"/>
      <c r="C346" s="236"/>
      <c r="D346" s="475" t="s">
        <v>300</v>
      </c>
      <c r="E346" s="315"/>
      <c r="F346" s="154">
        <v>2</v>
      </c>
      <c r="G346"/>
      <c r="H346" s="376">
        <v>1031814</v>
      </c>
      <c r="I346" s="306"/>
      <c r="J346" s="235">
        <f>(VLOOKUP($F346,Factors,J$384))*$H346</f>
        <v>516629.2697999999</v>
      </c>
      <c r="K346" s="373"/>
      <c r="L346" s="235">
        <f>(VLOOKUP($F346,Factors,L$384))*$H346</f>
        <v>316044.62820000004</v>
      </c>
      <c r="M346" s="373"/>
      <c r="N346" s="235">
        <f>(VLOOKUP($F346,Factors,N$384))*$H346</f>
        <v>39518.4762</v>
      </c>
      <c r="O346" s="373"/>
      <c r="P346" s="235">
        <f>(VLOOKUP($F346,Factors,P$384))*$H346</f>
        <v>120515.8752</v>
      </c>
      <c r="Q346" s="373"/>
      <c r="R346" s="235">
        <f>(VLOOKUP($F346,Factors,R$384))*$H346</f>
        <v>35700.7644</v>
      </c>
      <c r="S346" s="373"/>
      <c r="T346" s="235">
        <f>(VLOOKUP($F346,Factors,T$384))*$H346</f>
        <v>1547.721</v>
      </c>
      <c r="U346" s="373"/>
      <c r="V346" s="235">
        <f>(VLOOKUP($F346,Factors,V$384))*$H346</f>
        <v>1857.2652</v>
      </c>
      <c r="W346" s="236"/>
      <c r="X346" s="236"/>
      <c r="AA346" s="475" t="s">
        <v>300</v>
      </c>
      <c r="AC346" s="280">
        <f t="shared" si="112"/>
        <v>2</v>
      </c>
      <c r="AE346" s="161">
        <f t="shared" si="113"/>
        <v>1031814</v>
      </c>
      <c r="AG346" s="148">
        <f>(VLOOKUP($AC346,func,AG$384))*$AE346</f>
        <v>621977.4792000001</v>
      </c>
      <c r="AH346" s="148"/>
      <c r="AI346" s="148">
        <f>(VLOOKUP($AC346,func,AI$384))*$AE346</f>
        <v>406431.53459999996</v>
      </c>
      <c r="AJ346" s="148"/>
      <c r="AK346" s="148">
        <f>(VLOOKUP($AC346,func,AK$384))*$AE346</f>
        <v>0</v>
      </c>
      <c r="AL346" s="148"/>
      <c r="AM346" s="148">
        <f>(VLOOKUP($AC346,func,AM$384))*$AE346</f>
        <v>0</v>
      </c>
      <c r="AN346" s="148"/>
      <c r="AO346" s="148">
        <f>(VLOOKUP($AC346,func,AO$384))*$AE346</f>
        <v>0</v>
      </c>
      <c r="AP346" s="148"/>
      <c r="AQ346" s="148">
        <f>(VLOOKUP($AC346,func,AQ$384))*$AE346</f>
        <v>0</v>
      </c>
      <c r="AR346" s="148"/>
      <c r="AS346" s="148">
        <f>(VLOOKUP($AC346,func,AS$384))*$AE346</f>
        <v>0</v>
      </c>
      <c r="AT346" s="148"/>
      <c r="AU346" s="148">
        <f>(VLOOKUP($AC346,func,AU$384))*$AE346</f>
        <v>1547.721</v>
      </c>
      <c r="AV346" s="148"/>
      <c r="AW346" s="148">
        <f>(VLOOKUP($AC346,func,AW$384))*$AE346</f>
        <v>1857.2652</v>
      </c>
      <c r="AY346" s="193"/>
    </row>
    <row r="347" spans="1:51" ht="12.75">
      <c r="A347" s="242"/>
      <c r="B347" s="243"/>
      <c r="C347" s="236"/>
      <c r="D347" s="475" t="s">
        <v>301</v>
      </c>
      <c r="E347" s="315"/>
      <c r="F347" s="154">
        <v>5</v>
      </c>
      <c r="G347"/>
      <c r="H347" s="376">
        <v>1676424</v>
      </c>
      <c r="I347" s="306"/>
      <c r="J347" s="235">
        <f>(VLOOKUP($F347,Factors,J$384))*$H347</f>
        <v>680460.5016000001</v>
      </c>
      <c r="K347" s="373"/>
      <c r="L347" s="235">
        <f>(VLOOKUP($F347,Factors,L$384))*$H347</f>
        <v>410556.2376</v>
      </c>
      <c r="M347" s="373"/>
      <c r="N347" s="235">
        <f>(VLOOKUP($F347,Factors,N$384))*$H347</f>
        <v>45598.732800000005</v>
      </c>
      <c r="O347" s="373"/>
      <c r="P347" s="235">
        <f>(VLOOKUP($F347,Factors,P$384))*$H347</f>
        <v>132940.4232</v>
      </c>
      <c r="Q347" s="373"/>
      <c r="R347" s="235">
        <f>(VLOOKUP($F347,Factors,R$384))*$H347</f>
        <v>36546.0432</v>
      </c>
      <c r="S347" s="373"/>
      <c r="T347" s="235">
        <f>(VLOOKUP($F347,Factors,T$384))*$H347</f>
        <v>165965.976</v>
      </c>
      <c r="U347" s="373"/>
      <c r="V347" s="235">
        <f>(VLOOKUP($F347,Factors,V$384))*$H347</f>
        <v>204356.0856</v>
      </c>
      <c r="W347" s="236"/>
      <c r="X347" s="236"/>
      <c r="AA347" s="475" t="s">
        <v>301</v>
      </c>
      <c r="AC347" s="280">
        <f t="shared" si="112"/>
        <v>5</v>
      </c>
      <c r="AE347" s="161">
        <f t="shared" si="113"/>
        <v>1676424</v>
      </c>
      <c r="AG347" s="148">
        <f>(VLOOKUP($AC347,func,AG$384))*$AE347</f>
        <v>520697.29439999996</v>
      </c>
      <c r="AH347" s="148"/>
      <c r="AI347" s="148">
        <f>(VLOOKUP($AC347,func,AI$384))*$AE347</f>
        <v>0</v>
      </c>
      <c r="AJ347" s="148"/>
      <c r="AK347" s="148">
        <f>(VLOOKUP($AC347,func,AK$384))*$AE347</f>
        <v>785404.6440000001</v>
      </c>
      <c r="AL347" s="148"/>
      <c r="AM347" s="148">
        <f>(VLOOKUP($AC347,func,AM$384))*$AE347</f>
        <v>0</v>
      </c>
      <c r="AN347" s="148"/>
      <c r="AO347" s="148">
        <f>(VLOOKUP($AC347,func,AO$384))*$AE347</f>
        <v>0</v>
      </c>
      <c r="AP347" s="148"/>
      <c r="AQ347" s="148">
        <f>(VLOOKUP($AC347,func,AQ$384))*$AE347</f>
        <v>0</v>
      </c>
      <c r="AR347" s="148"/>
      <c r="AS347" s="148">
        <f>(VLOOKUP($AC347,func,AS$384))*$AE347</f>
        <v>0</v>
      </c>
      <c r="AT347" s="148"/>
      <c r="AU347" s="148">
        <f>(VLOOKUP($AC347,func,AU$384))*$AE347</f>
        <v>165965.976</v>
      </c>
      <c r="AV347" s="148"/>
      <c r="AW347" s="148">
        <f>(VLOOKUP($AC347,func,AW$384))*$AE347</f>
        <v>204356.0856</v>
      </c>
      <c r="AY347" s="193"/>
    </row>
    <row r="348" spans="1:51" ht="12.75">
      <c r="A348" s="242"/>
      <c r="B348" s="243"/>
      <c r="C348" s="236"/>
      <c r="D348" s="475" t="s">
        <v>302</v>
      </c>
      <c r="E348" s="315"/>
      <c r="F348" s="154"/>
      <c r="G348"/>
      <c r="H348" s="376"/>
      <c r="I348" s="306"/>
      <c r="J348" s="235"/>
      <c r="K348" s="373"/>
      <c r="L348" s="235"/>
      <c r="M348" s="373"/>
      <c r="N348" s="235"/>
      <c r="O348" s="373"/>
      <c r="P348" s="235"/>
      <c r="Q348" s="373"/>
      <c r="R348" s="235"/>
      <c r="S348" s="373"/>
      <c r="T348" s="235"/>
      <c r="U348" s="373"/>
      <c r="V348" s="235"/>
      <c r="W348" s="236"/>
      <c r="X348" s="236"/>
      <c r="AA348" s="475" t="s">
        <v>302</v>
      </c>
      <c r="AC348" s="280"/>
      <c r="AE348" s="161"/>
      <c r="AG348" s="148"/>
      <c r="AH348" s="148"/>
      <c r="AI348" s="148"/>
      <c r="AJ348" s="148"/>
      <c r="AK348" s="148"/>
      <c r="AL348" s="148"/>
      <c r="AM348" s="148"/>
      <c r="AN348" s="148"/>
      <c r="AO348" s="148"/>
      <c r="AP348" s="148"/>
      <c r="AQ348" s="148"/>
      <c r="AR348" s="148"/>
      <c r="AS348" s="148"/>
      <c r="AT348" s="148"/>
      <c r="AU348" s="148"/>
      <c r="AV348" s="148"/>
      <c r="AW348" s="148"/>
      <c r="AY348" s="193"/>
    </row>
    <row r="349" spans="1:51" ht="12.75">
      <c r="A349" s="242"/>
      <c r="B349" s="243"/>
      <c r="C349" s="236"/>
      <c r="D349" s="475" t="s">
        <v>303</v>
      </c>
      <c r="E349" s="315"/>
      <c r="F349" s="154">
        <v>2</v>
      </c>
      <c r="G349"/>
      <c r="H349" s="377">
        <v>1698131</v>
      </c>
      <c r="I349" s="306"/>
      <c r="J349" s="235">
        <f>(VLOOKUP($F349,Factors,J$384))*$H349</f>
        <v>850254.1916999999</v>
      </c>
      <c r="K349" s="373"/>
      <c r="L349" s="235">
        <f>(VLOOKUP($F349,Factors,L$384))*$H349</f>
        <v>520137.52530000004</v>
      </c>
      <c r="M349" s="373"/>
      <c r="N349" s="235">
        <f>(VLOOKUP($F349,Factors,N$384))*$H349</f>
        <v>65038.4173</v>
      </c>
      <c r="O349" s="373"/>
      <c r="P349" s="235">
        <f>(VLOOKUP($F349,Factors,P$384))*$H349</f>
        <v>198341.7008</v>
      </c>
      <c r="Q349" s="373"/>
      <c r="R349" s="235">
        <f>(VLOOKUP($F349,Factors,R$384))*$H349</f>
        <v>58755.3326</v>
      </c>
      <c r="S349" s="373"/>
      <c r="T349" s="235">
        <f>(VLOOKUP($F349,Factors,T$384))*$H349</f>
        <v>2547.1965</v>
      </c>
      <c r="U349" s="373"/>
      <c r="V349" s="235">
        <f>(VLOOKUP($F349,Factors,V$384))*$H349</f>
        <v>3056.6358</v>
      </c>
      <c r="W349" s="236"/>
      <c r="X349" s="236"/>
      <c r="AA349" s="475" t="s">
        <v>303</v>
      </c>
      <c r="AC349" s="280">
        <f t="shared" si="112"/>
        <v>2</v>
      </c>
      <c r="AE349" s="161">
        <f t="shared" si="113"/>
        <v>1698131</v>
      </c>
      <c r="AG349" s="148">
        <f>(VLOOKUP($AC349,func,AG$384))*$AE349</f>
        <v>1023633.3668</v>
      </c>
      <c r="AH349" s="148"/>
      <c r="AI349" s="148">
        <f>(VLOOKUP($AC349,func,AI$384))*$AE349</f>
        <v>668893.8008999999</v>
      </c>
      <c r="AJ349" s="148"/>
      <c r="AK349" s="148">
        <f>(VLOOKUP($AC349,func,AK$384))*$AE349</f>
        <v>0</v>
      </c>
      <c r="AL349" s="148"/>
      <c r="AM349" s="148">
        <f>(VLOOKUP($AC349,func,AM$384))*$AE349</f>
        <v>0</v>
      </c>
      <c r="AN349" s="148"/>
      <c r="AO349" s="148">
        <f>(VLOOKUP($AC349,func,AO$384))*$AE349</f>
        <v>0</v>
      </c>
      <c r="AP349" s="148"/>
      <c r="AQ349" s="148">
        <f>(VLOOKUP($AC349,func,AQ$384))*$AE349</f>
        <v>0</v>
      </c>
      <c r="AR349" s="148"/>
      <c r="AS349" s="148">
        <f>(VLOOKUP($AC349,func,AS$384))*$AE349</f>
        <v>0</v>
      </c>
      <c r="AT349" s="148"/>
      <c r="AU349" s="148">
        <f>(VLOOKUP($AC349,func,AU$384))*$AE349</f>
        <v>2547.1965</v>
      </c>
      <c r="AV349" s="148"/>
      <c r="AW349" s="148">
        <f>(VLOOKUP($AC349,func,AW$384))*$AE349</f>
        <v>3056.6358</v>
      </c>
      <c r="AY349" s="193"/>
    </row>
    <row r="350" spans="1:51" ht="12.75">
      <c r="A350" s="242"/>
      <c r="B350" s="243"/>
      <c r="C350" s="236"/>
      <c r="D350" s="475" t="s">
        <v>304</v>
      </c>
      <c r="E350" s="315"/>
      <c r="F350" s="154">
        <v>15</v>
      </c>
      <c r="G350"/>
      <c r="H350" s="377">
        <v>2342</v>
      </c>
      <c r="I350" s="306"/>
      <c r="J350" s="235">
        <f>(VLOOKUP($F350,Factors,J$384))*$H350</f>
        <v>1407.7762</v>
      </c>
      <c r="K350" s="373"/>
      <c r="L350" s="235">
        <f>(VLOOKUP($F350,Factors,L$384))*$H350</f>
        <v>527.6526</v>
      </c>
      <c r="M350" s="373"/>
      <c r="N350" s="235">
        <f>(VLOOKUP($F350,Factors,N$384))*$H350</f>
        <v>55.7396</v>
      </c>
      <c r="O350" s="373"/>
      <c r="P350" s="235">
        <f>(VLOOKUP($F350,Factors,P$384))*$H350</f>
        <v>170.73180000000002</v>
      </c>
      <c r="Q350" s="373"/>
      <c r="R350" s="235">
        <f>(VLOOKUP($F350,Factors,R$384))*$H350</f>
        <v>48.245200000000004</v>
      </c>
      <c r="S350" s="373"/>
      <c r="T350" s="235">
        <f>(VLOOKUP($F350,Factors,T$384))*$H350</f>
        <v>69.089</v>
      </c>
      <c r="U350" s="373"/>
      <c r="V350" s="235">
        <f>(VLOOKUP($F350,Factors,V$384))*$H350</f>
        <v>62.7656</v>
      </c>
      <c r="W350" s="236"/>
      <c r="X350" s="236"/>
      <c r="AA350" s="475" t="s">
        <v>304</v>
      </c>
      <c r="AC350" s="280">
        <f t="shared" si="112"/>
        <v>15</v>
      </c>
      <c r="AE350" s="161">
        <f t="shared" si="113"/>
        <v>2342</v>
      </c>
      <c r="AG350" s="148">
        <f>(VLOOKUP($AC350,func,AG$384))*$AE350</f>
        <v>784.3358</v>
      </c>
      <c r="AH350" s="148"/>
      <c r="AI350" s="148">
        <f>(VLOOKUP($AC350,func,AI$384))*$AE350</f>
        <v>364.41519999999997</v>
      </c>
      <c r="AJ350" s="148"/>
      <c r="AK350" s="148">
        <f>(VLOOKUP($AC350,func,AK$384))*$AE350</f>
        <v>342.1662</v>
      </c>
      <c r="AL350" s="148"/>
      <c r="AM350" s="148">
        <f>(VLOOKUP($AC350,func,AM$384))*$AE350</f>
        <v>29.743399999999998</v>
      </c>
      <c r="AN350" s="148"/>
      <c r="AO350" s="148">
        <f>(VLOOKUP($AC350,func,AO$384))*$AE350</f>
        <v>85.9514</v>
      </c>
      <c r="AP350" s="148"/>
      <c r="AQ350" s="148">
        <f>(VLOOKUP($AC350,func,AQ$384))*$AE350</f>
        <v>446.8536</v>
      </c>
      <c r="AR350" s="148"/>
      <c r="AS350" s="148">
        <f>(VLOOKUP($AC350,func,AS$384))*$AE350</f>
        <v>163.94000000000003</v>
      </c>
      <c r="AT350" s="148"/>
      <c r="AU350" s="148">
        <f>(VLOOKUP($AC350,func,AU$384))*$AE350</f>
        <v>61.8288</v>
      </c>
      <c r="AV350" s="148"/>
      <c r="AW350" s="148">
        <f>(VLOOKUP($AC350,func,AW$384))*$AE350</f>
        <v>62.7656</v>
      </c>
      <c r="AY350" s="193"/>
    </row>
    <row r="351" spans="1:51" ht="12.75">
      <c r="A351" s="358"/>
      <c r="B351" s="359"/>
      <c r="C351" s="236"/>
      <c r="D351" s="475" t="s">
        <v>305</v>
      </c>
      <c r="E351" s="315"/>
      <c r="F351" s="154">
        <v>17</v>
      </c>
      <c r="G351"/>
      <c r="H351" s="469">
        <v>-2349854</v>
      </c>
      <c r="I351" s="306"/>
      <c r="J351" s="468">
        <f>(VLOOKUP($F351,Factors,J$384))*$H351</f>
        <v>-1170227.292</v>
      </c>
      <c r="K351" s="373"/>
      <c r="L351" s="468">
        <f>(VLOOKUP($F351,Factors,L$384))*$H351</f>
        <v>-624121.2224</v>
      </c>
      <c r="M351" s="373"/>
      <c r="N351" s="468">
        <f>(VLOOKUP($F351,Factors,N$384))*$H351</f>
        <v>-72375.5032</v>
      </c>
      <c r="O351" s="373"/>
      <c r="P351" s="468">
        <f>(VLOOKUP($F351,Factors,P$384))*$H351</f>
        <v>-222766.1592</v>
      </c>
      <c r="Q351" s="373"/>
      <c r="R351" s="468">
        <f>(VLOOKUP($F351,Factors,R$384))*$H351</f>
        <v>-63681.043399999995</v>
      </c>
      <c r="S351" s="373"/>
      <c r="T351" s="468">
        <f>(VLOOKUP($F351,Factors,T$384))*$H351</f>
        <v>-71905.5324</v>
      </c>
      <c r="U351" s="373"/>
      <c r="V351" s="468">
        <f>(VLOOKUP($F351,Factors,V$384))*$H351</f>
        <v>-124777.24740000001</v>
      </c>
      <c r="W351" s="236"/>
      <c r="X351" s="493"/>
      <c r="AA351" s="475" t="s">
        <v>305</v>
      </c>
      <c r="AC351" s="280">
        <f t="shared" si="112"/>
        <v>17</v>
      </c>
      <c r="AE351" s="161">
        <f t="shared" si="113"/>
        <v>-2349854</v>
      </c>
      <c r="AG351" s="148">
        <f>(VLOOKUP($AC351,func,AG$384))*$AE351</f>
        <v>-1068948.5846</v>
      </c>
      <c r="AH351" s="148"/>
      <c r="AI351" s="148">
        <f>(VLOOKUP($AC351,func,AI$384))*$AE351</f>
        <v>-584173.7043999999</v>
      </c>
      <c r="AJ351" s="148"/>
      <c r="AK351" s="148">
        <f>(VLOOKUP($AC351,func,AK$384))*$AE351</f>
        <v>-254254.2028</v>
      </c>
      <c r="AL351" s="148"/>
      <c r="AM351" s="148">
        <f>(VLOOKUP($AC351,func,AM$384))*$AE351</f>
        <v>-157675.20340000003</v>
      </c>
      <c r="AN351" s="148"/>
      <c r="AO351" s="148">
        <f>(VLOOKUP($AC351,func,AO$384))*$AE351</f>
        <v>-53341.68580000001</v>
      </c>
      <c r="AP351" s="148"/>
      <c r="AQ351" s="148">
        <f>(VLOOKUP($AC351,func,AQ$384))*$AE351</f>
        <v>-31018.072799999998</v>
      </c>
      <c r="AR351" s="148"/>
      <c r="AS351" s="148">
        <f>(VLOOKUP($AC351,func,AS$384))*$AE351</f>
        <v>-6579.5912</v>
      </c>
      <c r="AT351" s="148"/>
      <c r="AU351" s="148">
        <f>(VLOOKUP($AC351,func,AU$384))*$AE351</f>
        <v>-70495.62</v>
      </c>
      <c r="AV351" s="148"/>
      <c r="AW351" s="148">
        <f>(VLOOKUP($AC351,func,AW$384))*$AE351</f>
        <v>-123367.33499999999</v>
      </c>
      <c r="AY351" s="193"/>
    </row>
    <row r="352" spans="1:51" ht="12.75">
      <c r="A352" s="242"/>
      <c r="B352" s="243"/>
      <c r="C352" s="236"/>
      <c r="D352"/>
      <c r="E352" s="315"/>
      <c r="F352" s="154"/>
      <c r="G352"/>
      <c r="H352" s="303"/>
      <c r="I352"/>
      <c r="J352" s="303"/>
      <c r="K352"/>
      <c r="L352" s="303"/>
      <c r="M352"/>
      <c r="N352" s="303"/>
      <c r="O352"/>
      <c r="P352" s="303"/>
      <c r="Q352"/>
      <c r="R352" s="303"/>
      <c r="S352"/>
      <c r="T352" s="303"/>
      <c r="U352"/>
      <c r="V352" s="303"/>
      <c r="X352" s="193"/>
      <c r="AA352"/>
      <c r="AC352" s="280"/>
      <c r="AE352" s="461"/>
      <c r="AG352" s="461"/>
      <c r="AI352" s="461"/>
      <c r="AK352" s="461"/>
      <c r="AM352" s="461"/>
      <c r="AO352" s="461"/>
      <c r="AQ352" s="461"/>
      <c r="AS352" s="461"/>
      <c r="AU352" s="461"/>
      <c r="AW352" s="461"/>
      <c r="AY352" s="193"/>
    </row>
    <row r="353" spans="1:51" ht="12.75">
      <c r="A353" s="242"/>
      <c r="B353" s="243"/>
      <c r="C353" s="236"/>
      <c r="D353" t="s">
        <v>455</v>
      </c>
      <c r="E353" s="315"/>
      <c r="F353" s="154"/>
      <c r="G353"/>
      <c r="H353" s="303">
        <f>SUM(H329:H352)</f>
        <v>-25302133</v>
      </c>
      <c r="I353"/>
      <c r="J353" s="303">
        <f>SUM(J329:J352)</f>
        <v>-11449741.1672</v>
      </c>
      <c r="K353"/>
      <c r="L353" s="303">
        <f>SUM(L329:L352)</f>
        <v>-7231982.586300001</v>
      </c>
      <c r="M353"/>
      <c r="N353" s="303">
        <f>SUM(N329:N352)</f>
        <v>-864647.6205</v>
      </c>
      <c r="O353"/>
      <c r="P353" s="303">
        <f>SUM(P329:P352)</f>
        <v>-2683390.3525999994</v>
      </c>
      <c r="Q353"/>
      <c r="R353" s="303">
        <f>SUM(R329:R352)</f>
        <v>-771599.7912</v>
      </c>
      <c r="S353"/>
      <c r="T353" s="303">
        <f>SUM(T329:T352)</f>
        <v>-687644.2252000001</v>
      </c>
      <c r="U353"/>
      <c r="V353" s="303">
        <f>SUM(V329:V352)</f>
        <v>-1613127.2569999998</v>
      </c>
      <c r="X353" s="193"/>
      <c r="AA353" t="s">
        <v>455</v>
      </c>
      <c r="AB353" s="315"/>
      <c r="AC353" s="154"/>
      <c r="AE353" s="303">
        <f>SUM(AE329:AE352)</f>
        <v>-25302133</v>
      </c>
      <c r="AG353" s="303">
        <f>SUM(AG329:AG352)</f>
        <v>-13047085.203399999</v>
      </c>
      <c r="AI353" s="303">
        <f>SUM(AI329:AI352)</f>
        <v>-8423397.296699999</v>
      </c>
      <c r="AK353" s="303">
        <f>SUM(AK329:AK352)</f>
        <v>-1004968.1272</v>
      </c>
      <c r="AM353" s="303">
        <f>SUM(AM329:AM352)</f>
        <v>-2779618.0092</v>
      </c>
      <c r="AO353" s="303">
        <f>SUM(AO329:AO352)</f>
        <v>-768149.1248</v>
      </c>
      <c r="AQ353" s="303">
        <f>SUM(AQ329:AQ352)</f>
        <v>2763614.6773999995</v>
      </c>
      <c r="AS353" s="303">
        <f>SUM(AS329:AS352)</f>
        <v>223078.42530000003</v>
      </c>
      <c r="AU353" s="303">
        <f>SUM(AU329:AU352)</f>
        <v>-677951.8013999999</v>
      </c>
      <c r="AW353" s="303">
        <f>SUM(AW329:AW352)</f>
        <v>-1587656.5399999998</v>
      </c>
      <c r="AY353" s="193"/>
    </row>
    <row r="354" spans="1:51" ht="12.75">
      <c r="A354" s="242"/>
      <c r="B354" s="243"/>
      <c r="C354" s="236"/>
      <c r="D354"/>
      <c r="E354" s="315"/>
      <c r="F354" s="154"/>
      <c r="G354"/>
      <c r="H354" s="303"/>
      <c r="I354"/>
      <c r="J354" s="303"/>
      <c r="K354"/>
      <c r="L354" s="303"/>
      <c r="M354"/>
      <c r="N354" s="303"/>
      <c r="O354"/>
      <c r="P354" s="303"/>
      <c r="Q354"/>
      <c r="R354" s="303"/>
      <c r="S354"/>
      <c r="T354" s="303"/>
      <c r="U354"/>
      <c r="V354" s="303"/>
      <c r="X354" s="193"/>
      <c r="AA354"/>
      <c r="AB354" s="315"/>
      <c r="AC354" s="154"/>
      <c r="AE354" s="303"/>
      <c r="AG354" s="303"/>
      <c r="AI354" s="303"/>
      <c r="AK354" s="303"/>
      <c r="AM354" s="303"/>
      <c r="AO354" s="303"/>
      <c r="AQ354" s="303"/>
      <c r="AS354" s="303"/>
      <c r="AU354" s="303"/>
      <c r="AW354" s="303"/>
      <c r="AY354" s="193"/>
    </row>
    <row r="355" spans="1:51" ht="13.5" thickBot="1">
      <c r="A355" s="242"/>
      <c r="B355" s="243"/>
      <c r="C355" s="236"/>
      <c r="D355" t="s">
        <v>456</v>
      </c>
      <c r="E355" s="315"/>
      <c r="F355" s="154"/>
      <c r="G355"/>
      <c r="H355" s="476">
        <f>H326+H353</f>
        <v>362672027.99999994</v>
      </c>
      <c r="I355"/>
      <c r="J355" s="476">
        <f>J326+J353</f>
        <v>180738821.6440388</v>
      </c>
      <c r="K355"/>
      <c r="L355" s="476">
        <f>L326+L353</f>
        <v>96314222.50273524</v>
      </c>
      <c r="M355"/>
      <c r="N355" s="476">
        <f>N326+N353</f>
        <v>11183738.70843602</v>
      </c>
      <c r="O355"/>
      <c r="P355" s="476">
        <f>P326+P353</f>
        <v>34369121.48657456</v>
      </c>
      <c r="Q355"/>
      <c r="R355" s="476">
        <f>R326+R353</f>
        <v>9843611.54398977</v>
      </c>
      <c r="S355"/>
      <c r="T355" s="476">
        <f>T326+T353</f>
        <v>11108618.12839167</v>
      </c>
      <c r="U355"/>
      <c r="V355" s="476">
        <f>V326+V353</f>
        <v>19113893.98583384</v>
      </c>
      <c r="X355" s="193"/>
      <c r="AA355" t="s">
        <v>456</v>
      </c>
      <c r="AB355" s="315"/>
      <c r="AC355" s="154"/>
      <c r="AE355" s="476">
        <f>AE326+AE353</f>
        <v>362672027.99999994</v>
      </c>
      <c r="AG355" s="476">
        <f>AG326+AG353</f>
        <v>165089231.34761766</v>
      </c>
      <c r="AI355" s="476">
        <f>AI326+AI353</f>
        <v>89741378.52340744</v>
      </c>
      <c r="AK355" s="476">
        <f>AK326+AK353</f>
        <v>39576975.954442635</v>
      </c>
      <c r="AM355" s="476">
        <f>AM326+AM353</f>
        <v>23839340.468531147</v>
      </c>
      <c r="AO355" s="476">
        <f>AO326+AO353</f>
        <v>8170714.805276427</v>
      </c>
      <c r="AQ355" s="476">
        <f>AQ326+AQ353</f>
        <v>5282165.0018</v>
      </c>
      <c r="AS355" s="476">
        <f>AS326+AS353</f>
        <v>1145786.9168999998</v>
      </c>
      <c r="AU355" s="476">
        <f>AU326+AU353</f>
        <v>10901337.052961309</v>
      </c>
      <c r="AW355" s="476">
        <f>AW326+AW353</f>
        <v>18925097.929063372</v>
      </c>
      <c r="AY355" s="193"/>
    </row>
    <row r="356" spans="1:51" ht="13.5" thickTop="1">
      <c r="A356" s="242"/>
      <c r="B356" s="243"/>
      <c r="C356" s="374"/>
      <c r="D356" s="219"/>
      <c r="E356" s="304"/>
      <c r="F356" s="305"/>
      <c r="H356" s="162"/>
      <c r="I356" s="306"/>
      <c r="J356" s="162"/>
      <c r="K356" s="220"/>
      <c r="L356" s="162"/>
      <c r="M356" s="220"/>
      <c r="N356" s="162"/>
      <c r="O356" s="220"/>
      <c r="P356" s="162"/>
      <c r="Q356" s="220"/>
      <c r="R356" s="162"/>
      <c r="S356" s="220"/>
      <c r="T356" s="162"/>
      <c r="U356" s="220"/>
      <c r="V356" s="162"/>
      <c r="X356" s="193"/>
      <c r="AA356" s="219"/>
      <c r="AC356" s="280"/>
      <c r="AE356" s="461"/>
      <c r="AF356" s="163"/>
      <c r="AG356" s="162"/>
      <c r="AH356" s="162"/>
      <c r="AI356" s="162"/>
      <c r="AJ356" s="162"/>
      <c r="AK356" s="162"/>
      <c r="AL356" s="162"/>
      <c r="AM356" s="162"/>
      <c r="AN356" s="162"/>
      <c r="AO356" s="162"/>
      <c r="AP356" s="162"/>
      <c r="AQ356" s="162"/>
      <c r="AR356" s="162"/>
      <c r="AS356" s="162"/>
      <c r="AT356" s="162"/>
      <c r="AU356" s="162"/>
      <c r="AV356" s="162"/>
      <c r="AW356" s="162"/>
      <c r="AY356" s="193"/>
    </row>
    <row r="357" spans="1:51" ht="12.75">
      <c r="A357" s="242"/>
      <c r="B357" s="243"/>
      <c r="C357" s="374"/>
      <c r="D357" s="219"/>
      <c r="E357" s="304"/>
      <c r="F357" s="305"/>
      <c r="H357" s="162"/>
      <c r="I357" s="306"/>
      <c r="J357" s="162"/>
      <c r="K357" s="220"/>
      <c r="L357" s="162"/>
      <c r="M357" s="220"/>
      <c r="N357" s="162"/>
      <c r="O357" s="220"/>
      <c r="P357" s="162"/>
      <c r="Q357" s="220"/>
      <c r="R357" s="162"/>
      <c r="S357" s="220"/>
      <c r="T357" s="162"/>
      <c r="U357" s="220"/>
      <c r="V357" s="162"/>
      <c r="X357" s="193"/>
      <c r="AA357" s="219"/>
      <c r="AC357" s="280"/>
      <c r="AE357" s="461"/>
      <c r="AF357" s="163"/>
      <c r="AG357" s="162"/>
      <c r="AH357" s="162"/>
      <c r="AI357" s="162"/>
      <c r="AJ357" s="162"/>
      <c r="AK357" s="162"/>
      <c r="AL357" s="162"/>
      <c r="AM357" s="162"/>
      <c r="AN357" s="162"/>
      <c r="AO357" s="162"/>
      <c r="AP357" s="162"/>
      <c r="AQ357" s="162"/>
      <c r="AR357" s="162"/>
      <c r="AS357" s="162"/>
      <c r="AT357" s="162"/>
      <c r="AU357" s="162"/>
      <c r="AV357" s="162"/>
      <c r="AW357" s="162"/>
      <c r="AY357" s="193"/>
    </row>
    <row r="358" spans="1:51" ht="12.75">
      <c r="A358" s="306"/>
      <c r="B358" s="306"/>
      <c r="C358" s="374"/>
      <c r="D358" s="304"/>
      <c r="E358" s="304"/>
      <c r="F358" s="305"/>
      <c r="H358" s="462"/>
      <c r="I358" s="462"/>
      <c r="J358" s="462"/>
      <c r="K358" s="462"/>
      <c r="L358" s="462"/>
      <c r="M358" s="462"/>
      <c r="N358" s="462"/>
      <c r="O358" s="462"/>
      <c r="P358" s="462"/>
      <c r="Q358" s="462"/>
      <c r="R358" s="462"/>
      <c r="S358" s="462"/>
      <c r="T358" s="462"/>
      <c r="U358" s="462"/>
      <c r="V358" s="462"/>
      <c r="X358" s="193"/>
      <c r="AA358" s="304"/>
      <c r="AE358" s="462"/>
      <c r="AF358" s="462"/>
      <c r="AG358" s="462"/>
      <c r="AH358" s="462"/>
      <c r="AI358" s="462"/>
      <c r="AJ358" s="462"/>
      <c r="AK358" s="462"/>
      <c r="AL358" s="462"/>
      <c r="AM358" s="462"/>
      <c r="AN358" s="462"/>
      <c r="AO358" s="462"/>
      <c r="AP358" s="462"/>
      <c r="AQ358" s="462"/>
      <c r="AR358" s="462"/>
      <c r="AS358" s="462"/>
      <c r="AT358" s="462"/>
      <c r="AU358" s="462"/>
      <c r="AV358" s="462"/>
      <c r="AW358" s="462"/>
      <c r="AY358" s="193"/>
    </row>
    <row r="359" spans="25:49" ht="12.75">
      <c r="Y359" s="193"/>
      <c r="AA359" s="142"/>
      <c r="AE359" s="163"/>
      <c r="AF359" s="163"/>
      <c r="AG359" s="163"/>
      <c r="AH359" s="163"/>
      <c r="AI359" s="163"/>
      <c r="AJ359" s="163"/>
      <c r="AK359" s="163"/>
      <c r="AL359" s="163"/>
      <c r="AM359" s="163"/>
      <c r="AN359" s="163"/>
      <c r="AO359" s="163"/>
      <c r="AP359" s="163"/>
      <c r="AQ359" s="163"/>
      <c r="AR359" s="163"/>
      <c r="AS359" s="163"/>
      <c r="AT359" s="163"/>
      <c r="AU359" s="163"/>
      <c r="AV359" s="163"/>
      <c r="AW359" s="163"/>
    </row>
    <row r="360" ht="12.75">
      <c r="Y360" s="193"/>
    </row>
    <row r="361" ht="12.75">
      <c r="Y361" s="193"/>
    </row>
    <row r="362" ht="12.75">
      <c r="Y362" s="193"/>
    </row>
    <row r="363" spans="4:51" ht="12.75">
      <c r="D363" s="245" t="s">
        <v>334</v>
      </c>
      <c r="H363" s="156">
        <f>+SUM(H100:H109)+H115</f>
        <v>1001068.9745063346</v>
      </c>
      <c r="J363" s="156">
        <f>+SUM(J100:J109)+J115</f>
        <v>453083.8178615671</v>
      </c>
      <c r="K363" s="137"/>
      <c r="L363" s="156">
        <f>+SUM(L100:L109)+L115</f>
        <v>274292.8990147357</v>
      </c>
      <c r="M363" s="137"/>
      <c r="N363" s="156">
        <f>+SUM(N100:N109)+N115</f>
        <v>31233.35200459764</v>
      </c>
      <c r="O363" s="137"/>
      <c r="P363" s="156">
        <f>+SUM(P100:P109)+P115</f>
        <v>92298.55944948406</v>
      </c>
      <c r="Q363" s="137"/>
      <c r="R363" s="156">
        <f>+SUM(R100:R109)+R115</f>
        <v>25927.686439714067</v>
      </c>
      <c r="S363" s="137"/>
      <c r="T363" s="156">
        <f>+SUM(T100:T109)+T115</f>
        <v>55759.54188000284</v>
      </c>
      <c r="U363" s="137"/>
      <c r="V363" s="156">
        <f>+SUM(V100:V109)+V115</f>
        <v>68473.1178562333</v>
      </c>
      <c r="X363" s="193">
        <f>SUM(J363:V363)-H363</f>
        <v>0</v>
      </c>
      <c r="Y363" s="193"/>
      <c r="AA363" s="245" t="s">
        <v>334</v>
      </c>
      <c r="AB363" s="142"/>
      <c r="AC363" s="153"/>
      <c r="AD363" s="137"/>
      <c r="AE363" s="156">
        <f>+SUM(AE100:AE109)+AE115</f>
        <v>1001068.9745063346</v>
      </c>
      <c r="AF363" s="137"/>
      <c r="AG363" s="156">
        <f>+SUM(AG100:AG109)+AG115</f>
        <v>389816.2586727667</v>
      </c>
      <c r="AH363" s="137"/>
      <c r="AI363" s="156">
        <f>+SUM(AI100:AI109)+AI115</f>
        <v>77182.4179344384</v>
      </c>
      <c r="AJ363" s="137"/>
      <c r="AK363" s="156">
        <f>+SUM(AK100:AK109)+AK115</f>
        <v>409837.63816289336</v>
      </c>
      <c r="AL363" s="137"/>
      <c r="AM363" s="156">
        <f>+SUM(AM100:AM109)+AM115</f>
        <v>0</v>
      </c>
      <c r="AN363" s="137"/>
      <c r="AO363" s="156">
        <f>+SUM(AO100:AO109)+AO115</f>
        <v>0</v>
      </c>
      <c r="AP363" s="137"/>
      <c r="AQ363" s="156">
        <f>+SUM(AQ100:AQ109)+AQ115</f>
        <v>0</v>
      </c>
      <c r="AR363" s="137"/>
      <c r="AS363" s="156">
        <f>+SUM(AS100:AS109)+AS115</f>
        <v>0</v>
      </c>
      <c r="AT363" s="137"/>
      <c r="AU363" s="156">
        <f>+SUM(AU100:AU109)+AU115</f>
        <v>55759.54188000284</v>
      </c>
      <c r="AV363" s="137"/>
      <c r="AW363" s="156">
        <f>+SUM(AW100:AW109)+AW115</f>
        <v>68473.1178562333</v>
      </c>
      <c r="AY363" s="193">
        <f>SUM(AG363:AW363)-AE363</f>
        <v>0</v>
      </c>
    </row>
    <row r="364" spans="4:51" ht="12.75">
      <c r="D364" s="245" t="s">
        <v>331</v>
      </c>
      <c r="J364" s="263">
        <f>ROUND(J363/$H363,4)-0.0001</f>
        <v>0.4525</v>
      </c>
      <c r="K364" s="263"/>
      <c r="L364" s="263">
        <f>ROUND(L363/$H363,4)+0.0001</f>
        <v>0.2741</v>
      </c>
      <c r="M364" s="263"/>
      <c r="N364" s="263">
        <f aca="true" t="shared" si="121" ref="N364:V364">ROUND(N363/$H363,4)</f>
        <v>0.0312</v>
      </c>
      <c r="O364" s="263"/>
      <c r="P364" s="263">
        <f t="shared" si="121"/>
        <v>0.0922</v>
      </c>
      <c r="Q364" s="263"/>
      <c r="R364" s="263">
        <f t="shared" si="121"/>
        <v>0.0259</v>
      </c>
      <c r="S364" s="263"/>
      <c r="T364" s="263">
        <f t="shared" si="121"/>
        <v>0.0557</v>
      </c>
      <c r="U364" s="263"/>
      <c r="V364" s="263">
        <f t="shared" si="121"/>
        <v>0.0684</v>
      </c>
      <c r="W364" s="264"/>
      <c r="X364" s="263">
        <f>SUM(J364:V364)</f>
        <v>1</v>
      </c>
      <c r="Y364" s="193"/>
      <c r="AA364" s="245" t="s">
        <v>331</v>
      </c>
      <c r="AB364" s="142"/>
      <c r="AC364" s="153"/>
      <c r="AD364" s="137"/>
      <c r="AE364" s="156"/>
      <c r="AF364" s="137"/>
      <c r="AG364" s="263">
        <f>ROUND(AG363/$H363,4)</f>
        <v>0.3894</v>
      </c>
      <c r="AH364" s="263"/>
      <c r="AI364" s="263">
        <f>ROUND(AI363/$H363,4)</f>
        <v>0.0771</v>
      </c>
      <c r="AJ364" s="263"/>
      <c r="AK364" s="263">
        <f>ROUND(AK363/$H363,4)</f>
        <v>0.4094</v>
      </c>
      <c r="AL364" s="263"/>
      <c r="AM364" s="263">
        <f>ROUND(AM363/$H363,4)</f>
        <v>0</v>
      </c>
      <c r="AN364" s="263"/>
      <c r="AO364" s="263">
        <f>ROUND(AO363/$H363,4)</f>
        <v>0</v>
      </c>
      <c r="AP364" s="263"/>
      <c r="AQ364" s="263">
        <f>ROUND(AQ363/$H363,4)</f>
        <v>0</v>
      </c>
      <c r="AR364" s="263"/>
      <c r="AS364" s="263">
        <f>ROUND(AS363/$H363,4)</f>
        <v>0</v>
      </c>
      <c r="AT364" s="263"/>
      <c r="AU364" s="263">
        <f>ROUND(AU363/$H363,4)</f>
        <v>0.0557</v>
      </c>
      <c r="AV364" s="263"/>
      <c r="AW364" s="263">
        <f>ROUND(AW363/$H363,4)</f>
        <v>0.0684</v>
      </c>
      <c r="AX364" s="264"/>
      <c r="AY364" s="263">
        <f>SUM(AG364:AW364)</f>
        <v>1</v>
      </c>
    </row>
    <row r="365" spans="4:51" ht="12.75">
      <c r="D365" s="245" t="s">
        <v>335</v>
      </c>
      <c r="H365" s="156">
        <f>+SUM(H128:H141)</f>
        <v>1570808.2263310885</v>
      </c>
      <c r="J365" s="156">
        <f>+SUM(J128:J141)</f>
        <v>857629.365806718</v>
      </c>
      <c r="K365" s="137"/>
      <c r="L365" s="156">
        <f>+SUM(L128:L141)</f>
        <v>357680.6425323913</v>
      </c>
      <c r="M365" s="137"/>
      <c r="N365" s="156">
        <f>+SUM(N128:N141)</f>
        <v>35413.00408367562</v>
      </c>
      <c r="O365" s="137"/>
      <c r="P365" s="156">
        <f>+SUM(P128:P141)</f>
        <v>109292.96575345837</v>
      </c>
      <c r="Q365" s="137"/>
      <c r="R365" s="156">
        <f>+SUM(R128:R141)</f>
        <v>29052.847740410525</v>
      </c>
      <c r="S365" s="137"/>
      <c r="T365" s="156">
        <f>+SUM(T128:T141)</f>
        <v>89934.99288652297</v>
      </c>
      <c r="U365" s="137"/>
      <c r="V365" s="156">
        <f>+SUM(V128:V141)</f>
        <v>91804.4075279118</v>
      </c>
      <c r="X365" s="193">
        <f>SUM(J365:V365)-H365</f>
        <v>0</v>
      </c>
      <c r="Y365" s="193"/>
      <c r="AA365" s="245" t="s">
        <v>335</v>
      </c>
      <c r="AB365" s="142"/>
      <c r="AC365" s="153"/>
      <c r="AD365" s="137"/>
      <c r="AE365" s="156">
        <f>+SUM(AE128:AE141)</f>
        <v>1570808.2263310885</v>
      </c>
      <c r="AF365" s="137"/>
      <c r="AG365" s="156">
        <f>+SUM(AG128:AG141)</f>
        <v>424851.8539173212</v>
      </c>
      <c r="AH365" s="137"/>
      <c r="AI365" s="156">
        <f>+SUM(AI128:AI141)</f>
        <v>68432.83385640992</v>
      </c>
      <c r="AJ365" s="137"/>
      <c r="AK365" s="156">
        <f>+SUM(AK128:AK141)</f>
        <v>482879.8059728096</v>
      </c>
      <c r="AL365" s="137"/>
      <c r="AM365" s="156">
        <f>+SUM(AM128:AM141)</f>
        <v>106198.35088464</v>
      </c>
      <c r="AN365" s="137"/>
      <c r="AO365" s="156">
        <f>+SUM(AO128:AO141)</f>
        <v>306705.981285473</v>
      </c>
      <c r="AP365" s="137"/>
      <c r="AQ365" s="156">
        <f>+SUM(AQ128:AQ141)</f>
        <v>0</v>
      </c>
      <c r="AR365" s="137"/>
      <c r="AS365" s="156">
        <f>+SUM(AS128:AS141)</f>
        <v>0</v>
      </c>
      <c r="AT365" s="137"/>
      <c r="AU365" s="156">
        <f>+SUM(AU128:AU141)</f>
        <v>89934.99288652297</v>
      </c>
      <c r="AV365" s="137"/>
      <c r="AW365" s="156">
        <f>+SUM(AW128:AW141)</f>
        <v>91804.4075279118</v>
      </c>
      <c r="AY365" s="193">
        <f>SUM(AG365:AW365)-AE365</f>
        <v>0</v>
      </c>
    </row>
    <row r="366" spans="4:51" ht="12.75">
      <c r="D366" s="245" t="s">
        <v>332</v>
      </c>
      <c r="H366" s="246"/>
      <c r="I366" s="246"/>
      <c r="J366" s="263">
        <f>ROUND(J365/$H365,4)</f>
        <v>0.546</v>
      </c>
      <c r="K366" s="263"/>
      <c r="L366" s="263">
        <f>ROUND(L365/$H365,4)</f>
        <v>0.2277</v>
      </c>
      <c r="M366" s="263"/>
      <c r="N366" s="263">
        <f>ROUND(N365/$H365,4)</f>
        <v>0.0225</v>
      </c>
      <c r="O366" s="263"/>
      <c r="P366" s="263">
        <f>ROUND(P365/$H365,4)</f>
        <v>0.0696</v>
      </c>
      <c r="Q366" s="263"/>
      <c r="R366" s="263">
        <f>ROUND(R365/$H365,4)</f>
        <v>0.0185</v>
      </c>
      <c r="S366" s="263"/>
      <c r="T366" s="263">
        <f>ROUND(T365/$H365,4)</f>
        <v>0.0573</v>
      </c>
      <c r="U366" s="263"/>
      <c r="V366" s="263">
        <f>ROUND(V365/$H365,4)</f>
        <v>0.0584</v>
      </c>
      <c r="W366" s="264"/>
      <c r="X366" s="263">
        <f>SUM(J366:V366)</f>
        <v>1</v>
      </c>
      <c r="Y366" s="193"/>
      <c r="AA366" s="245" t="s">
        <v>332</v>
      </c>
      <c r="AB366" s="142"/>
      <c r="AC366" s="153"/>
      <c r="AD366" s="137"/>
      <c r="AE366" s="246"/>
      <c r="AF366" s="246"/>
      <c r="AG366" s="263">
        <f>ROUND(AG365/$H365,4)-0.0001</f>
        <v>0.27040000000000003</v>
      </c>
      <c r="AH366" s="263"/>
      <c r="AI366" s="263">
        <f>ROUND(AI365/$H365,4)</f>
        <v>0.0436</v>
      </c>
      <c r="AJ366" s="263"/>
      <c r="AK366" s="263">
        <f>ROUND(AK365/$H365,4)</f>
        <v>0.3074</v>
      </c>
      <c r="AL366" s="263"/>
      <c r="AM366" s="263">
        <f>ROUND(AM365/$H365,4)</f>
        <v>0.0676</v>
      </c>
      <c r="AN366" s="263"/>
      <c r="AO366" s="263">
        <f>ROUND(AO365/$H365,4)</f>
        <v>0.1953</v>
      </c>
      <c r="AP366" s="263"/>
      <c r="AQ366" s="263">
        <f>ROUND(AQ365/$H365,4)</f>
        <v>0</v>
      </c>
      <c r="AR366" s="263"/>
      <c r="AS366" s="263">
        <f>ROUND(AS365/$H365,4)</f>
        <v>0</v>
      </c>
      <c r="AT366" s="263"/>
      <c r="AU366" s="263">
        <f>ROUND(AU365/$H365,4)</f>
        <v>0.0573</v>
      </c>
      <c r="AV366" s="263"/>
      <c r="AW366" s="263">
        <f>ROUND(AW365/$H365,4)</f>
        <v>0.0584</v>
      </c>
      <c r="AX366" s="264"/>
      <c r="AY366" s="263">
        <f>SUM(AG366:AW366)</f>
        <v>1</v>
      </c>
    </row>
    <row r="367" spans="4:52" ht="12.75">
      <c r="D367" s="245" t="s">
        <v>336</v>
      </c>
      <c r="H367" s="156">
        <f>+H37+H66+H95+H148+H163-H44-H72-H78-H18</f>
        <v>10353472.638769759</v>
      </c>
      <c r="J367" s="156">
        <f>+J37+J66+J95+J148+J163-J44-J72-J78-J18</f>
        <v>6224289.948788533</v>
      </c>
      <c r="K367" s="137"/>
      <c r="L367" s="156">
        <f>+L37+L66+L95+L148+L163-L44-L72-L78-L18</f>
        <v>2332850.527660305</v>
      </c>
      <c r="M367" s="137"/>
      <c r="N367" s="156">
        <f>+N37+N66+N95+N148+N163-N44-N72-N78-N18</f>
        <v>245971.31352727656</v>
      </c>
      <c r="O367" s="137"/>
      <c r="P367" s="156">
        <f>+P37+P66+P95+P148+P163-P44-P72-P78-P18</f>
        <v>754973.9076386334</v>
      </c>
      <c r="Q367" s="137"/>
      <c r="R367" s="156">
        <f>+R37+R66+R95+R148+R163-R44-R72-R78-R18</f>
        <v>213109.7265647985</v>
      </c>
      <c r="S367" s="137"/>
      <c r="T367" s="156">
        <f>+T37+T66+T95+T148+T163-T44-T72-T78-T18</f>
        <v>304964.6541452476</v>
      </c>
      <c r="U367" s="137"/>
      <c r="V367" s="156">
        <f>+V37+V66+V95+V148+V163-V44-V72-V78-V18</f>
        <v>277312.56044496514</v>
      </c>
      <c r="X367" s="193">
        <f>SUM(J367:V367)-H367</f>
        <v>0</v>
      </c>
      <c r="Y367" s="193"/>
      <c r="AA367" s="245" t="s">
        <v>336</v>
      </c>
      <c r="AB367" s="142"/>
      <c r="AC367" s="153"/>
      <c r="AD367" s="137"/>
      <c r="AE367" s="156">
        <f>+AE37+AE66+AE95+AE148+AE163-AE44-AE72-AE78-AE18</f>
        <v>10353472.638769759</v>
      </c>
      <c r="AF367" s="137"/>
      <c r="AG367" s="156">
        <f>+AG37+AG66+AG95+AG148+AG163-AG44-AG72-AG78-AG18</f>
        <v>3467806.24599272</v>
      </c>
      <c r="AH367" s="137"/>
      <c r="AI367" s="156">
        <f>+AI37+AI66+AI95+AI148+AI163-AI44-AI72-AI78-AI18</f>
        <v>1610973.3897592924</v>
      </c>
      <c r="AJ367" s="137"/>
      <c r="AK367" s="156">
        <f>+AK37+AK66+AK95+AK148+AK163-AK44-AK72-AK78-AK18</f>
        <v>1512160.2774316145</v>
      </c>
      <c r="AL367" s="137"/>
      <c r="AM367" s="156">
        <f>+AM37+AM66+AM95+AM148+AM163-AM44-AM72-AM78-AM18</f>
        <v>131620.68288464</v>
      </c>
      <c r="AN367" s="137"/>
      <c r="AO367" s="156">
        <f>+AO37+AO66+AO95+AO148+AO163-AO44-AO72-AO78-AO18</f>
        <v>380152.452285473</v>
      </c>
      <c r="AP367" s="137"/>
      <c r="AQ367" s="156">
        <f>+AQ37+AQ66+AQ95+AQ148+AQ163-AQ44-AQ72-AQ78-AQ18</f>
        <v>1975514.1774242956</v>
      </c>
      <c r="AR367" s="137"/>
      <c r="AS367" s="156">
        <f>+AS37+AS66+AS95+AS148+AS163-AS44-AS72-AS78-AS18</f>
        <v>725096</v>
      </c>
      <c r="AT367" s="137"/>
      <c r="AU367" s="156">
        <f>+AU37+AU66+AU95+AU148+AU163-AU44-AU72-AU78-AU18</f>
        <v>272847.7917304176</v>
      </c>
      <c r="AV367" s="137"/>
      <c r="AW367" s="156">
        <f>+AW37+AW66+AW95+AW148+AW163-AW44-AW72-AW78-AW18</f>
        <v>277301.62126130646</v>
      </c>
      <c r="AX367" s="137"/>
      <c r="AY367" s="193">
        <f>SUM(AG367:AW367)-AE367</f>
        <v>0</v>
      </c>
      <c r="AZ367" s="161"/>
    </row>
    <row r="368" spans="4:51" ht="12.75">
      <c r="D368" s="245" t="s">
        <v>333</v>
      </c>
      <c r="J368" s="263">
        <f>ROUND(J367/$H367,4)-0.0001</f>
        <v>0.6011</v>
      </c>
      <c r="K368" s="263"/>
      <c r="L368" s="263">
        <f>ROUND(L367/$H367,4)</f>
        <v>0.2253</v>
      </c>
      <c r="M368" s="263"/>
      <c r="N368" s="263">
        <f>ROUND(N367/$H367,4)</f>
        <v>0.0238</v>
      </c>
      <c r="O368" s="263"/>
      <c r="P368" s="263">
        <f>ROUND(P367/$H367,4)</f>
        <v>0.0729</v>
      </c>
      <c r="Q368" s="263"/>
      <c r="R368" s="263">
        <f>ROUND(R367/$H367,4)</f>
        <v>0.0206</v>
      </c>
      <c r="S368" s="263"/>
      <c r="T368" s="263">
        <f>ROUND(T367/$H367,4)</f>
        <v>0.0295</v>
      </c>
      <c r="U368" s="263"/>
      <c r="V368" s="263">
        <f>ROUND(V367/$H367,4)</f>
        <v>0.0268</v>
      </c>
      <c r="W368" s="264"/>
      <c r="X368" s="263">
        <f>SUM(J368:V368)</f>
        <v>1</v>
      </c>
      <c r="Y368" s="193"/>
      <c r="AA368" s="245" t="s">
        <v>333</v>
      </c>
      <c r="AB368" s="142"/>
      <c r="AC368" s="153"/>
      <c r="AD368" s="137"/>
      <c r="AE368" s="156"/>
      <c r="AF368" s="137"/>
      <c r="AG368" s="263">
        <f>ROUND(AG367/$H367,4)</f>
        <v>0.3349</v>
      </c>
      <c r="AH368" s="263"/>
      <c r="AI368" s="263">
        <f>ROUND(AI367/$H367,4)</f>
        <v>0.1556</v>
      </c>
      <c r="AJ368" s="263"/>
      <c r="AK368" s="263">
        <f>ROUND(AK367/$H367,4)</f>
        <v>0.1461</v>
      </c>
      <c r="AL368" s="263"/>
      <c r="AM368" s="263">
        <f>ROUND(AM367/$H367,4)</f>
        <v>0.0127</v>
      </c>
      <c r="AN368" s="263"/>
      <c r="AO368" s="263">
        <f>ROUND(AO367/$H367,4)</f>
        <v>0.0367</v>
      </c>
      <c r="AP368" s="263"/>
      <c r="AQ368" s="263">
        <f>ROUND(AQ367/$H367,4)</f>
        <v>0.1908</v>
      </c>
      <c r="AR368" s="263"/>
      <c r="AS368" s="263">
        <f>ROUND(AS367/$H367,4)</f>
        <v>0.07</v>
      </c>
      <c r="AT368" s="263"/>
      <c r="AU368" s="263">
        <f>ROUND(AU367/$H367,4)</f>
        <v>0.0264</v>
      </c>
      <c r="AV368" s="263"/>
      <c r="AW368" s="263">
        <f>ROUND(AW367/$H367,4)</f>
        <v>0.0268</v>
      </c>
      <c r="AX368" s="264"/>
      <c r="AY368" s="263">
        <f>SUM(AG368:AW368)</f>
        <v>0.9999999999999999</v>
      </c>
    </row>
    <row r="369" spans="4:51" ht="12.75">
      <c r="D369" s="245" t="s">
        <v>5</v>
      </c>
      <c r="H369" s="156">
        <f>+H194</f>
        <v>35661911.39680962</v>
      </c>
      <c r="J369" s="156">
        <f>+J194</f>
        <v>20994508.656741407</v>
      </c>
      <c r="K369" s="137"/>
      <c r="L369" s="156">
        <f>+L194</f>
        <v>8418746.101119244</v>
      </c>
      <c r="M369" s="137"/>
      <c r="N369" s="156">
        <f>+N194</f>
        <v>941853.5693783611</v>
      </c>
      <c r="O369" s="137"/>
      <c r="P369" s="156">
        <f>+P194</f>
        <v>2871938.9422817067</v>
      </c>
      <c r="Q369" s="137"/>
      <c r="R369" s="156">
        <f>+R194</f>
        <v>826764.0821837469</v>
      </c>
      <c r="S369" s="137"/>
      <c r="T369" s="156">
        <f>+T194</f>
        <v>847310.4411782401</v>
      </c>
      <c r="U369" s="137"/>
      <c r="V369" s="156">
        <f>+V194</f>
        <v>760789.6039269231</v>
      </c>
      <c r="W369" s="264"/>
      <c r="X369" s="193">
        <f>SUM(J369:V369)-H369</f>
        <v>0</v>
      </c>
      <c r="Y369" s="193"/>
      <c r="AA369" s="245" t="s">
        <v>5</v>
      </c>
      <c r="AB369" s="142"/>
      <c r="AC369" s="153"/>
      <c r="AD369" s="137"/>
      <c r="AE369" s="156">
        <f>+AE194</f>
        <v>35661911.39680962</v>
      </c>
      <c r="AF369" s="137"/>
      <c r="AG369" s="156">
        <f>+AG194</f>
        <v>16121910.14483051</v>
      </c>
      <c r="AH369" s="137"/>
      <c r="AI369" s="156">
        <f>+AI194</f>
        <v>4343942.740872824</v>
      </c>
      <c r="AJ369" s="137"/>
      <c r="AK369" s="156">
        <f>+AK194</f>
        <v>4024395.711640683</v>
      </c>
      <c r="AL369" s="137"/>
      <c r="AM369" s="156">
        <f>+AM194</f>
        <v>367824.1212224937</v>
      </c>
      <c r="AN369" s="137"/>
      <c r="AO369" s="156">
        <f>+AO194</f>
        <v>1024921.4735980886</v>
      </c>
      <c r="AP369" s="137"/>
      <c r="AQ369" s="156">
        <f>+AQ194</f>
        <v>6633580.631968226</v>
      </c>
      <c r="AR369" s="137"/>
      <c r="AS369" s="156">
        <f>+AS194</f>
        <v>1613263.2560619533</v>
      </c>
      <c r="AT369" s="137"/>
      <c r="AU369" s="156">
        <f>+AU194</f>
        <v>771441.2366715826</v>
      </c>
      <c r="AV369" s="137"/>
      <c r="AW369" s="156">
        <f>+AW194</f>
        <v>760668.7261432644</v>
      </c>
      <c r="AX369" s="264"/>
      <c r="AY369" s="193">
        <f>SUM(AG369:AW369)-AE369</f>
        <v>36.64620000123978</v>
      </c>
    </row>
    <row r="370" spans="4:51" ht="12.75">
      <c r="D370" s="245" t="s">
        <v>6</v>
      </c>
      <c r="J370" s="263">
        <f>+ROUND(J369/$H$369,4)-0.0001</f>
        <v>0.5886</v>
      </c>
      <c r="K370" s="137"/>
      <c r="L370" s="263">
        <f>+ROUND(L369/$H$369,4)+0.0001</f>
        <v>0.2362</v>
      </c>
      <c r="M370" s="137"/>
      <c r="N370" s="263">
        <f>+ROUND(N369/$H$369,4)</f>
        <v>0.0264</v>
      </c>
      <c r="O370" s="137"/>
      <c r="P370" s="263">
        <f>+ROUND(P369/$H$369,4)</f>
        <v>0.0805</v>
      </c>
      <c r="Q370" s="137"/>
      <c r="R370" s="263">
        <f>+ROUND(R369/$H$369,4)</f>
        <v>0.0232</v>
      </c>
      <c r="S370" s="137"/>
      <c r="T370" s="263">
        <f>+ROUND(T369/$H$369,4)</f>
        <v>0.0238</v>
      </c>
      <c r="U370" s="137"/>
      <c r="V370" s="263">
        <f>+ROUND(V369/$H$369,4)</f>
        <v>0.0213</v>
      </c>
      <c r="W370" s="264"/>
      <c r="X370" s="263">
        <f>SUM(J370:V370)</f>
        <v>1</v>
      </c>
      <c r="Y370" s="193"/>
      <c r="AA370" s="245" t="s">
        <v>6</v>
      </c>
      <c r="AB370" s="142"/>
      <c r="AC370" s="153"/>
      <c r="AD370" s="137"/>
      <c r="AE370" s="156"/>
      <c r="AF370" s="137"/>
      <c r="AG370" s="263">
        <f>+ROUND(AG369/$AE$369,4)+0.0001</f>
        <v>0.4522</v>
      </c>
      <c r="AH370" s="137"/>
      <c r="AI370" s="263">
        <f>+ROUND(AI369/$AE$369,4)</f>
        <v>0.1218</v>
      </c>
      <c r="AJ370" s="137"/>
      <c r="AK370" s="263">
        <f>+ROUND(AK369/$AE$369,4)</f>
        <v>0.1128</v>
      </c>
      <c r="AL370" s="137"/>
      <c r="AM370" s="263">
        <f>+ROUND(AM369/$AE$369,4)</f>
        <v>0.0103</v>
      </c>
      <c r="AN370" s="137"/>
      <c r="AO370" s="263">
        <f>+ROUND(AO369/$AE$369,4)</f>
        <v>0.0287</v>
      </c>
      <c r="AP370" s="137"/>
      <c r="AQ370" s="263">
        <f>+ROUND(AQ369/$AE$369,4)</f>
        <v>0.186</v>
      </c>
      <c r="AR370" s="137"/>
      <c r="AS370" s="263">
        <f>+ROUND(AS369/$AE$369,4)+0.0001</f>
        <v>0.0453</v>
      </c>
      <c r="AT370" s="137"/>
      <c r="AU370" s="263">
        <f>+ROUND(AU369/$AE$369,4)</f>
        <v>0.0216</v>
      </c>
      <c r="AV370" s="137"/>
      <c r="AW370" s="263">
        <f>+ROUND(AW369/$AE$369,4)</f>
        <v>0.0213</v>
      </c>
      <c r="AX370" s="264"/>
      <c r="AY370" s="263">
        <f>SUM(AG370:AW370)</f>
        <v>0.9999999999999999</v>
      </c>
    </row>
    <row r="371" spans="4:51" ht="12.75">
      <c r="D371" s="245" t="s">
        <v>337</v>
      </c>
      <c r="H371" s="156">
        <f>+H17+H14+H25+H33+H43+H47+H56+H53+H59+H62+H40+H71+H75+H79+H88+H91+H99+H85+H103+H106+H109+H112+H116+H126+H129+H132+H135+H138+H141+H144+H151+H154+H157+H170</f>
        <v>8039623.227870462</v>
      </c>
      <c r="J371" s="156">
        <f>+J17+J14+J25+J33+J43+J47+J56+J53+J59+J62+J40+J71+J75+J79+J88+J91+J99+J85+J103+J106+J109+J112+J116+J126+J129+J132+J135+J138+J141+J144+J151+J154+J157+J170</f>
        <v>4498713.497899099</v>
      </c>
      <c r="K371" s="137"/>
      <c r="L371" s="156">
        <f>+L17+L14+L25+L33+L43+L47+L56+L53+L59+L62+L40+L71+L75+L79+L88+L91+L99+L85+L103+L106+L109+L112+L116+L126+L129+L132+L135+L138+L141+L144+L151+L154+L157+L170</f>
        <v>1988726.1182389604</v>
      </c>
      <c r="M371" s="137"/>
      <c r="N371" s="156">
        <f>+N17+N14+N25+N33+N43+N47+N56+N53+N59+N62+N40+N71+N75+N79+N88+N91+N99+N85+N103+N106+N109+N112+N116+N126+N129+N132+N135+N138+N141+N144+N151+N154+N157+N170</f>
        <v>221163.77830660657</v>
      </c>
      <c r="O371" s="137"/>
      <c r="P371" s="156">
        <f>+P17+P14+P25+P33+P43+P47+P56+P53+P59+P62+P40+P71+P75+P79+P88+P91+P99+P85+P103+P106+P109+P112+P116+P126+P129+P132+P135+P138+P141+P144+P151+P154+P157+P170</f>
        <v>675613.0010808079</v>
      </c>
      <c r="Q371" s="137"/>
      <c r="R371" s="156">
        <f>+R17+R14+R25+R33+R43+R47+R56+R53+R59+R62+R40+R71+R75+R79+R88+R91+R99+R85+R103+R106+R109+R112+R116+R126+R129+R132+R135+R138+R141+R144+R151+R154+R157+R170</f>
        <v>191858.1125808063</v>
      </c>
      <c r="S371" s="137"/>
      <c r="T371" s="156">
        <f>+T17+T14+T25+T33+T43+T47+T56+T53+T59+T62+T40+T71+T75+T79+T88+T91+T99+T85+T103+T106+T109+T112+T116+T126+T129+T132+T135+T138+T141+T144+T151+T154+T157+T170</f>
        <v>228556.29623238504</v>
      </c>
      <c r="U371" s="137"/>
      <c r="V371" s="156">
        <f>+V17+V14+V25+V33+V43+V47+V56+V53+V59+V62+V40+V71+V75+V79+V88+V91+V99+V85+V103+V106+V109+V112+V116+V126+V129+V132+V135+V138+V141+V144+V151+V154+V157+V170</f>
        <v>234992.42353179737</v>
      </c>
      <c r="X371" s="193">
        <f>SUM(J371:V371)-H371</f>
        <v>0</v>
      </c>
      <c r="Y371" s="193"/>
      <c r="AA371" s="245" t="s">
        <v>337</v>
      </c>
      <c r="AB371" s="142"/>
      <c r="AC371" s="153"/>
      <c r="AD371" s="137"/>
      <c r="AE371" s="156">
        <f>+AE17+AE14+AE25+AE33+AE43+AE47+AE56+AE53+AE59+AE62+AE40+AE71+AE75+AE79+AE88+AE91+AE99+AE85+AE103+AE106+AE109+AE112+AE116+AE126+AE129+AE132+AE135+AE138+AE141+AE144+AE151+AE154+AE157+AE170</f>
        <v>8039623.227870462</v>
      </c>
      <c r="AF371" s="137"/>
      <c r="AG371" s="156">
        <f>+AG17+AG14+AG25+AG33+AG43+AG47+AG56+AG53+AG59+AG62+AG40+AG71+AG75+AG79+AG88+AG91+AG99+AG85+AG103+AG106+AG109+AG112+AG116+AG126+AG129+AG132+AG135+AG138+AG141+AG144+AG151+AG154+AG157+AG170</f>
        <v>3127863.944696746</v>
      </c>
      <c r="AH371" s="137"/>
      <c r="AI371" s="156">
        <f>+AI17+AI14+AI25+AI33+AI43+AI47+AI56+AI53+AI59+AI62+AI40+AI71+AI75+AI79+AI88+AI91+AI99+AI85+AI103+AI106+AI109+AI112+AI116+AI126+AI129+AI132+AI135+AI138+AI141+AI144+AI151+AI154+AI157+AI170</f>
        <v>1466936.3477680946</v>
      </c>
      <c r="AJ371" s="137"/>
      <c r="AK371" s="156">
        <f>+AK17+AK14+AK25+AK33+AK43+AK47+AK56+AK53+AK59+AK62+AK40+AK71+AK75+AK79+AK88+AK91+AK99+AK85+AK103+AK106+AK109+AK112+AK116+AK126+AK129+AK132+AK135+AK138+AK141+AK144+AK151+AK154+AK157+AK170</f>
        <v>1331982.8965919605</v>
      </c>
      <c r="AL371" s="137"/>
      <c r="AM371" s="156">
        <f>+AM17+AM14+AM25+AM33+AM43+AM47+AM56+AM53+AM59+AM62+AM40+AM71+AM75+AM79+AM88+AM91+AM99+AM85+AM103+AM106+AM109+AM112+AM116+AM126+AM129+AM132+AM135+AM138+AM141+AM144+AM151+AM154+AM157+AM170</f>
        <v>124111.91360668557</v>
      </c>
      <c r="AN371" s="137"/>
      <c r="AO371" s="156">
        <f>+AO17+AO14+AO25+AO33+AO43+AO47+AO56+AO53+AO59+AO62+AO40+AO71+AO75+AO79+AO88+AO91+AO99+AO85+AO103+AO106+AO109+AO112+AO116+AO126+AO129+AO132+AO135+AO138+AO141+AO144+AO151+AO154+AO157+AO170</f>
        <v>358471.9460019354</v>
      </c>
      <c r="AP371" s="137"/>
      <c r="AQ371" s="156">
        <f>+AQ17+AQ14+AQ25+AQ33+AQ43+AQ47+AQ56+AQ53+AQ59+AQ62+AQ40+AQ71+AQ75+AQ79+AQ88+AQ91+AQ99+AQ85+AQ103+AQ106+AQ109+AQ112+AQ116+AQ126+AQ129+AQ132+AQ135+AQ138+AQ141+AQ144+AQ151+AQ154+AQ157+AQ170</f>
        <v>1080616.0320799095</v>
      </c>
      <c r="AR371" s="137"/>
      <c r="AS371" s="156">
        <f>+AS17+AS14+AS25+AS33+AS43+AS47+AS56+AS53+AS59+AS62+AS40+AS71+AS75+AS79+AS88+AS91+AS99+AS85+AS103+AS106+AS109+AS112+AS116+AS126+AS129+AS132+AS135+AS138+AS141+AS144+AS151+AS154+AS157+AS170</f>
        <v>98736.1724837158</v>
      </c>
      <c r="AT371" s="137"/>
      <c r="AU371" s="156">
        <f>+AU17+AU14+AU25+AU33+AU43+AU47+AU56+AU53+AU59+AU62+AU40+AU71+AU75+AU79+AU88+AU91+AU99+AU85+AU103+AU106+AU109+AU112+AU116+AU126+AU129+AU132+AU135+AU138+AU141+AU144+AU151+AU154+AU157+AU170</f>
        <v>215922.4902932762</v>
      </c>
      <c r="AV371" s="137"/>
      <c r="AW371" s="156">
        <f>+AW17+AW14+AW25+AW33+AW43+AW47+AW56+AW53+AW59+AW62+AW40+AW71+AW75+AW79+AW88+AW91+AW99+AW85+AW103+AW106+AW109+AW112+AW116+AW126+AW129+AW132+AW135+AW138+AW141+AW144+AW151+AW154+AW157+AW170</f>
        <v>234981.48434813865</v>
      </c>
      <c r="AY371" s="193">
        <f>SUM(AG371:AW371)-AE371</f>
        <v>0</v>
      </c>
    </row>
    <row r="372" spans="4:51" ht="12.75">
      <c r="D372" s="245" t="s">
        <v>338</v>
      </c>
      <c r="J372" s="263">
        <f>ROUND(J371/$H371,4)</f>
        <v>0.5596</v>
      </c>
      <c r="K372" s="263"/>
      <c r="L372" s="263">
        <f>ROUND(L371/$H371,4)</f>
        <v>0.2474</v>
      </c>
      <c r="M372" s="263"/>
      <c r="N372" s="263">
        <f>ROUND(N371/$H371,4)</f>
        <v>0.0275</v>
      </c>
      <c r="O372" s="263"/>
      <c r="P372" s="263">
        <f>ROUND(P371/$H371,4)</f>
        <v>0.084</v>
      </c>
      <c r="Q372" s="263"/>
      <c r="R372" s="263">
        <f>ROUND(R371/$H371,4)</f>
        <v>0.0239</v>
      </c>
      <c r="S372" s="263"/>
      <c r="T372" s="263">
        <f>ROUND(T371/$H371,4)</f>
        <v>0.0284</v>
      </c>
      <c r="U372" s="263"/>
      <c r="V372" s="263">
        <f>ROUND(V371/$H371,4)</f>
        <v>0.0292</v>
      </c>
      <c r="X372" s="263">
        <f>SUM(J372:V372)</f>
        <v>0.9999999999999999</v>
      </c>
      <c r="Y372" s="193"/>
      <c r="AA372" s="245" t="s">
        <v>338</v>
      </c>
      <c r="AB372" s="142"/>
      <c r="AC372" s="153"/>
      <c r="AD372" s="137"/>
      <c r="AE372" s="156"/>
      <c r="AF372" s="137"/>
      <c r="AG372" s="263">
        <f>ROUND(AG371/$H371,4)-0.0001</f>
        <v>0.389</v>
      </c>
      <c r="AH372" s="263"/>
      <c r="AI372" s="263">
        <f>ROUND(AI371/$H371,4)</f>
        <v>0.1825</v>
      </c>
      <c r="AJ372" s="263"/>
      <c r="AK372" s="263">
        <f>ROUND(AK371/$H371,4)</f>
        <v>0.1657</v>
      </c>
      <c r="AL372" s="263"/>
      <c r="AM372" s="263">
        <f>ROUND(AM371/$H371,4)</f>
        <v>0.0154</v>
      </c>
      <c r="AN372" s="263"/>
      <c r="AO372" s="263">
        <f>ROUND(AO371/$H371,4)</f>
        <v>0.0446</v>
      </c>
      <c r="AP372" s="263"/>
      <c r="AQ372" s="263">
        <f>ROUND(AQ371/$H371,4)</f>
        <v>0.1344</v>
      </c>
      <c r="AR372" s="263"/>
      <c r="AS372" s="263">
        <f>ROUND(AS371/$H371,4)</f>
        <v>0.0123</v>
      </c>
      <c r="AT372" s="263"/>
      <c r="AU372" s="263">
        <f>ROUND(AU371/$H371,4)</f>
        <v>0.0269</v>
      </c>
      <c r="AV372" s="263"/>
      <c r="AW372" s="263">
        <f>ROUND(AW371/$H371,4)</f>
        <v>0.0292</v>
      </c>
      <c r="AY372" s="263">
        <f>SUM(AG372:AW372)</f>
        <v>0.9999999999999999</v>
      </c>
    </row>
    <row r="373" spans="4:51" ht="12.75">
      <c r="D373" s="245" t="s">
        <v>340</v>
      </c>
      <c r="H373" s="156">
        <f>+SUM(H288:H323)+SUM(H331:H340)</f>
        <v>396807593.99999994</v>
      </c>
      <c r="J373" s="156">
        <f>+SUM(J288:J323)+SUM(J331:J340)</f>
        <v>197588276.10813877</v>
      </c>
      <c r="K373" s="137"/>
      <c r="L373" s="156">
        <f>+SUM(L288:L323)+SUM(L331:L340)</f>
        <v>105400643.20763525</v>
      </c>
      <c r="M373" s="137"/>
      <c r="N373" s="156">
        <f>+SUM(N288:N323)+SUM(N331:N340)</f>
        <v>12235107.32653602</v>
      </c>
      <c r="O373" s="137"/>
      <c r="P373" s="156">
        <f>+SUM(P288:P323)+SUM(P331:P340)</f>
        <v>37618003.03547455</v>
      </c>
      <c r="Q373" s="137"/>
      <c r="R373" s="156">
        <f>+SUM(R288:R323)+SUM(R331:R340)</f>
        <v>10769889.107189773</v>
      </c>
      <c r="S373" s="137"/>
      <c r="T373" s="156">
        <f>+SUM(T288:T323)+SUM(T331:T340)</f>
        <v>12140222.684891671</v>
      </c>
      <c r="U373" s="137"/>
      <c r="V373" s="156">
        <f>+SUM(V288:V323)+SUM(V331:V340)</f>
        <v>21055452.530133836</v>
      </c>
      <c r="X373" s="193">
        <f>SUM(J373:V373)-H373</f>
        <v>0</v>
      </c>
      <c r="Y373" s="193"/>
      <c r="AA373" s="245" t="s">
        <v>340</v>
      </c>
      <c r="AB373" s="142"/>
      <c r="AC373" s="153"/>
      <c r="AD373" s="137"/>
      <c r="AE373" s="156">
        <f aca="true" t="shared" si="122" ref="AE373:AW373">+SUM(AE288:AE323)+SUM(AE331:AE340)</f>
        <v>396807593.99999994</v>
      </c>
      <c r="AF373" s="137"/>
      <c r="AG373" s="156">
        <f t="shared" si="122"/>
        <v>180464776.81541762</v>
      </c>
      <c r="AH373" s="137"/>
      <c r="AI373" s="156">
        <f t="shared" si="122"/>
        <v>98663246.21770746</v>
      </c>
      <c r="AJ373" s="137"/>
      <c r="AK373" s="156">
        <f t="shared" si="122"/>
        <v>42946648.37904263</v>
      </c>
      <c r="AL373" s="137"/>
      <c r="AM373" s="156">
        <f t="shared" si="122"/>
        <v>26611732.424631145</v>
      </c>
      <c r="AN373" s="137"/>
      <c r="AO373" s="156">
        <f t="shared" si="122"/>
        <v>9025925.415776428</v>
      </c>
      <c r="AP373" s="137"/>
      <c r="AQ373" s="156">
        <f t="shared" si="122"/>
        <v>5224337.0558</v>
      </c>
      <c r="AR373" s="137"/>
      <c r="AS373" s="156">
        <f>+SUM(AS288:AS323)+SUM(AS331:AS340)</f>
        <v>1114299.0599999998</v>
      </c>
      <c r="AT373" s="137"/>
      <c r="AU373" s="156">
        <f t="shared" si="122"/>
        <v>11915064.577061309</v>
      </c>
      <c r="AV373" s="137"/>
      <c r="AW373" s="156">
        <f t="shared" si="122"/>
        <v>20841564.05456337</v>
      </c>
      <c r="AY373" s="193">
        <f>SUM(AG373:AW373)-AE373</f>
        <v>0</v>
      </c>
    </row>
    <row r="374" spans="4:51" ht="12.75">
      <c r="D374" s="245" t="s">
        <v>341</v>
      </c>
      <c r="J374" s="263">
        <f>ROUND(J373/$H373,4)+0.0001</f>
        <v>0.498</v>
      </c>
      <c r="K374" s="263"/>
      <c r="L374" s="263">
        <f>ROUND(L373/$H373,4)</f>
        <v>0.2656</v>
      </c>
      <c r="M374" s="263"/>
      <c r="N374" s="263">
        <f>ROUND(N373/$H373,4)</f>
        <v>0.0308</v>
      </c>
      <c r="O374" s="263"/>
      <c r="P374" s="263">
        <f>ROUND(P373/$H373,4)</f>
        <v>0.0948</v>
      </c>
      <c r="Q374" s="263"/>
      <c r="R374" s="263">
        <f>ROUND(R373/$H373,4)</f>
        <v>0.0271</v>
      </c>
      <c r="S374" s="263"/>
      <c r="T374" s="263">
        <f>ROUND(T373/$H373,4)</f>
        <v>0.0306</v>
      </c>
      <c r="U374" s="263"/>
      <c r="V374" s="263">
        <f>ROUND(V373/$H373,4)</f>
        <v>0.0531</v>
      </c>
      <c r="X374" s="263">
        <f>SUM(J374:V374)</f>
        <v>1</v>
      </c>
      <c r="Y374" s="193"/>
      <c r="AA374" s="245" t="s">
        <v>341</v>
      </c>
      <c r="AB374" s="142"/>
      <c r="AC374" s="153"/>
      <c r="AD374" s="137"/>
      <c r="AE374" s="156"/>
      <c r="AF374" s="137"/>
      <c r="AG374" s="263">
        <f>ROUND(AG373/$H373,4)+0.0001</f>
        <v>0.45489999999999997</v>
      </c>
      <c r="AH374" s="263"/>
      <c r="AI374" s="263">
        <f>ROUND(AI373/$H373,4)</f>
        <v>0.2486</v>
      </c>
      <c r="AJ374" s="263"/>
      <c r="AK374" s="263">
        <f>ROUND(AK373/$H373,4)</f>
        <v>0.1082</v>
      </c>
      <c r="AL374" s="263"/>
      <c r="AM374" s="263">
        <f>ROUND(AM373/$H373,4)</f>
        <v>0.0671</v>
      </c>
      <c r="AN374" s="263"/>
      <c r="AO374" s="263">
        <f>ROUND(AO373/$H373,4)</f>
        <v>0.0227</v>
      </c>
      <c r="AP374" s="263"/>
      <c r="AQ374" s="263">
        <f>ROUND(AQ373/$H373,4)</f>
        <v>0.0132</v>
      </c>
      <c r="AR374" s="263"/>
      <c r="AS374" s="263">
        <f>ROUND(AS373/$H373,4)</f>
        <v>0.0028</v>
      </c>
      <c r="AT374" s="263"/>
      <c r="AU374" s="263">
        <f>ROUND(AU373/$H373,4)</f>
        <v>0.03</v>
      </c>
      <c r="AV374" s="263"/>
      <c r="AW374" s="263">
        <f>ROUND(AW373/$H373,4)</f>
        <v>0.0525</v>
      </c>
      <c r="AY374" s="263">
        <f>SUM(AG374:AW374)</f>
        <v>1.0000000000000002</v>
      </c>
    </row>
    <row r="375" spans="4:51" ht="12.75">
      <c r="D375" s="245" t="s">
        <v>343</v>
      </c>
      <c r="H375" s="156">
        <f>+H355</f>
        <v>362672027.99999994</v>
      </c>
      <c r="J375" s="156">
        <f>+J355</f>
        <v>180738821.6440388</v>
      </c>
      <c r="K375" s="137"/>
      <c r="L375" s="156">
        <f>+L355</f>
        <v>96314222.50273524</v>
      </c>
      <c r="M375" s="137"/>
      <c r="N375" s="156">
        <f>+N355</f>
        <v>11183738.70843602</v>
      </c>
      <c r="O375" s="137"/>
      <c r="P375" s="156">
        <f>+P355</f>
        <v>34369121.48657456</v>
      </c>
      <c r="Q375" s="137"/>
      <c r="R375" s="156">
        <f>+R355</f>
        <v>9843611.54398977</v>
      </c>
      <c r="S375" s="137"/>
      <c r="T375" s="156">
        <f>+T355</f>
        <v>11108618.12839167</v>
      </c>
      <c r="U375" s="137"/>
      <c r="V375" s="156">
        <f>+V355</f>
        <v>19113893.98583384</v>
      </c>
      <c r="X375" s="193">
        <f>SUM(J375:V375)-H375</f>
        <v>0</v>
      </c>
      <c r="Y375" s="193"/>
      <c r="AA375" s="245" t="s">
        <v>343</v>
      </c>
      <c r="AB375" s="142"/>
      <c r="AC375" s="153"/>
      <c r="AD375" s="137"/>
      <c r="AE375" s="156">
        <f>+AE355</f>
        <v>362672027.99999994</v>
      </c>
      <c r="AF375" s="137"/>
      <c r="AG375" s="156">
        <f>+AG355</f>
        <v>165089231.34761766</v>
      </c>
      <c r="AH375" s="137"/>
      <c r="AI375" s="156">
        <f>+AI355</f>
        <v>89741378.52340744</v>
      </c>
      <c r="AJ375" s="137"/>
      <c r="AK375" s="156">
        <f>+AK355</f>
        <v>39576975.954442635</v>
      </c>
      <c r="AL375" s="137"/>
      <c r="AM375" s="156">
        <f>+AM355</f>
        <v>23839340.468531147</v>
      </c>
      <c r="AN375" s="137"/>
      <c r="AO375" s="156">
        <f>+AO355</f>
        <v>8170714.805276427</v>
      </c>
      <c r="AP375" s="137"/>
      <c r="AQ375" s="156">
        <f>+AQ355</f>
        <v>5282165.0018</v>
      </c>
      <c r="AR375" s="137"/>
      <c r="AS375" s="156">
        <f>+AS355</f>
        <v>1145786.9168999998</v>
      </c>
      <c r="AT375" s="137"/>
      <c r="AU375" s="156">
        <f>+AU355</f>
        <v>10901337.052961309</v>
      </c>
      <c r="AV375" s="137"/>
      <c r="AW375" s="156">
        <f>+AW355</f>
        <v>18925097.929063372</v>
      </c>
      <c r="AY375" s="193">
        <f>SUM(AG375:AW375)-AE375</f>
        <v>0</v>
      </c>
    </row>
    <row r="376" spans="4:51" ht="12.75">
      <c r="D376" s="245" t="s">
        <v>342</v>
      </c>
      <c r="J376" s="263">
        <f>ROUND(J375/$H375,4)</f>
        <v>0.4984</v>
      </c>
      <c r="K376" s="263"/>
      <c r="L376" s="263">
        <f>ROUND(L375/$H375,4)</f>
        <v>0.2656</v>
      </c>
      <c r="M376" s="263"/>
      <c r="N376" s="263">
        <f>ROUND(N375/$H375,4)</f>
        <v>0.0308</v>
      </c>
      <c r="O376" s="263"/>
      <c r="P376" s="263">
        <f>ROUND(P375/$H375,4)</f>
        <v>0.0948</v>
      </c>
      <c r="Q376" s="263"/>
      <c r="R376" s="263">
        <f>ROUND(R375/$H375,4)</f>
        <v>0.0271</v>
      </c>
      <c r="S376" s="263"/>
      <c r="T376" s="263">
        <f>ROUND(T375/$H375,4)</f>
        <v>0.0306</v>
      </c>
      <c r="U376" s="263"/>
      <c r="V376" s="263">
        <f>ROUND(V375/$H375,4)</f>
        <v>0.0527</v>
      </c>
      <c r="X376" s="263">
        <f>SUM(J376:V376)</f>
        <v>1</v>
      </c>
      <c r="Y376" s="193"/>
      <c r="AA376" s="245" t="s">
        <v>342</v>
      </c>
      <c r="AB376" s="142"/>
      <c r="AC376" s="153"/>
      <c r="AD376" s="137"/>
      <c r="AE376" s="156"/>
      <c r="AF376" s="137"/>
      <c r="AG376" s="263">
        <f>ROUND(AG375/$H375,4)+0.0001</f>
        <v>0.4553</v>
      </c>
      <c r="AH376" s="263"/>
      <c r="AI376" s="263">
        <f>ROUND(AI375/$H375,4)</f>
        <v>0.2474</v>
      </c>
      <c r="AJ376" s="263"/>
      <c r="AK376" s="263">
        <f>ROUND(AK375/$H375,4)</f>
        <v>0.1091</v>
      </c>
      <c r="AL376" s="263"/>
      <c r="AM376" s="263">
        <f>ROUND(AM375/$H375,4)</f>
        <v>0.0657</v>
      </c>
      <c r="AN376" s="263"/>
      <c r="AO376" s="263">
        <f>ROUND(AO375/$H375,4)</f>
        <v>0.0225</v>
      </c>
      <c r="AP376" s="263"/>
      <c r="AQ376" s="263">
        <f>ROUND(AQ375/$H375,4)-0.0001</f>
        <v>0.0145</v>
      </c>
      <c r="AR376" s="263"/>
      <c r="AS376" s="263">
        <f>ROUND(AS375/$H375,4)</f>
        <v>0.0032</v>
      </c>
      <c r="AT376" s="263"/>
      <c r="AU376" s="263">
        <f>ROUND(AU375/$H375,4)</f>
        <v>0.0301</v>
      </c>
      <c r="AV376" s="263"/>
      <c r="AW376" s="263">
        <f>ROUND(AW375/$H375,4)</f>
        <v>0.0522</v>
      </c>
      <c r="AY376" s="263">
        <f>SUM(AG376:AW376)</f>
        <v>0.9999999999999999</v>
      </c>
    </row>
    <row r="377" spans="4:51" ht="12.75">
      <c r="D377" s="245" t="s">
        <v>344</v>
      </c>
      <c r="H377" s="156">
        <f>+H37+H66+H95+H148+H163+SUM(H169:H180)+SUM(H182:H183)+H187+H247+H254+H257+H258+H260+H265+H268+H273+H275+H276</f>
        <v>96611552.86804679</v>
      </c>
      <c r="J377" s="156">
        <f>+J37+J66+J95+J148+J163+SUM(J169:J180)+SUM(J182:J183)+J187+J247+J254+J257+J258+J260+J265+J268+J273+J275+J276</f>
        <v>52218131.750613935</v>
      </c>
      <c r="K377" s="137"/>
      <c r="L377" s="156">
        <f>+L37+L66+L95+L148+L163+SUM(L169:L180)+SUM(L182:L183)+L187+L247+L254+L257+L258+L260+L265+L268+L273+L275+L276</f>
        <v>24285304.105399318</v>
      </c>
      <c r="M377" s="137"/>
      <c r="N377" s="156">
        <f>+N37+N66+N95+N148+N163+SUM(N169:N180)+SUM(N182:N183)+N187+N247+N254+N257+N258+N260+N265+N268+N273+N275+N276</f>
        <v>2764010.6321985363</v>
      </c>
      <c r="O377" s="137"/>
      <c r="P377" s="156">
        <f>+P37+P66+P95+P148+P163+SUM(P169:P180)+SUM(P182:P183)+P187+P247+P254+P257+P258+P260+P265+P268+P273+P275+P276</f>
        <v>8492475.116540533</v>
      </c>
      <c r="Q377" s="137"/>
      <c r="R377" s="156">
        <f>+R37+R66+R95+R148+R163+SUM(R169:R180)+SUM(R182:R183)+R187+R247+R254+R257+R258+R260+R265+R268+R273+R275+R276</f>
        <v>2430098.6452960623</v>
      </c>
      <c r="S377" s="137"/>
      <c r="T377" s="156">
        <f>+T37+T66+T95+T148+T163+SUM(T169:T180)+SUM(T182:T183)+T187+T247+T254+T257+T258+T260+T265+T268+T273+T275+T276</f>
        <v>2655725.0398955233</v>
      </c>
      <c r="U377" s="137"/>
      <c r="V377" s="156">
        <f>+V37+V66+V95+V148+V163+SUM(V169:V180)+SUM(V182:V183)+V187+V247+V254+V257+V258+V260+V265+V268+V273+V275+V276</f>
        <v>3765807.5781028904</v>
      </c>
      <c r="X377" s="193">
        <f>SUM(J377:V377)-H377</f>
        <v>0</v>
      </c>
      <c r="Y377" s="193"/>
      <c r="AA377" s="245" t="s">
        <v>344</v>
      </c>
      <c r="AB377" s="142"/>
      <c r="AC377" s="153"/>
      <c r="AD377" s="137"/>
      <c r="AE377" s="156">
        <f>+AE37+AE66+AE95+AE148+AE163+SUM(AE169:AE180)+SUM(AE182:AE183)+AE187+AE247+AE254+AE257+AE258+AE260+AE265+AE268+AE273+AE275+AE276</f>
        <v>96611552.86804679</v>
      </c>
      <c r="AF377" s="137"/>
      <c r="AG377" s="156">
        <f>+AG37+AG66+AG95+AG148+AG163+SUM(AG169:AG180)+SUM(AG182:AG183)+AG187+AG247+AG254+AG257+AG258+AG260+AG265+AG268+AG273+AG275+AG276</f>
        <v>43020709.58719768</v>
      </c>
      <c r="AH377" s="137"/>
      <c r="AI377" s="156">
        <f>+AI37+AI66+AI95+AI148+AI163+SUM(AI169:AI180)+SUM(AI182:AI183)+AI187+AI247+AI254+AI257+AI258+AI260+AI265+AI268+AI273+AI275+AI276</f>
        <v>19025013.467369873</v>
      </c>
      <c r="AJ377" s="137"/>
      <c r="AK377" s="156">
        <f>+AK37+AK66+AK95+AK148+AK163+SUM(AK169:AK180)+SUM(AK182:AK183)+AK187+AK247+AK254+AK257+AK258+AK260+AK265+AK268+AK273+AK275+AK276</f>
        <v>10405970.00845181</v>
      </c>
      <c r="AL377" s="137"/>
      <c r="AM377" s="156">
        <f>+AM37+AM66+AM95+AM148+AM163+SUM(AM169:AM180)+SUM(AM182:AM183)+AM187+AM247+AM254+AM257+AM258+AM260+AM265+AM268+AM273+AM275+AM276</f>
        <v>4411576.7891961895</v>
      </c>
      <c r="AN377" s="137"/>
      <c r="AO377" s="156">
        <f>+AO37+AO66+AO95+AO148+AO163+SUM(AO169:AO180)+SUM(AO182:AO183)+AO187+AO247+AO254+AO257+AO258+AO260+AO265+AO268+AO273+AO275+AO276</f>
        <v>2673678.328021957</v>
      </c>
      <c r="AP377" s="137"/>
      <c r="AQ377" s="156">
        <f>+AQ37+AQ66+AQ95+AQ148+AQ163+SUM(AQ169:AQ180)+SUM(AQ182:AQ183)+AQ187+AQ247+AQ254+AQ257+AQ258+AQ260+AQ265+AQ268+AQ273+AQ275+AQ276</f>
        <v>8974250.515903609</v>
      </c>
      <c r="AR377" s="137"/>
      <c r="AS377" s="156">
        <f>+AS37+AS66+AS95+AS148+AS163+SUM(AS169:AS180)+SUM(AS182:AS183)+AS187+AS247+AS254+AS257+AS258+AS260+AS265+AS268+AS273+AS275+AS276</f>
        <v>1812863.7264693482</v>
      </c>
      <c r="AT377" s="137"/>
      <c r="AU377" s="156">
        <f>+AU37+AU66+AU95+AU148+AU163+SUM(AU169:AU180)+SUM(AU182:AU183)+AU187+AU247+AU254+AU257+AU258+AU260+AU265+AU268+AU273+AU275+AU276</f>
        <v>2549864.6724841357</v>
      </c>
      <c r="AV377" s="137"/>
      <c r="AW377" s="156">
        <f>+AW37+AW66+AW95+AW148+AW163+SUM(AW169:AW180)+SUM(AW182:AW183)+AW187+AW247+AW254+AW257+AW258+AW260+AW265+AW268+AW273+AW275+AW276</f>
        <v>3737625.772952202</v>
      </c>
      <c r="AY377" s="193">
        <f>SUM(AG377:AW377)-AE377</f>
        <v>0</v>
      </c>
    </row>
    <row r="378" spans="4:51" ht="12.75">
      <c r="D378" s="245" t="s">
        <v>345</v>
      </c>
      <c r="J378" s="263">
        <f>ROUND(J377/$H377,4)-0.0001</f>
        <v>0.5404</v>
      </c>
      <c r="K378" s="263"/>
      <c r="L378" s="263">
        <f>ROUND(L377/$H377,4)</f>
        <v>0.2514</v>
      </c>
      <c r="M378" s="263"/>
      <c r="N378" s="263">
        <f>ROUND(N377/$H377,4)</f>
        <v>0.0286</v>
      </c>
      <c r="O378" s="263"/>
      <c r="P378" s="263">
        <f>ROUND(P377/$H377,4)</f>
        <v>0.0879</v>
      </c>
      <c r="Q378" s="263"/>
      <c r="R378" s="263">
        <f>ROUND(R377/$H377,4)</f>
        <v>0.0252</v>
      </c>
      <c r="S378" s="263"/>
      <c r="T378" s="263">
        <f>ROUND(T377/$H377,4)</f>
        <v>0.0275</v>
      </c>
      <c r="U378" s="263"/>
      <c r="V378" s="263">
        <f>ROUND(V377/$H377,4)</f>
        <v>0.039</v>
      </c>
      <c r="X378" s="263">
        <f>SUM(J378:V378)</f>
        <v>1</v>
      </c>
      <c r="Y378" s="193"/>
      <c r="AA378" s="245" t="s">
        <v>345</v>
      </c>
      <c r="AB378" s="142"/>
      <c r="AC378" s="153"/>
      <c r="AD378" s="137"/>
      <c r="AE378" s="156"/>
      <c r="AF378" s="137"/>
      <c r="AG378" s="263">
        <f>ROUND(AG377/$H377,4)</f>
        <v>0.4453</v>
      </c>
      <c r="AH378" s="263"/>
      <c r="AI378" s="263">
        <f>ROUND(AI377/$H377,4)</f>
        <v>0.1969</v>
      </c>
      <c r="AJ378" s="263"/>
      <c r="AK378" s="263">
        <f>ROUND(AK377/$H377,4)</f>
        <v>0.1077</v>
      </c>
      <c r="AL378" s="263"/>
      <c r="AM378" s="263">
        <f>ROUND(AM377/$H377,4)</f>
        <v>0.0457</v>
      </c>
      <c r="AN378" s="263"/>
      <c r="AO378" s="263">
        <f>ROUND(AO377/$H377,4)</f>
        <v>0.0277</v>
      </c>
      <c r="AP378" s="263"/>
      <c r="AQ378" s="263">
        <f>ROUND(AQ377/$H377,4)</f>
        <v>0.0929</v>
      </c>
      <c r="AR378" s="263"/>
      <c r="AS378" s="263">
        <f>ROUND(AS377/$H377,4)</f>
        <v>0.0188</v>
      </c>
      <c r="AT378" s="263"/>
      <c r="AU378" s="263">
        <f>ROUND(AU377/$H377,4)</f>
        <v>0.0264</v>
      </c>
      <c r="AV378" s="263"/>
      <c r="AW378" s="263">
        <f>ROUND(AW377/$H377,4)</f>
        <v>0.0387</v>
      </c>
      <c r="AY378" s="263">
        <f>SUM(AG378:AW378)</f>
        <v>1.0001</v>
      </c>
    </row>
    <row r="379" spans="4:25" ht="12.75">
      <c r="D379" s="245"/>
      <c r="J379" s="263"/>
      <c r="K379" s="263"/>
      <c r="L379" s="263"/>
      <c r="M379" s="263"/>
      <c r="N379" s="263"/>
      <c r="O379" s="263"/>
      <c r="P379" s="263"/>
      <c r="Q379" s="263"/>
      <c r="R379" s="263"/>
      <c r="S379" s="263"/>
      <c r="T379" s="263"/>
      <c r="U379" s="263"/>
      <c r="V379" s="263"/>
      <c r="X379" s="263"/>
      <c r="Y379" s="193"/>
    </row>
    <row r="380" spans="4:25" ht="12.75">
      <c r="D380" s="245"/>
      <c r="J380" s="263"/>
      <c r="K380" s="263"/>
      <c r="L380" s="263"/>
      <c r="M380" s="263"/>
      <c r="N380" s="263"/>
      <c r="O380" s="263"/>
      <c r="P380" s="263"/>
      <c r="Q380" s="263"/>
      <c r="R380" s="263"/>
      <c r="S380" s="263"/>
      <c r="T380" s="263"/>
      <c r="U380" s="263"/>
      <c r="V380" s="263"/>
      <c r="X380" s="263"/>
      <c r="Y380" s="193"/>
    </row>
    <row r="381" spans="4:25" ht="12.75">
      <c r="D381" s="245"/>
      <c r="J381" s="263"/>
      <c r="K381" s="263"/>
      <c r="L381" s="263"/>
      <c r="M381" s="263"/>
      <c r="N381" s="263"/>
      <c r="O381" s="263"/>
      <c r="P381" s="263"/>
      <c r="Q381" s="263"/>
      <c r="R381" s="263"/>
      <c r="S381" s="263"/>
      <c r="T381" s="263"/>
      <c r="U381" s="263"/>
      <c r="V381" s="263"/>
      <c r="X381" s="263"/>
      <c r="Y381" s="193"/>
    </row>
    <row r="382" spans="24:39" ht="12.75">
      <c r="X382" s="247"/>
      <c r="Z382" s="249"/>
      <c r="AA382" s="139"/>
      <c r="AB382" s="249"/>
      <c r="AC382" s="249"/>
      <c r="AD382" s="249"/>
      <c r="AE382" s="249"/>
      <c r="AF382" s="249"/>
      <c r="AG382" s="249"/>
      <c r="AH382" s="249"/>
      <c r="AI382" s="249"/>
      <c r="AJ382" s="249"/>
      <c r="AK382" s="249"/>
      <c r="AL382" s="249"/>
      <c r="AM382" s="249"/>
    </row>
    <row r="383" spans="10:39" ht="12.75">
      <c r="J383" s="248" t="s">
        <v>364</v>
      </c>
      <c r="X383" s="247"/>
      <c r="Z383" s="249"/>
      <c r="AA383" s="139"/>
      <c r="AB383" s="249"/>
      <c r="AC383" s="249"/>
      <c r="AD383" s="249"/>
      <c r="AE383" s="249"/>
      <c r="AF383" s="249"/>
      <c r="AG383" s="249"/>
      <c r="AH383" s="249"/>
      <c r="AI383" s="249"/>
      <c r="AJ383" s="249"/>
      <c r="AK383" s="249"/>
      <c r="AL383" s="249"/>
      <c r="AM383" s="249"/>
    </row>
    <row r="384" spans="9:49" ht="12.75">
      <c r="I384" s="249"/>
      <c r="J384" s="250">
        <v>2</v>
      </c>
      <c r="K384" s="249"/>
      <c r="L384" s="249">
        <v>4</v>
      </c>
      <c r="M384" s="249"/>
      <c r="N384" s="249">
        <v>6</v>
      </c>
      <c r="O384" s="249"/>
      <c r="P384" s="249">
        <v>8</v>
      </c>
      <c r="Q384" s="249"/>
      <c r="R384" s="249">
        <v>10</v>
      </c>
      <c r="S384" s="249"/>
      <c r="T384" s="249">
        <v>12</v>
      </c>
      <c r="U384" s="249"/>
      <c r="V384" s="249">
        <v>14</v>
      </c>
      <c r="W384" s="249"/>
      <c r="X384" s="249">
        <v>20</v>
      </c>
      <c r="AG384" s="283">
        <v>2</v>
      </c>
      <c r="AH384" s="283"/>
      <c r="AI384" s="283">
        <v>4</v>
      </c>
      <c r="AJ384" s="283"/>
      <c r="AK384" s="283">
        <v>6</v>
      </c>
      <c r="AL384" s="283"/>
      <c r="AM384" s="283">
        <v>8</v>
      </c>
      <c r="AN384" s="283"/>
      <c r="AO384" s="283">
        <v>10</v>
      </c>
      <c r="AP384" s="283"/>
      <c r="AQ384" s="283">
        <v>12</v>
      </c>
      <c r="AR384" s="283"/>
      <c r="AS384" s="283">
        <v>14</v>
      </c>
      <c r="AT384" s="283"/>
      <c r="AU384" s="283">
        <v>16</v>
      </c>
      <c r="AV384" s="283"/>
      <c r="AW384" s="283">
        <v>18</v>
      </c>
    </row>
    <row r="385" spans="9:49" ht="12.75">
      <c r="I385" s="247"/>
      <c r="J385" s="251" t="s">
        <v>383</v>
      </c>
      <c r="K385" s="249"/>
      <c r="L385" s="252" t="s">
        <v>384</v>
      </c>
      <c r="M385" s="249"/>
      <c r="N385" s="252" t="s">
        <v>385</v>
      </c>
      <c r="O385" s="249"/>
      <c r="P385" s="252" t="s">
        <v>368</v>
      </c>
      <c r="Q385" s="249"/>
      <c r="R385" s="252" t="s">
        <v>510</v>
      </c>
      <c r="S385" s="253"/>
      <c r="T385" s="252" t="s">
        <v>315</v>
      </c>
      <c r="U385" s="249"/>
      <c r="V385" s="252" t="s">
        <v>316</v>
      </c>
      <c r="W385" s="249"/>
      <c r="X385" s="252" t="s">
        <v>512</v>
      </c>
      <c r="AG385" s="284"/>
      <c r="AH385" s="284"/>
      <c r="AI385" s="284"/>
      <c r="AJ385" s="284"/>
      <c r="AK385" s="284"/>
      <c r="AL385" s="284"/>
      <c r="AM385" s="284"/>
      <c r="AN385" s="284"/>
      <c r="AO385" s="284"/>
      <c r="AP385" s="284"/>
      <c r="AQ385" s="284" t="s">
        <v>619</v>
      </c>
      <c r="AR385" s="284"/>
      <c r="AS385" s="284"/>
      <c r="AT385" s="284"/>
      <c r="AU385" s="284" t="s">
        <v>790</v>
      </c>
      <c r="AV385" s="284"/>
      <c r="AW385" s="284" t="s">
        <v>316</v>
      </c>
    </row>
    <row r="386" spans="9:49" ht="12.75">
      <c r="I386" s="247"/>
      <c r="J386" s="250"/>
      <c r="K386" s="247"/>
      <c r="L386" s="247"/>
      <c r="M386" s="247"/>
      <c r="N386" s="247"/>
      <c r="O386" s="247"/>
      <c r="P386" s="247"/>
      <c r="Q386" s="247"/>
      <c r="R386" s="247"/>
      <c r="S386" s="247"/>
      <c r="T386" s="247"/>
      <c r="U386" s="247"/>
      <c r="V386" s="247"/>
      <c r="W386" s="247"/>
      <c r="X386" s="247"/>
      <c r="AG386" s="284" t="s">
        <v>616</v>
      </c>
      <c r="AH386" s="284"/>
      <c r="AI386" s="284" t="s">
        <v>617</v>
      </c>
      <c r="AJ386" s="284"/>
      <c r="AK386" s="284" t="s">
        <v>618</v>
      </c>
      <c r="AL386" s="284"/>
      <c r="AM386" s="284" t="s">
        <v>571</v>
      </c>
      <c r="AN386" s="284"/>
      <c r="AO386" s="284" t="s">
        <v>517</v>
      </c>
      <c r="AP386" s="284"/>
      <c r="AQ386" s="284" t="s">
        <v>620</v>
      </c>
      <c r="AR386" s="284"/>
      <c r="AS386" s="284"/>
      <c r="AT386" s="284"/>
      <c r="AU386" s="284" t="s">
        <v>513</v>
      </c>
      <c r="AV386" s="284"/>
      <c r="AW386" s="284" t="s">
        <v>513</v>
      </c>
    </row>
    <row r="387" spans="9:24" ht="12.75">
      <c r="I387" s="247"/>
      <c r="J387" s="250"/>
      <c r="K387" s="247"/>
      <c r="L387" s="254"/>
      <c r="M387" s="247"/>
      <c r="N387" s="254"/>
      <c r="O387" s="247"/>
      <c r="P387" s="254"/>
      <c r="Q387" s="247"/>
      <c r="R387" s="254"/>
      <c r="S387" s="247"/>
      <c r="T387" s="254"/>
      <c r="U387" s="247"/>
      <c r="V387" s="254"/>
      <c r="W387" s="247"/>
      <c r="X387" s="254"/>
    </row>
    <row r="388" spans="9:51" ht="12.75">
      <c r="I388" s="247">
        <v>1</v>
      </c>
      <c r="J388" s="257">
        <f>'F 1-2'!K16</f>
        <v>0.4883</v>
      </c>
      <c r="K388" s="257"/>
      <c r="L388" s="257">
        <f>'F 1-2'!K17</f>
        <v>0.3058</v>
      </c>
      <c r="M388" s="257"/>
      <c r="N388" s="257">
        <f>'F 1-2'!K18</f>
        <v>0.041</v>
      </c>
      <c r="O388" s="257"/>
      <c r="P388" s="257">
        <f>'F 1-2'!K19</f>
        <v>0.1223</v>
      </c>
      <c r="Q388" s="257"/>
      <c r="R388" s="257">
        <f>'F 1-2'!K20</f>
        <v>0.0371</v>
      </c>
      <c r="S388" s="257"/>
      <c r="T388" s="257">
        <f>'F 1-2'!K21</f>
        <v>0.0025</v>
      </c>
      <c r="U388" s="257"/>
      <c r="V388" s="257">
        <f>'F 1-2'!K22</f>
        <v>0.003</v>
      </c>
      <c r="W388" s="255"/>
      <c r="X388" s="255">
        <f aca="true" t="shared" si="123" ref="X388:X397">SUM(J388:W388)</f>
        <v>1</v>
      </c>
      <c r="AF388" s="283">
        <v>1</v>
      </c>
      <c r="AG388" s="282">
        <f>1-AU388-AW388</f>
        <v>0.9945</v>
      </c>
      <c r="AH388" s="282"/>
      <c r="AI388" s="282">
        <v>0</v>
      </c>
      <c r="AJ388" s="282"/>
      <c r="AK388" s="282">
        <v>0</v>
      </c>
      <c r="AL388" s="282"/>
      <c r="AM388" s="282">
        <v>0</v>
      </c>
      <c r="AN388" s="282"/>
      <c r="AO388" s="282">
        <v>0</v>
      </c>
      <c r="AP388" s="282"/>
      <c r="AQ388" s="282">
        <v>0</v>
      </c>
      <c r="AR388" s="282"/>
      <c r="AS388" s="282"/>
      <c r="AT388" s="282"/>
      <c r="AU388" s="282">
        <f>+'F 1-2'!K21</f>
        <v>0.0025</v>
      </c>
      <c r="AV388" s="282"/>
      <c r="AW388" s="282">
        <f>+'F 1-2'!K22</f>
        <v>0.003</v>
      </c>
      <c r="AX388" s="282"/>
      <c r="AY388" s="282">
        <f>SUM(AG388:AW388)</f>
        <v>1</v>
      </c>
    </row>
    <row r="389" spans="9:51" ht="12.75">
      <c r="I389" s="247">
        <v>2</v>
      </c>
      <c r="J389" s="257">
        <f>'F 1-2'!M39</f>
        <v>0.5006999999999999</v>
      </c>
      <c r="K389" s="257"/>
      <c r="L389" s="257">
        <f>'F 1-2'!M40</f>
        <v>0.3063</v>
      </c>
      <c r="M389" s="257"/>
      <c r="N389" s="257">
        <f>'F 1-2'!M41</f>
        <v>0.0383</v>
      </c>
      <c r="O389" s="257"/>
      <c r="P389" s="257">
        <f>'F 1-2'!M42</f>
        <v>0.1168</v>
      </c>
      <c r="Q389" s="257"/>
      <c r="R389" s="257">
        <f>'F 1-2'!M43</f>
        <v>0.0346</v>
      </c>
      <c r="S389" s="257"/>
      <c r="T389" s="257">
        <f>'F 1-2'!M44</f>
        <v>0.0015</v>
      </c>
      <c r="U389" s="257"/>
      <c r="V389" s="257">
        <f>'F 1-2'!M45</f>
        <v>0.0018</v>
      </c>
      <c r="W389" s="255"/>
      <c r="X389" s="255">
        <f t="shared" si="123"/>
        <v>0.9999999999999999</v>
      </c>
      <c r="AF389" s="283">
        <v>2</v>
      </c>
      <c r="AG389" s="282">
        <f>+'F 2 B'!H33-'COS 1'!AU389-AW389</f>
        <v>0.6028</v>
      </c>
      <c r="AH389" s="282"/>
      <c r="AI389" s="282">
        <f>+'F 2 B'!H35</f>
        <v>0.3939</v>
      </c>
      <c r="AJ389" s="282"/>
      <c r="AK389" s="282">
        <v>0</v>
      </c>
      <c r="AL389" s="282"/>
      <c r="AM389" s="282">
        <v>0</v>
      </c>
      <c r="AN389" s="282"/>
      <c r="AO389" s="282">
        <v>0</v>
      </c>
      <c r="AP389" s="282"/>
      <c r="AQ389" s="282">
        <v>0</v>
      </c>
      <c r="AR389" s="282"/>
      <c r="AS389" s="282"/>
      <c r="AT389" s="282"/>
      <c r="AU389" s="282">
        <f>+'F 1-2'!G44</f>
        <v>0.0015</v>
      </c>
      <c r="AV389" s="282"/>
      <c r="AW389" s="282">
        <f>+'F 1-2'!M45</f>
        <v>0.0018</v>
      </c>
      <c r="AX389" s="282"/>
      <c r="AY389" s="282">
        <f>SUM(AG389:AW389)</f>
        <v>0.9999999999999999</v>
      </c>
    </row>
    <row r="390" spans="9:51" ht="12.75">
      <c r="I390" s="247">
        <v>3</v>
      </c>
      <c r="J390" s="257">
        <f>'F 3-4'!P19</f>
        <v>0.45699999999999996</v>
      </c>
      <c r="K390" s="257"/>
      <c r="L390" s="257">
        <f>'F 3-4'!P20</f>
        <v>0.2797</v>
      </c>
      <c r="M390" s="257"/>
      <c r="N390" s="257">
        <f>'F 3-4'!P21</f>
        <v>0.0349</v>
      </c>
      <c r="O390" s="257"/>
      <c r="P390" s="257">
        <f>'F 3-4'!P22</f>
        <v>0.10669999999999999</v>
      </c>
      <c r="Q390" s="257"/>
      <c r="R390" s="257">
        <f>'F 3-4'!P23</f>
        <v>0.0315</v>
      </c>
      <c r="S390" s="257"/>
      <c r="T390" s="257">
        <f>'F 3-4'!P24</f>
        <v>0.0405</v>
      </c>
      <c r="U390" s="257"/>
      <c r="V390" s="257">
        <f>'F 3-4'!P25</f>
        <v>0.0497</v>
      </c>
      <c r="W390" s="255"/>
      <c r="X390" s="255">
        <f t="shared" si="123"/>
        <v>0.9999999999999999</v>
      </c>
      <c r="AF390" s="283">
        <v>3</v>
      </c>
      <c r="AG390" s="282">
        <f>+'F 3-4'!F17</f>
        <v>0.5533</v>
      </c>
      <c r="AH390" s="282"/>
      <c r="AI390" s="282">
        <f>+'F 3-4'!J17</f>
        <v>0.3596</v>
      </c>
      <c r="AJ390" s="282"/>
      <c r="AK390" s="282">
        <v>0</v>
      </c>
      <c r="AL390" s="282"/>
      <c r="AM390" s="282">
        <v>0</v>
      </c>
      <c r="AN390" s="282"/>
      <c r="AO390" s="282">
        <v>0</v>
      </c>
      <c r="AP390" s="282"/>
      <c r="AQ390" s="282">
        <v>0</v>
      </c>
      <c r="AR390" s="282"/>
      <c r="AS390" s="282"/>
      <c r="AT390" s="282"/>
      <c r="AU390" s="282">
        <f>+'F 3-4'!N24</f>
        <v>0.0391</v>
      </c>
      <c r="AV390" s="282"/>
      <c r="AW390" s="282">
        <f>+'F 3-4'!N25</f>
        <v>0.048</v>
      </c>
      <c r="AX390" s="282"/>
      <c r="AY390" s="282">
        <f aca="true" t="shared" si="124" ref="AY390:AY408">SUM(AG390:AW390)</f>
        <v>1</v>
      </c>
    </row>
    <row r="391" spans="9:51" ht="12.75">
      <c r="I391" s="247">
        <v>4</v>
      </c>
      <c r="J391" s="257">
        <f>'F 3-4'!R49</f>
        <v>0.4516</v>
      </c>
      <c r="K391" s="257"/>
      <c r="L391" s="257">
        <f>'F 3-4'!R50</f>
        <v>0.2724</v>
      </c>
      <c r="M391" s="257"/>
      <c r="N391" s="257">
        <f>'F 3-4'!R51</f>
        <v>0.0302</v>
      </c>
      <c r="O391" s="257"/>
      <c r="P391" s="257">
        <f>'F 3-4'!R52</f>
        <v>0.0882</v>
      </c>
      <c r="Q391" s="257"/>
      <c r="R391" s="257">
        <f>'F 3-4'!R53</f>
        <v>0.024300000000000002</v>
      </c>
      <c r="S391" s="257"/>
      <c r="T391" s="257">
        <f>'F 3-4'!R54</f>
        <v>0.0598</v>
      </c>
      <c r="U391" s="257"/>
      <c r="V391" s="257">
        <f>'F 3-4'!R55</f>
        <v>0.07350000000000001</v>
      </c>
      <c r="W391" s="255"/>
      <c r="X391" s="255">
        <f t="shared" si="123"/>
        <v>1</v>
      </c>
      <c r="AF391" s="283">
        <v>4</v>
      </c>
      <c r="AG391" s="282">
        <f>+'F 3-4'!H47-'F 3-4'!H54-'F 3-4'!H55</f>
        <v>0.3455</v>
      </c>
      <c r="AH391" s="282"/>
      <c r="AI391" s="282">
        <v>0</v>
      </c>
      <c r="AJ391" s="282"/>
      <c r="AK391" s="282">
        <f>+'F 3-4'!L47</f>
        <v>0.5212</v>
      </c>
      <c r="AL391" s="282"/>
      <c r="AM391" s="282">
        <v>0</v>
      </c>
      <c r="AN391" s="282"/>
      <c r="AO391" s="282">
        <v>0</v>
      </c>
      <c r="AP391" s="282"/>
      <c r="AQ391" s="282">
        <v>0</v>
      </c>
      <c r="AR391" s="282"/>
      <c r="AS391" s="282"/>
      <c r="AT391" s="282"/>
      <c r="AU391" s="282">
        <f>+'F 3-4'!R54</f>
        <v>0.0598</v>
      </c>
      <c r="AV391" s="282"/>
      <c r="AW391" s="282">
        <f>+'F 3-4'!R55</f>
        <v>0.07350000000000001</v>
      </c>
      <c r="AX391" s="282"/>
      <c r="AY391" s="282">
        <f t="shared" si="124"/>
        <v>1</v>
      </c>
    </row>
    <row r="392" spans="9:51" ht="12.75">
      <c r="I392" s="247">
        <v>5</v>
      </c>
      <c r="J392" s="257">
        <f>'F 5'!R18</f>
        <v>0.40590000000000004</v>
      </c>
      <c r="K392" s="257"/>
      <c r="L392" s="257">
        <f>'F 5'!R19</f>
        <v>0.2449</v>
      </c>
      <c r="M392" s="257"/>
      <c r="N392" s="257">
        <f>'F 5'!R20</f>
        <v>0.027200000000000002</v>
      </c>
      <c r="O392" s="257"/>
      <c r="P392" s="257">
        <f>'F 5'!R21</f>
        <v>0.0793</v>
      </c>
      <c r="Q392" s="257"/>
      <c r="R392" s="257">
        <f>'F 5'!R22</f>
        <v>0.0218</v>
      </c>
      <c r="S392" s="257"/>
      <c r="T392" s="257">
        <f>'F 5'!R23</f>
        <v>0.09899999999999999</v>
      </c>
      <c r="U392" s="257"/>
      <c r="V392" s="257">
        <f>'F 5'!R24</f>
        <v>0.1219</v>
      </c>
      <c r="W392" s="255"/>
      <c r="X392" s="255">
        <f t="shared" si="123"/>
        <v>1</v>
      </c>
      <c r="AF392" s="283">
        <v>5</v>
      </c>
      <c r="AG392" s="282">
        <f>+'F 5'!H16-'F 5'!H23-'F 5'!H24</f>
        <v>0.3106</v>
      </c>
      <c r="AH392" s="282"/>
      <c r="AI392" s="282">
        <v>0</v>
      </c>
      <c r="AJ392" s="282"/>
      <c r="AK392" s="282">
        <f>+'F 5'!L16</f>
        <v>0.4685</v>
      </c>
      <c r="AL392" s="282"/>
      <c r="AM392" s="282">
        <v>0</v>
      </c>
      <c r="AN392" s="282"/>
      <c r="AO392" s="282">
        <v>0</v>
      </c>
      <c r="AP392" s="282"/>
      <c r="AQ392" s="282">
        <v>0</v>
      </c>
      <c r="AR392" s="282"/>
      <c r="AS392" s="282"/>
      <c r="AT392" s="282"/>
      <c r="AU392" s="282">
        <f>+'F 5'!R23</f>
        <v>0.09899999999999999</v>
      </c>
      <c r="AV392" s="282"/>
      <c r="AW392" s="282">
        <f>+'F 5'!R24</f>
        <v>0.1219</v>
      </c>
      <c r="AX392" s="282"/>
      <c r="AY392" s="282">
        <f t="shared" si="124"/>
        <v>1</v>
      </c>
    </row>
    <row r="393" spans="9:51" ht="12.75">
      <c r="I393" s="247">
        <v>6</v>
      </c>
      <c r="J393" s="257">
        <f>'F6-7'!P18</f>
        <v>0.47419999999999995</v>
      </c>
      <c r="K393" s="257"/>
      <c r="L393" s="257">
        <f>'F6-7'!P19</f>
        <v>0.289</v>
      </c>
      <c r="M393" s="257"/>
      <c r="N393" s="257">
        <f>'F6-7'!P20</f>
        <v>0.0351</v>
      </c>
      <c r="O393" s="257"/>
      <c r="P393" s="257">
        <f>'F6-7'!P21</f>
        <v>0.10600000000000001</v>
      </c>
      <c r="Q393" s="257"/>
      <c r="R393" s="257">
        <f>'F6-7'!P22</f>
        <v>0.0308</v>
      </c>
      <c r="S393" s="257"/>
      <c r="T393" s="257">
        <f>'F6-7'!P23</f>
        <v>0.0291</v>
      </c>
      <c r="U393" s="257"/>
      <c r="V393" s="257">
        <f>'F6-7'!P24</f>
        <v>0.0358</v>
      </c>
      <c r="W393" s="255"/>
      <c r="X393" s="255">
        <f t="shared" si="123"/>
        <v>1</v>
      </c>
      <c r="AF393" s="283">
        <v>6</v>
      </c>
      <c r="AG393" s="282">
        <f>+'F6-7'!Y18</f>
        <v>0.5175394999999999</v>
      </c>
      <c r="AH393" s="282"/>
      <c r="AI393" s="282">
        <f>+'F6-7'!Y19</f>
        <v>0.2774</v>
      </c>
      <c r="AJ393" s="282"/>
      <c r="AK393" s="282">
        <f>+'F6-7'!Y20</f>
        <v>0.14020280000000002</v>
      </c>
      <c r="AL393" s="282"/>
      <c r="AM393" s="282"/>
      <c r="AN393" s="282"/>
      <c r="AO393" s="282"/>
      <c r="AP393" s="282"/>
      <c r="AQ393" s="282"/>
      <c r="AR393" s="282"/>
      <c r="AS393" s="282"/>
      <c r="AT393" s="282"/>
      <c r="AU393" s="282">
        <f>+'F6-7'!Y21</f>
        <v>0.0290862</v>
      </c>
      <c r="AV393" s="282"/>
      <c r="AW393" s="282">
        <f>+'F6-7'!Y22</f>
        <v>0.035771500000000005</v>
      </c>
      <c r="AX393" s="282"/>
      <c r="AY393" s="282">
        <f t="shared" si="124"/>
        <v>0.9999999999999998</v>
      </c>
    </row>
    <row r="394" spans="9:51" ht="12.75">
      <c r="I394" s="247">
        <v>7</v>
      </c>
      <c r="J394" s="257">
        <f>'F6-7'!N61</f>
        <v>0.4526</v>
      </c>
      <c r="K394" s="257"/>
      <c r="L394" s="257">
        <f>'F6-7'!N62</f>
        <v>0.274</v>
      </c>
      <c r="M394" s="257"/>
      <c r="N394" s="257">
        <f>'F6-7'!N63</f>
        <v>0.0312</v>
      </c>
      <c r="O394" s="257"/>
      <c r="P394" s="257">
        <f>'F6-7'!N64</f>
        <v>0.0922</v>
      </c>
      <c r="Q394" s="257"/>
      <c r="R394" s="257">
        <f>'F6-7'!N65</f>
        <v>0.0259</v>
      </c>
      <c r="S394" s="257"/>
      <c r="T394" s="257">
        <f>'F6-7'!N66</f>
        <v>0.0557</v>
      </c>
      <c r="U394" s="257"/>
      <c r="V394" s="257">
        <f>'F6-7'!N67</f>
        <v>0.0684</v>
      </c>
      <c r="W394" s="255"/>
      <c r="X394" s="255">
        <f t="shared" si="123"/>
        <v>1</v>
      </c>
      <c r="AF394" s="283">
        <v>7</v>
      </c>
      <c r="AG394" s="282">
        <f>+'F6-7'!Y60</f>
        <v>0.38939999999999997</v>
      </c>
      <c r="AH394" s="282"/>
      <c r="AI394" s="282">
        <f>+'F6-7'!Y61</f>
        <v>0.0771</v>
      </c>
      <c r="AJ394" s="282"/>
      <c r="AK394" s="282">
        <f>+'F6-7'!Y62</f>
        <v>0.4094</v>
      </c>
      <c r="AL394" s="282"/>
      <c r="AM394" s="282"/>
      <c r="AN394" s="282"/>
      <c r="AO394" s="282"/>
      <c r="AP394" s="282"/>
      <c r="AQ394" s="282"/>
      <c r="AR394" s="282"/>
      <c r="AS394" s="282"/>
      <c r="AT394" s="282"/>
      <c r="AU394" s="282">
        <f>+'F6-7'!Y63</f>
        <v>0.0557</v>
      </c>
      <c r="AV394" s="282"/>
      <c r="AW394" s="282">
        <f>+'F6-7'!Y64</f>
        <v>0.0684</v>
      </c>
      <c r="AX394" s="282"/>
      <c r="AY394" s="282">
        <f t="shared" si="124"/>
        <v>0.9999999999999999</v>
      </c>
    </row>
    <row r="395" spans="9:51" ht="12.75">
      <c r="I395" s="247">
        <v>8</v>
      </c>
      <c r="J395" s="257">
        <v>0</v>
      </c>
      <c r="K395" s="257"/>
      <c r="L395" s="257">
        <v>0</v>
      </c>
      <c r="M395" s="257"/>
      <c r="N395" s="257">
        <v>0</v>
      </c>
      <c r="O395" s="257"/>
      <c r="P395" s="257">
        <v>0</v>
      </c>
      <c r="Q395" s="257"/>
      <c r="R395" s="257">
        <v>0</v>
      </c>
      <c r="S395" s="257"/>
      <c r="T395" s="257">
        <v>0</v>
      </c>
      <c r="U395" s="257"/>
      <c r="V395" s="257">
        <v>1</v>
      </c>
      <c r="W395" s="255"/>
      <c r="X395" s="255">
        <f t="shared" si="123"/>
        <v>1</v>
      </c>
      <c r="AF395" s="283">
        <v>8</v>
      </c>
      <c r="AG395" s="282">
        <v>0</v>
      </c>
      <c r="AH395" s="282"/>
      <c r="AI395" s="282">
        <v>0</v>
      </c>
      <c r="AJ395" s="282"/>
      <c r="AK395" s="282">
        <v>0</v>
      </c>
      <c r="AL395" s="282"/>
      <c r="AM395" s="282">
        <v>0</v>
      </c>
      <c r="AN395" s="282"/>
      <c r="AO395" s="282">
        <v>0</v>
      </c>
      <c r="AP395" s="282"/>
      <c r="AQ395" s="282">
        <v>0</v>
      </c>
      <c r="AR395" s="282"/>
      <c r="AS395" s="282"/>
      <c r="AT395" s="282"/>
      <c r="AU395" s="282">
        <v>0</v>
      </c>
      <c r="AV395" s="282"/>
      <c r="AW395" s="282">
        <v>1</v>
      </c>
      <c r="AX395" s="282"/>
      <c r="AY395" s="282">
        <f t="shared" si="124"/>
        <v>1</v>
      </c>
    </row>
    <row r="396" spans="9:51" ht="12.75">
      <c r="I396" s="247">
        <v>9</v>
      </c>
      <c r="J396" s="257">
        <f>'F8-10'!F29</f>
        <v>0.7818</v>
      </c>
      <c r="K396" s="257"/>
      <c r="L396" s="257">
        <f>'F8-10'!F30</f>
        <v>0.1681</v>
      </c>
      <c r="M396" s="257"/>
      <c r="N396" s="257">
        <f>'F8-10'!F31</f>
        <v>0.0046</v>
      </c>
      <c r="O396" s="257"/>
      <c r="P396" s="257">
        <f>'F8-10'!F32</f>
        <v>0.0321</v>
      </c>
      <c r="Q396" s="257"/>
      <c r="R396" s="257">
        <f>'F8-10'!F33</f>
        <v>0.0032</v>
      </c>
      <c r="S396" s="257"/>
      <c r="T396" s="257">
        <f>'F8-10'!F34</f>
        <v>0.0102</v>
      </c>
      <c r="U396" s="257"/>
      <c r="V396" s="257">
        <v>0</v>
      </c>
      <c r="W396" s="255"/>
      <c r="X396" s="255">
        <f t="shared" si="123"/>
        <v>1.0000000000000002</v>
      </c>
      <c r="AF396" s="283">
        <v>9</v>
      </c>
      <c r="AG396" s="282">
        <v>0</v>
      </c>
      <c r="AH396" s="282"/>
      <c r="AI396" s="282">
        <v>0</v>
      </c>
      <c r="AJ396" s="282"/>
      <c r="AK396" s="282">
        <v>0</v>
      </c>
      <c r="AL396" s="282"/>
      <c r="AM396" s="282">
        <f>1-AU396</f>
        <v>0.9898</v>
      </c>
      <c r="AN396" s="282"/>
      <c r="AO396" s="282">
        <v>0</v>
      </c>
      <c r="AP396" s="282"/>
      <c r="AQ396" s="282"/>
      <c r="AR396" s="282"/>
      <c r="AS396" s="282"/>
      <c r="AT396" s="282"/>
      <c r="AU396" s="282">
        <f>+'F8-10'!F34</f>
        <v>0.0102</v>
      </c>
      <c r="AV396" s="282"/>
      <c r="AW396" s="282">
        <v>0</v>
      </c>
      <c r="AX396" s="282"/>
      <c r="AY396" s="282">
        <f t="shared" si="124"/>
        <v>1</v>
      </c>
    </row>
    <row r="397" spans="9:51" ht="12.75">
      <c r="I397" s="247">
        <v>10</v>
      </c>
      <c r="J397" s="257">
        <f>'F8-10'!F52</f>
        <v>0.8368</v>
      </c>
      <c r="K397" s="257"/>
      <c r="L397" s="257">
        <f>'F8-10'!F53</f>
        <v>0.1059</v>
      </c>
      <c r="M397" s="257"/>
      <c r="N397" s="257">
        <f>'F8-10'!F54</f>
        <v>0.0009</v>
      </c>
      <c r="O397" s="257"/>
      <c r="P397" s="257">
        <f>'F8-10'!F55</f>
        <v>0.0118</v>
      </c>
      <c r="Q397" s="257"/>
      <c r="R397" s="257">
        <f>'F8-10'!F56</f>
        <v>0.0005</v>
      </c>
      <c r="S397" s="257"/>
      <c r="T397" s="257">
        <f>'F8-10'!F57</f>
        <v>0.0441</v>
      </c>
      <c r="U397" s="257"/>
      <c r="V397" s="257">
        <v>0</v>
      </c>
      <c r="W397" s="255"/>
      <c r="X397" s="255">
        <f t="shared" si="123"/>
        <v>1</v>
      </c>
      <c r="AF397" s="283">
        <v>10</v>
      </c>
      <c r="AG397" s="282">
        <v>0</v>
      </c>
      <c r="AH397" s="282"/>
      <c r="AI397" s="282">
        <v>0</v>
      </c>
      <c r="AJ397" s="282"/>
      <c r="AK397" s="282">
        <v>0</v>
      </c>
      <c r="AL397" s="282"/>
      <c r="AM397" s="282">
        <v>0</v>
      </c>
      <c r="AN397" s="282"/>
      <c r="AO397" s="282">
        <f>1-AU397</f>
        <v>0.9559</v>
      </c>
      <c r="AP397" s="282"/>
      <c r="AQ397" s="282">
        <v>0</v>
      </c>
      <c r="AR397" s="282"/>
      <c r="AS397" s="282"/>
      <c r="AT397" s="282"/>
      <c r="AU397" s="282">
        <f>+'F8-10'!F57</f>
        <v>0.0441</v>
      </c>
      <c r="AV397" s="282"/>
      <c r="AW397" s="282">
        <v>0</v>
      </c>
      <c r="AX397" s="282"/>
      <c r="AY397" s="282">
        <f t="shared" si="124"/>
        <v>1</v>
      </c>
    </row>
    <row r="398" spans="9:51" ht="12.75">
      <c r="I398" s="247">
        <v>11</v>
      </c>
      <c r="J398" s="258">
        <f>+J364</f>
        <v>0.4525</v>
      </c>
      <c r="K398" s="258"/>
      <c r="L398" s="258">
        <f>+L364</f>
        <v>0.2741</v>
      </c>
      <c r="M398" s="258"/>
      <c r="N398" s="258">
        <f>+N364</f>
        <v>0.0312</v>
      </c>
      <c r="O398" s="258"/>
      <c r="P398" s="258">
        <f>+P364</f>
        <v>0.0922</v>
      </c>
      <c r="Q398" s="258"/>
      <c r="R398" s="258">
        <f>+R364</f>
        <v>0.0259</v>
      </c>
      <c r="S398" s="258"/>
      <c r="T398" s="258">
        <f>+T364</f>
        <v>0.0557</v>
      </c>
      <c r="U398" s="258"/>
      <c r="V398" s="258">
        <f>+V364</f>
        <v>0.0684</v>
      </c>
      <c r="W398" s="256"/>
      <c r="X398" s="255">
        <f aca="true" t="shared" si="125" ref="X398:X408">SUM(J398:W398)</f>
        <v>1</v>
      </c>
      <c r="AF398" s="283">
        <v>11</v>
      </c>
      <c r="AG398" s="282">
        <f>+AG364</f>
        <v>0.3894</v>
      </c>
      <c r="AH398" s="282">
        <f aca="true" t="shared" si="126" ref="AH398:AU398">+AH364</f>
        <v>0</v>
      </c>
      <c r="AI398" s="282">
        <f t="shared" si="126"/>
        <v>0.0771</v>
      </c>
      <c r="AJ398" s="282">
        <f t="shared" si="126"/>
        <v>0</v>
      </c>
      <c r="AK398" s="282">
        <f t="shared" si="126"/>
        <v>0.4094</v>
      </c>
      <c r="AL398" s="282">
        <f t="shared" si="126"/>
        <v>0</v>
      </c>
      <c r="AM398" s="282">
        <f t="shared" si="126"/>
        <v>0</v>
      </c>
      <c r="AN398" s="282">
        <f t="shared" si="126"/>
        <v>0</v>
      </c>
      <c r="AO398" s="282">
        <f t="shared" si="126"/>
        <v>0</v>
      </c>
      <c r="AP398" s="282">
        <f t="shared" si="126"/>
        <v>0</v>
      </c>
      <c r="AQ398" s="282">
        <f t="shared" si="126"/>
        <v>0</v>
      </c>
      <c r="AR398" s="282">
        <f>+AR364</f>
        <v>0</v>
      </c>
      <c r="AS398" s="282">
        <f>+AS364</f>
        <v>0</v>
      </c>
      <c r="AT398" s="282">
        <f t="shared" si="126"/>
        <v>0</v>
      </c>
      <c r="AU398" s="282">
        <f t="shared" si="126"/>
        <v>0.0557</v>
      </c>
      <c r="AV398" s="282">
        <f>+AV364</f>
        <v>0</v>
      </c>
      <c r="AW398" s="282">
        <f>+'F11-12'!F24</f>
        <v>0.0684</v>
      </c>
      <c r="AX398" s="282"/>
      <c r="AY398" s="282">
        <f t="shared" si="124"/>
        <v>1</v>
      </c>
    </row>
    <row r="399" spans="9:51" ht="12.75">
      <c r="I399" s="247">
        <v>12</v>
      </c>
      <c r="J399" s="258">
        <f>+J366</f>
        <v>0.546</v>
      </c>
      <c r="K399" s="258"/>
      <c r="L399" s="258">
        <f>+L366</f>
        <v>0.2277</v>
      </c>
      <c r="M399" s="258"/>
      <c r="N399" s="258">
        <f>+N366</f>
        <v>0.0225</v>
      </c>
      <c r="O399" s="258"/>
      <c r="P399" s="258">
        <f>+P366</f>
        <v>0.0696</v>
      </c>
      <c r="Q399" s="258"/>
      <c r="R399" s="258">
        <f>+R366</f>
        <v>0.0185</v>
      </c>
      <c r="S399" s="258"/>
      <c r="T399" s="258">
        <f>+T366</f>
        <v>0.0573</v>
      </c>
      <c r="U399" s="258"/>
      <c r="V399" s="258">
        <f>+V366</f>
        <v>0.0584</v>
      </c>
      <c r="W399" s="256"/>
      <c r="X399" s="255">
        <f t="shared" si="125"/>
        <v>1</v>
      </c>
      <c r="AF399" s="283">
        <v>12</v>
      </c>
      <c r="AG399" s="282">
        <f>+AG366</f>
        <v>0.27040000000000003</v>
      </c>
      <c r="AH399" s="282">
        <f aca="true" t="shared" si="127" ref="AH399:AU399">+AH366</f>
        <v>0</v>
      </c>
      <c r="AI399" s="282">
        <f t="shared" si="127"/>
        <v>0.0436</v>
      </c>
      <c r="AJ399" s="282">
        <f t="shared" si="127"/>
        <v>0</v>
      </c>
      <c r="AK399" s="282">
        <f t="shared" si="127"/>
        <v>0.3074</v>
      </c>
      <c r="AL399" s="282">
        <f t="shared" si="127"/>
        <v>0</v>
      </c>
      <c r="AM399" s="282">
        <f t="shared" si="127"/>
        <v>0.0676</v>
      </c>
      <c r="AN399" s="282">
        <f t="shared" si="127"/>
        <v>0</v>
      </c>
      <c r="AO399" s="282">
        <f t="shared" si="127"/>
        <v>0.1953</v>
      </c>
      <c r="AP399" s="282">
        <f t="shared" si="127"/>
        <v>0</v>
      </c>
      <c r="AQ399" s="282">
        <f t="shared" si="127"/>
        <v>0</v>
      </c>
      <c r="AR399" s="282">
        <f>+AR366</f>
        <v>0</v>
      </c>
      <c r="AS399" s="282">
        <f>+AS366</f>
        <v>0</v>
      </c>
      <c r="AT399" s="282">
        <f t="shared" si="127"/>
        <v>0</v>
      </c>
      <c r="AU399" s="282">
        <f t="shared" si="127"/>
        <v>0.0573</v>
      </c>
      <c r="AV399" s="282">
        <f>+AV366</f>
        <v>0</v>
      </c>
      <c r="AW399" s="282">
        <f>+'F11-12'!F69</f>
        <v>0.0584</v>
      </c>
      <c r="AX399" s="282"/>
      <c r="AY399" s="282">
        <f t="shared" si="124"/>
        <v>1</v>
      </c>
    </row>
    <row r="400" spans="9:51" ht="12.75">
      <c r="I400" s="247">
        <v>13</v>
      </c>
      <c r="J400" s="257">
        <f>+'F13-14'!F15</f>
        <v>0.8983</v>
      </c>
      <c r="K400" s="257"/>
      <c r="L400" s="257">
        <f>+'F13-14'!F16</f>
        <v>0.0732</v>
      </c>
      <c r="M400" s="257"/>
      <c r="N400" s="257">
        <f>+'F13-14'!F17</f>
        <v>0.0004</v>
      </c>
      <c r="O400" s="257"/>
      <c r="P400" s="257">
        <f>+'F13-14'!F18</f>
        <v>0.0061</v>
      </c>
      <c r="Q400" s="257"/>
      <c r="R400" s="257">
        <f>+'F13-14'!F19</f>
        <v>0.0002</v>
      </c>
      <c r="S400" s="257"/>
      <c r="T400" s="257">
        <f>+'F13-14'!F20</f>
        <v>0.0215</v>
      </c>
      <c r="U400" s="257"/>
      <c r="V400" s="257">
        <f>+'F13-14'!F21</f>
        <v>0.0003</v>
      </c>
      <c r="W400" s="255"/>
      <c r="X400" s="255">
        <f t="shared" si="125"/>
        <v>0.9999999999999999</v>
      </c>
      <c r="AF400" s="283">
        <v>13</v>
      </c>
      <c r="AG400" s="282">
        <v>0</v>
      </c>
      <c r="AH400" s="282"/>
      <c r="AI400" s="282">
        <v>0</v>
      </c>
      <c r="AJ400" s="282"/>
      <c r="AK400" s="282">
        <v>0</v>
      </c>
      <c r="AL400" s="282">
        <v>0</v>
      </c>
      <c r="AM400" s="282">
        <v>0</v>
      </c>
      <c r="AN400" s="282"/>
      <c r="AO400" s="282">
        <v>0</v>
      </c>
      <c r="AP400" s="282"/>
      <c r="AQ400" s="282">
        <f>1-AU400-AW400</f>
        <v>0.9782000000000001</v>
      </c>
      <c r="AR400" s="282"/>
      <c r="AS400" s="282"/>
      <c r="AT400" s="282"/>
      <c r="AU400" s="282">
        <f>+'F13-14'!F20</f>
        <v>0.0215</v>
      </c>
      <c r="AV400" s="282"/>
      <c r="AW400" s="282">
        <f>+'F13-14'!F21</f>
        <v>0.0003</v>
      </c>
      <c r="AX400" s="282"/>
      <c r="AY400" s="282">
        <f t="shared" si="124"/>
        <v>1</v>
      </c>
    </row>
    <row r="401" spans="9:51" ht="12.75">
      <c r="I401" s="247">
        <v>14</v>
      </c>
      <c r="J401" s="257">
        <f>+'F13-14'!F35</f>
        <v>0.9072</v>
      </c>
      <c r="K401" s="257"/>
      <c r="L401" s="257">
        <f>+'F13-14'!F36</f>
        <v>0.074</v>
      </c>
      <c r="M401" s="257"/>
      <c r="N401" s="257">
        <f>+'F13-14'!F37</f>
        <v>0.0004</v>
      </c>
      <c r="O401" s="257"/>
      <c r="P401" s="257">
        <f>+'F13-14'!F38</f>
        <v>0.0061</v>
      </c>
      <c r="Q401" s="257"/>
      <c r="R401" s="257">
        <f>+'F13-14'!F39</f>
        <v>0.0002</v>
      </c>
      <c r="S401" s="257"/>
      <c r="T401" s="257">
        <f>+'F13-14'!F40</f>
        <v>0.0121</v>
      </c>
      <c r="U401" s="257"/>
      <c r="V401" s="257">
        <v>0</v>
      </c>
      <c r="W401" s="256"/>
      <c r="X401" s="255">
        <f t="shared" si="125"/>
        <v>0.9999999999999999</v>
      </c>
      <c r="AF401" s="283">
        <v>14</v>
      </c>
      <c r="AG401" s="282">
        <v>0</v>
      </c>
      <c r="AH401" s="282"/>
      <c r="AI401" s="282">
        <v>0</v>
      </c>
      <c r="AJ401" s="282"/>
      <c r="AK401" s="282">
        <v>0</v>
      </c>
      <c r="AL401" s="282">
        <v>0</v>
      </c>
      <c r="AM401" s="282">
        <v>0</v>
      </c>
      <c r="AN401" s="282"/>
      <c r="AO401" s="282">
        <v>0</v>
      </c>
      <c r="AP401" s="282"/>
      <c r="AQ401" s="282">
        <v>1</v>
      </c>
      <c r="AR401" s="282"/>
      <c r="AS401" s="282"/>
      <c r="AT401" s="282"/>
      <c r="AU401" s="282">
        <v>0</v>
      </c>
      <c r="AV401" s="282"/>
      <c r="AW401" s="282">
        <v>0</v>
      </c>
      <c r="AX401" s="282"/>
      <c r="AY401" s="282">
        <f t="shared" si="124"/>
        <v>1</v>
      </c>
    </row>
    <row r="402" spans="9:51" ht="12.75">
      <c r="I402" s="247">
        <v>15</v>
      </c>
      <c r="J402" s="258">
        <f aca="true" t="shared" si="128" ref="J402:V402">+J368</f>
        <v>0.6011</v>
      </c>
      <c r="K402" s="258">
        <f t="shared" si="128"/>
        <v>0</v>
      </c>
      <c r="L402" s="258">
        <f t="shared" si="128"/>
        <v>0.2253</v>
      </c>
      <c r="M402" s="258">
        <f t="shared" si="128"/>
        <v>0</v>
      </c>
      <c r="N402" s="258">
        <f t="shared" si="128"/>
        <v>0.0238</v>
      </c>
      <c r="O402" s="258">
        <f t="shared" si="128"/>
        <v>0</v>
      </c>
      <c r="P402" s="258">
        <f t="shared" si="128"/>
        <v>0.0729</v>
      </c>
      <c r="Q402" s="258">
        <f t="shared" si="128"/>
        <v>0</v>
      </c>
      <c r="R402" s="258">
        <f t="shared" si="128"/>
        <v>0.0206</v>
      </c>
      <c r="S402" s="258">
        <f t="shared" si="128"/>
        <v>0</v>
      </c>
      <c r="T402" s="258">
        <f t="shared" si="128"/>
        <v>0.0295</v>
      </c>
      <c r="U402" s="258">
        <f t="shared" si="128"/>
        <v>0</v>
      </c>
      <c r="V402" s="258">
        <f t="shared" si="128"/>
        <v>0.0268</v>
      </c>
      <c r="W402" s="256"/>
      <c r="X402" s="255">
        <f t="shared" si="125"/>
        <v>1</v>
      </c>
      <c r="AF402" s="283">
        <v>15</v>
      </c>
      <c r="AG402" s="282">
        <f>+AG368</f>
        <v>0.3349</v>
      </c>
      <c r="AH402" s="282">
        <f aca="true" t="shared" si="129" ref="AH402:AU402">+AH368</f>
        <v>0</v>
      </c>
      <c r="AI402" s="282">
        <f t="shared" si="129"/>
        <v>0.1556</v>
      </c>
      <c r="AJ402" s="282">
        <f t="shared" si="129"/>
        <v>0</v>
      </c>
      <c r="AK402" s="282">
        <f t="shared" si="129"/>
        <v>0.1461</v>
      </c>
      <c r="AL402" s="282">
        <f t="shared" si="129"/>
        <v>0</v>
      </c>
      <c r="AM402" s="282">
        <f t="shared" si="129"/>
        <v>0.0127</v>
      </c>
      <c r="AN402" s="282">
        <f t="shared" si="129"/>
        <v>0</v>
      </c>
      <c r="AO402" s="282">
        <f t="shared" si="129"/>
        <v>0.0367</v>
      </c>
      <c r="AP402" s="282">
        <f t="shared" si="129"/>
        <v>0</v>
      </c>
      <c r="AQ402" s="282">
        <f t="shared" si="129"/>
        <v>0.1908</v>
      </c>
      <c r="AR402" s="282">
        <f>+AR368</f>
        <v>0</v>
      </c>
      <c r="AS402" s="282">
        <f>+AS368</f>
        <v>0.07</v>
      </c>
      <c r="AT402" s="282">
        <f t="shared" si="129"/>
        <v>0</v>
      </c>
      <c r="AU402" s="282">
        <f t="shared" si="129"/>
        <v>0.0264</v>
      </c>
      <c r="AV402" s="282">
        <f>+AV368</f>
        <v>0</v>
      </c>
      <c r="AW402" s="282">
        <f>+AW368</f>
        <v>0.0268</v>
      </c>
      <c r="AX402" s="282"/>
      <c r="AY402" s="282">
        <f t="shared" si="124"/>
        <v>0.9999999999999999</v>
      </c>
    </row>
    <row r="403" spans="9:51" ht="12.75">
      <c r="I403" s="247" t="s">
        <v>4</v>
      </c>
      <c r="J403" s="258">
        <f>+J370</f>
        <v>0.5886</v>
      </c>
      <c r="K403" s="258"/>
      <c r="L403" s="258">
        <f>+L370</f>
        <v>0.2362</v>
      </c>
      <c r="M403" s="258"/>
      <c r="N403" s="258">
        <f>+N370</f>
        <v>0.0264</v>
      </c>
      <c r="O403" s="258"/>
      <c r="P403" s="258">
        <f>+P370</f>
        <v>0.0805</v>
      </c>
      <c r="Q403" s="258"/>
      <c r="R403" s="258">
        <f>+R370</f>
        <v>0.0232</v>
      </c>
      <c r="S403" s="258"/>
      <c r="T403" s="258">
        <f>+T370</f>
        <v>0.0238</v>
      </c>
      <c r="U403" s="258"/>
      <c r="V403" s="258">
        <f>+V370</f>
        <v>0.0213</v>
      </c>
      <c r="W403" s="256"/>
      <c r="X403" s="255">
        <f>SUM(J403:W403)</f>
        <v>1</v>
      </c>
      <c r="AF403" s="283" t="s">
        <v>4</v>
      </c>
      <c r="AG403" s="282">
        <f>+AG370</f>
        <v>0.4522</v>
      </c>
      <c r="AH403" s="282"/>
      <c r="AI403" s="282">
        <f>+AI370</f>
        <v>0.1218</v>
      </c>
      <c r="AJ403" s="282"/>
      <c r="AK403" s="282">
        <f>+AK370</f>
        <v>0.1128</v>
      </c>
      <c r="AL403" s="282"/>
      <c r="AM403" s="282">
        <f>+AM370</f>
        <v>0.0103</v>
      </c>
      <c r="AN403" s="282"/>
      <c r="AO403" s="282">
        <f>+AO370</f>
        <v>0.0287</v>
      </c>
      <c r="AP403" s="282"/>
      <c r="AQ403" s="282">
        <f>+AQ370</f>
        <v>0.186</v>
      </c>
      <c r="AR403" s="282"/>
      <c r="AS403" s="282">
        <f>+AS370</f>
        <v>0.0453</v>
      </c>
      <c r="AT403" s="282"/>
      <c r="AU403" s="282">
        <f>+AU370</f>
        <v>0.0216</v>
      </c>
      <c r="AV403" s="282"/>
      <c r="AW403" s="282">
        <f>+AW370</f>
        <v>0.0213</v>
      </c>
      <c r="AX403" s="282"/>
      <c r="AY403" s="282">
        <f t="shared" si="124"/>
        <v>0.9999999999999999</v>
      </c>
    </row>
    <row r="404" spans="9:51" ht="12.75">
      <c r="I404" s="247">
        <v>16</v>
      </c>
      <c r="J404" s="258">
        <f aca="true" t="shared" si="130" ref="J404:V404">+J372</f>
        <v>0.5596</v>
      </c>
      <c r="K404" s="258">
        <f t="shared" si="130"/>
        <v>0</v>
      </c>
      <c r="L404" s="258">
        <f t="shared" si="130"/>
        <v>0.2474</v>
      </c>
      <c r="M404" s="258">
        <f t="shared" si="130"/>
        <v>0</v>
      </c>
      <c r="N404" s="258">
        <f t="shared" si="130"/>
        <v>0.0275</v>
      </c>
      <c r="O404" s="258">
        <f t="shared" si="130"/>
        <v>0</v>
      </c>
      <c r="P404" s="258">
        <f t="shared" si="130"/>
        <v>0.084</v>
      </c>
      <c r="Q404" s="258">
        <f t="shared" si="130"/>
        <v>0</v>
      </c>
      <c r="R404" s="258">
        <f t="shared" si="130"/>
        <v>0.0239</v>
      </c>
      <c r="S404" s="258">
        <f t="shared" si="130"/>
        <v>0</v>
      </c>
      <c r="T404" s="258">
        <f t="shared" si="130"/>
        <v>0.0284</v>
      </c>
      <c r="U404" s="258">
        <f t="shared" si="130"/>
        <v>0</v>
      </c>
      <c r="V404" s="258">
        <f t="shared" si="130"/>
        <v>0.0292</v>
      </c>
      <c r="W404" s="256"/>
      <c r="X404" s="255">
        <f t="shared" si="125"/>
        <v>0.9999999999999999</v>
      </c>
      <c r="AF404" s="283">
        <v>16</v>
      </c>
      <c r="AG404" s="282">
        <f>+AG372</f>
        <v>0.389</v>
      </c>
      <c r="AH404" s="282">
        <f aca="true" t="shared" si="131" ref="AH404:AU404">+AH372</f>
        <v>0</v>
      </c>
      <c r="AI404" s="282">
        <f t="shared" si="131"/>
        <v>0.1825</v>
      </c>
      <c r="AJ404" s="282">
        <f t="shared" si="131"/>
        <v>0</v>
      </c>
      <c r="AK404" s="282">
        <f t="shared" si="131"/>
        <v>0.1657</v>
      </c>
      <c r="AL404" s="282">
        <f t="shared" si="131"/>
        <v>0</v>
      </c>
      <c r="AM404" s="282">
        <f t="shared" si="131"/>
        <v>0.0154</v>
      </c>
      <c r="AN404" s="282">
        <f t="shared" si="131"/>
        <v>0</v>
      </c>
      <c r="AO404" s="282">
        <f t="shared" si="131"/>
        <v>0.0446</v>
      </c>
      <c r="AP404" s="282">
        <f t="shared" si="131"/>
        <v>0</v>
      </c>
      <c r="AQ404" s="282">
        <f t="shared" si="131"/>
        <v>0.1344</v>
      </c>
      <c r="AR404" s="282">
        <f>+AR372</f>
        <v>0</v>
      </c>
      <c r="AS404" s="282">
        <f>+AS372</f>
        <v>0.0123</v>
      </c>
      <c r="AT404" s="282">
        <f t="shared" si="131"/>
        <v>0</v>
      </c>
      <c r="AU404" s="282">
        <f t="shared" si="131"/>
        <v>0.0269</v>
      </c>
      <c r="AV404" s="282">
        <f>+AV372</f>
        <v>0</v>
      </c>
      <c r="AW404" s="282">
        <f>+AW372</f>
        <v>0.0292</v>
      </c>
      <c r="AX404" s="282"/>
      <c r="AY404" s="282">
        <f t="shared" si="124"/>
        <v>0.9999999999999999</v>
      </c>
    </row>
    <row r="405" spans="9:51" ht="12.75">
      <c r="I405" s="247">
        <v>17</v>
      </c>
      <c r="J405" s="258">
        <f aca="true" t="shared" si="132" ref="J405:V405">+J374</f>
        <v>0.498</v>
      </c>
      <c r="K405" s="258">
        <f t="shared" si="132"/>
        <v>0</v>
      </c>
      <c r="L405" s="258">
        <f t="shared" si="132"/>
        <v>0.2656</v>
      </c>
      <c r="M405" s="258">
        <f t="shared" si="132"/>
        <v>0</v>
      </c>
      <c r="N405" s="258">
        <f t="shared" si="132"/>
        <v>0.0308</v>
      </c>
      <c r="O405" s="258">
        <f t="shared" si="132"/>
        <v>0</v>
      </c>
      <c r="P405" s="258">
        <f t="shared" si="132"/>
        <v>0.0948</v>
      </c>
      <c r="Q405" s="258">
        <f t="shared" si="132"/>
        <v>0</v>
      </c>
      <c r="R405" s="258">
        <f t="shared" si="132"/>
        <v>0.0271</v>
      </c>
      <c r="S405" s="258">
        <f t="shared" si="132"/>
        <v>0</v>
      </c>
      <c r="T405" s="258">
        <f t="shared" si="132"/>
        <v>0.0306</v>
      </c>
      <c r="U405" s="258">
        <f t="shared" si="132"/>
        <v>0</v>
      </c>
      <c r="V405" s="258">
        <f t="shared" si="132"/>
        <v>0.0531</v>
      </c>
      <c r="W405" s="256"/>
      <c r="X405" s="255">
        <f t="shared" si="125"/>
        <v>1</v>
      </c>
      <c r="AF405" s="283">
        <v>17</v>
      </c>
      <c r="AG405" s="282">
        <f>+AG374</f>
        <v>0.45489999999999997</v>
      </c>
      <c r="AH405" s="282">
        <f aca="true" t="shared" si="133" ref="AH405:AU405">+AH374</f>
        <v>0</v>
      </c>
      <c r="AI405" s="282">
        <f t="shared" si="133"/>
        <v>0.2486</v>
      </c>
      <c r="AJ405" s="282">
        <f t="shared" si="133"/>
        <v>0</v>
      </c>
      <c r="AK405" s="282">
        <f t="shared" si="133"/>
        <v>0.1082</v>
      </c>
      <c r="AL405" s="282">
        <f t="shared" si="133"/>
        <v>0</v>
      </c>
      <c r="AM405" s="282">
        <f t="shared" si="133"/>
        <v>0.0671</v>
      </c>
      <c r="AN405" s="282">
        <f t="shared" si="133"/>
        <v>0</v>
      </c>
      <c r="AO405" s="282">
        <f t="shared" si="133"/>
        <v>0.0227</v>
      </c>
      <c r="AP405" s="282">
        <f t="shared" si="133"/>
        <v>0</v>
      </c>
      <c r="AQ405" s="282">
        <f t="shared" si="133"/>
        <v>0.0132</v>
      </c>
      <c r="AR405" s="282">
        <f>+AR374</f>
        <v>0</v>
      </c>
      <c r="AS405" s="282">
        <f>+AS374</f>
        <v>0.0028</v>
      </c>
      <c r="AT405" s="282">
        <f t="shared" si="133"/>
        <v>0</v>
      </c>
      <c r="AU405" s="282">
        <f t="shared" si="133"/>
        <v>0.03</v>
      </c>
      <c r="AV405" s="282">
        <f>+AV374</f>
        <v>0</v>
      </c>
      <c r="AW405" s="282">
        <f>+AW374</f>
        <v>0.0525</v>
      </c>
      <c r="AX405" s="282"/>
      <c r="AY405" s="282">
        <f t="shared" si="124"/>
        <v>1.0000000000000002</v>
      </c>
    </row>
    <row r="406" spans="9:51" ht="12.75">
      <c r="I406" s="247">
        <v>18</v>
      </c>
      <c r="J406" s="257">
        <f>+J376</f>
        <v>0.4984</v>
      </c>
      <c r="K406" s="257"/>
      <c r="L406" s="257">
        <f>+L376</f>
        <v>0.2656</v>
      </c>
      <c r="M406" s="257"/>
      <c r="N406" s="257">
        <f>+N376</f>
        <v>0.0308</v>
      </c>
      <c r="O406" s="257"/>
      <c r="P406" s="257">
        <f>+P376</f>
        <v>0.0948</v>
      </c>
      <c r="Q406" s="257"/>
      <c r="R406" s="257">
        <f>+R376</f>
        <v>0.0271</v>
      </c>
      <c r="S406" s="257"/>
      <c r="T406" s="257">
        <f>+T376</f>
        <v>0.0306</v>
      </c>
      <c r="U406" s="257"/>
      <c r="V406" s="257">
        <f>+V376</f>
        <v>0.0527</v>
      </c>
      <c r="W406" s="256"/>
      <c r="X406" s="255">
        <f t="shared" si="125"/>
        <v>1</v>
      </c>
      <c r="AF406" s="283">
        <v>18</v>
      </c>
      <c r="AG406" s="282">
        <f>+AG376</f>
        <v>0.4553</v>
      </c>
      <c r="AH406" s="282">
        <f aca="true" t="shared" si="134" ref="AH406:AU406">+AH376</f>
        <v>0</v>
      </c>
      <c r="AI406" s="282">
        <f t="shared" si="134"/>
        <v>0.2474</v>
      </c>
      <c r="AJ406" s="282">
        <f t="shared" si="134"/>
        <v>0</v>
      </c>
      <c r="AK406" s="282">
        <f t="shared" si="134"/>
        <v>0.1091</v>
      </c>
      <c r="AL406" s="282">
        <f t="shared" si="134"/>
        <v>0</v>
      </c>
      <c r="AM406" s="282">
        <f t="shared" si="134"/>
        <v>0.0657</v>
      </c>
      <c r="AN406" s="282">
        <f t="shared" si="134"/>
        <v>0</v>
      </c>
      <c r="AO406" s="282">
        <f t="shared" si="134"/>
        <v>0.0225</v>
      </c>
      <c r="AP406" s="282">
        <f t="shared" si="134"/>
        <v>0</v>
      </c>
      <c r="AQ406" s="282">
        <f t="shared" si="134"/>
        <v>0.0145</v>
      </c>
      <c r="AR406" s="282">
        <f>+AR376</f>
        <v>0</v>
      </c>
      <c r="AS406" s="282">
        <f>+AS376</f>
        <v>0.0032</v>
      </c>
      <c r="AT406" s="282">
        <f t="shared" si="134"/>
        <v>0</v>
      </c>
      <c r="AU406" s="282">
        <f t="shared" si="134"/>
        <v>0.0301</v>
      </c>
      <c r="AV406" s="282">
        <f>+AV376</f>
        <v>0</v>
      </c>
      <c r="AW406" s="282">
        <f>+AW376</f>
        <v>0.0522</v>
      </c>
      <c r="AX406" s="282"/>
      <c r="AY406" s="282">
        <f t="shared" si="124"/>
        <v>0.9999999999999999</v>
      </c>
    </row>
    <row r="407" spans="9:51" ht="12.75">
      <c r="I407" s="247">
        <v>19</v>
      </c>
      <c r="J407" s="257">
        <f>+J378</f>
        <v>0.5404</v>
      </c>
      <c r="K407" s="257"/>
      <c r="L407" s="257">
        <f>+L378</f>
        <v>0.2514</v>
      </c>
      <c r="M407" s="257"/>
      <c r="N407" s="257">
        <f>+N378</f>
        <v>0.0286</v>
      </c>
      <c r="O407" s="257"/>
      <c r="P407" s="257">
        <f>+P378</f>
        <v>0.0879</v>
      </c>
      <c r="Q407" s="257"/>
      <c r="R407" s="257">
        <f>+R378</f>
        <v>0.0252</v>
      </c>
      <c r="S407" s="257"/>
      <c r="T407" s="257">
        <f>+T378</f>
        <v>0.0275</v>
      </c>
      <c r="U407" s="257"/>
      <c r="V407" s="257">
        <f>+V378</f>
        <v>0.039</v>
      </c>
      <c r="W407" s="256"/>
      <c r="X407" s="255">
        <f t="shared" si="125"/>
        <v>1</v>
      </c>
      <c r="AF407" s="283">
        <v>19</v>
      </c>
      <c r="AG407" s="282">
        <f>+AG378</f>
        <v>0.4453</v>
      </c>
      <c r="AH407" s="282">
        <f aca="true" t="shared" si="135" ref="AH407:AU407">+AH378</f>
        <v>0</v>
      </c>
      <c r="AI407" s="282">
        <f t="shared" si="135"/>
        <v>0.1969</v>
      </c>
      <c r="AJ407" s="282">
        <f t="shared" si="135"/>
        <v>0</v>
      </c>
      <c r="AK407" s="282">
        <f t="shared" si="135"/>
        <v>0.1077</v>
      </c>
      <c r="AL407" s="282">
        <f t="shared" si="135"/>
        <v>0</v>
      </c>
      <c r="AM407" s="282">
        <f t="shared" si="135"/>
        <v>0.0457</v>
      </c>
      <c r="AN407" s="282">
        <f t="shared" si="135"/>
        <v>0</v>
      </c>
      <c r="AO407" s="282">
        <f t="shared" si="135"/>
        <v>0.0277</v>
      </c>
      <c r="AP407" s="282">
        <f t="shared" si="135"/>
        <v>0</v>
      </c>
      <c r="AQ407" s="282">
        <f t="shared" si="135"/>
        <v>0.0929</v>
      </c>
      <c r="AR407" s="282">
        <f>+AR378</f>
        <v>0</v>
      </c>
      <c r="AS407" s="282">
        <f>+AS378</f>
        <v>0.0188</v>
      </c>
      <c r="AT407" s="282">
        <f t="shared" si="135"/>
        <v>0</v>
      </c>
      <c r="AU407" s="282">
        <f t="shared" si="135"/>
        <v>0.0264</v>
      </c>
      <c r="AV407" s="282">
        <f>+AV378</f>
        <v>0</v>
      </c>
      <c r="AW407" s="282">
        <f>+AW378</f>
        <v>0.0387</v>
      </c>
      <c r="AX407" s="282"/>
      <c r="AY407" s="282">
        <f t="shared" si="124"/>
        <v>1.0001</v>
      </c>
    </row>
    <row r="408" spans="9:51" ht="12.75">
      <c r="I408" s="247">
        <v>20</v>
      </c>
      <c r="J408" s="257">
        <f>+'F 15-20'!F155</f>
        <v>0.8599</v>
      </c>
      <c r="K408" s="257"/>
      <c r="L408" s="257">
        <f>+'F 15-20'!F156</f>
        <v>0.1072</v>
      </c>
      <c r="M408" s="257"/>
      <c r="N408" s="257">
        <f>+'F 15-20'!F157</f>
        <v>0</v>
      </c>
      <c r="O408" s="257"/>
      <c r="P408" s="257">
        <f>+'F 15-20'!F158</f>
        <v>0</v>
      </c>
      <c r="Q408" s="257"/>
      <c r="R408" s="257">
        <f>+'F 15-20'!F159</f>
        <v>0</v>
      </c>
      <c r="S408" s="257"/>
      <c r="T408" s="257">
        <f>+'F 15-20'!F160</f>
        <v>0.0329</v>
      </c>
      <c r="U408" s="257"/>
      <c r="V408" s="257">
        <v>0</v>
      </c>
      <c r="W408" s="255"/>
      <c r="X408" s="255">
        <f t="shared" si="125"/>
        <v>1</v>
      </c>
      <c r="AF408" s="283">
        <v>20</v>
      </c>
      <c r="AG408" s="282"/>
      <c r="AH408" s="282"/>
      <c r="AI408" s="282"/>
      <c r="AJ408" s="282"/>
      <c r="AK408" s="282"/>
      <c r="AL408" s="282"/>
      <c r="AM408" s="282"/>
      <c r="AN408" s="282"/>
      <c r="AO408" s="282"/>
      <c r="AP408" s="282"/>
      <c r="AQ408" s="282"/>
      <c r="AR408" s="282"/>
      <c r="AS408" s="282">
        <v>1</v>
      </c>
      <c r="AT408" s="282"/>
      <c r="AU408" s="282"/>
      <c r="AV408" s="282"/>
      <c r="AW408" s="282"/>
      <c r="AX408" s="282"/>
      <c r="AY408" s="282">
        <f t="shared" si="124"/>
        <v>1</v>
      </c>
    </row>
    <row r="409" spans="9:51" ht="12.75">
      <c r="I409"/>
      <c r="J409" s="172"/>
      <c r="K409" s="171"/>
      <c r="L409" s="171"/>
      <c r="M409" s="171"/>
      <c r="N409" s="171"/>
      <c r="O409" s="171"/>
      <c r="P409" s="171"/>
      <c r="Q409" s="171"/>
      <c r="R409" s="171"/>
      <c r="S409" s="171"/>
      <c r="T409" s="171"/>
      <c r="U409" s="171"/>
      <c r="V409" s="171"/>
      <c r="W409" s="171"/>
      <c r="X409" s="171"/>
      <c r="AF409" s="283"/>
      <c r="AG409" s="283"/>
      <c r="AH409" s="283"/>
      <c r="AI409" s="283"/>
      <c r="AJ409" s="283"/>
      <c r="AK409" s="283"/>
      <c r="AL409" s="283"/>
      <c r="AM409" s="283"/>
      <c r="AN409" s="283"/>
      <c r="AO409" s="283"/>
      <c r="AP409" s="283"/>
      <c r="AQ409" s="283"/>
      <c r="AR409" s="283"/>
      <c r="AS409" s="283"/>
      <c r="AT409" s="283"/>
      <c r="AU409" s="283"/>
      <c r="AV409" s="283"/>
      <c r="AW409" s="283"/>
      <c r="AX409" s="283"/>
      <c r="AY409" s="283"/>
    </row>
    <row r="410" spans="9:24" ht="12.75">
      <c r="I410"/>
      <c r="J410" s="172"/>
      <c r="K410" s="171"/>
      <c r="L410" s="171"/>
      <c r="M410" s="171"/>
      <c r="N410" s="171"/>
      <c r="O410" s="171"/>
      <c r="P410" s="171"/>
      <c r="Q410" s="171"/>
      <c r="R410" s="171"/>
      <c r="S410" s="171"/>
      <c r="T410" s="171"/>
      <c r="U410" s="171"/>
      <c r="V410" s="171"/>
      <c r="W410" s="171"/>
      <c r="X410" s="171"/>
    </row>
    <row r="411" spans="9:24" ht="12.75">
      <c r="I411"/>
      <c r="J411" s="172"/>
      <c r="K411" s="171"/>
      <c r="L411" s="171"/>
      <c r="M411" s="171"/>
      <c r="N411" s="171"/>
      <c r="O411" s="171"/>
      <c r="P411" s="171"/>
      <c r="Q411" s="171"/>
      <c r="R411" s="171"/>
      <c r="S411" s="171"/>
      <c r="T411" s="171"/>
      <c r="U411" s="171"/>
      <c r="V411" s="171"/>
      <c r="W411" s="171"/>
      <c r="X411" s="171"/>
    </row>
    <row r="412" spans="9:24" ht="12.75">
      <c r="I412" s="247"/>
      <c r="J412" s="308"/>
      <c r="K412" s="255"/>
      <c r="L412" s="255"/>
      <c r="M412" s="171"/>
      <c r="N412" s="171"/>
      <c r="O412" s="171"/>
      <c r="P412" s="171"/>
      <c r="Q412" s="171"/>
      <c r="R412" s="171"/>
      <c r="S412" s="171"/>
      <c r="T412" s="171"/>
      <c r="U412" s="171"/>
      <c r="V412" s="171"/>
      <c r="W412" s="171"/>
      <c r="X412" s="171"/>
    </row>
    <row r="413" spans="8:24" ht="12.75">
      <c r="H413" s="247"/>
      <c r="I413" s="247"/>
      <c r="J413" s="308"/>
      <c r="K413" s="255"/>
      <c r="L413" s="255"/>
      <c r="M413" s="171"/>
      <c r="N413" s="171"/>
      <c r="O413" s="171"/>
      <c r="P413" s="171"/>
      <c r="Q413" s="171"/>
      <c r="R413" s="171"/>
      <c r="S413" s="171"/>
      <c r="T413" s="171"/>
      <c r="U413" s="171"/>
      <c r="V413" s="171"/>
      <c r="W413" s="171"/>
      <c r="X413" s="171"/>
    </row>
    <row r="414" spans="8:24" ht="12.75">
      <c r="H414" s="247"/>
      <c r="I414" s="247"/>
      <c r="J414" s="308"/>
      <c r="K414" s="255"/>
      <c r="L414" s="255"/>
      <c r="M414" s="171"/>
      <c r="N414" s="171"/>
      <c r="O414" s="171"/>
      <c r="P414" s="171"/>
      <c r="Q414" s="171"/>
      <c r="R414" s="171"/>
      <c r="S414" s="171"/>
      <c r="T414" s="171"/>
      <c r="U414" s="171"/>
      <c r="V414" s="171"/>
      <c r="W414" s="171"/>
      <c r="X414" s="171"/>
    </row>
    <row r="415" spans="8:24" ht="12.75">
      <c r="H415" s="247"/>
      <c r="I415" s="247"/>
      <c r="J415" s="308"/>
      <c r="K415" s="255"/>
      <c r="L415" s="255"/>
      <c r="M415" s="171"/>
      <c r="N415" s="171"/>
      <c r="O415" s="171"/>
      <c r="P415" s="171"/>
      <c r="Q415" s="171"/>
      <c r="R415" s="171"/>
      <c r="S415" s="171"/>
      <c r="T415" s="171"/>
      <c r="U415" s="171"/>
      <c r="V415" s="171"/>
      <c r="W415" s="171"/>
      <c r="X415" s="171"/>
    </row>
    <row r="416" spans="8:24" ht="12.75">
      <c r="H416" s="247"/>
      <c r="I416" s="247"/>
      <c r="J416" s="308"/>
      <c r="K416" s="255"/>
      <c r="L416" s="255"/>
      <c r="M416" s="171"/>
      <c r="N416" s="171"/>
      <c r="O416" s="171"/>
      <c r="P416" s="171"/>
      <c r="Q416" s="171"/>
      <c r="R416" s="171"/>
      <c r="S416" s="171"/>
      <c r="T416" s="171"/>
      <c r="U416" s="171"/>
      <c r="V416" s="171"/>
      <c r="W416" s="171"/>
      <c r="X416" s="171"/>
    </row>
    <row r="417" spans="8:24" ht="12.75">
      <c r="H417" s="247"/>
      <c r="I417" s="247"/>
      <c r="J417" s="308"/>
      <c r="K417" s="255"/>
      <c r="L417" s="255"/>
      <c r="M417" s="171"/>
      <c r="N417" s="171"/>
      <c r="O417" s="171"/>
      <c r="P417" s="171"/>
      <c r="Q417" s="171"/>
      <c r="R417" s="171"/>
      <c r="S417" s="171"/>
      <c r="T417" s="171"/>
      <c r="U417" s="171"/>
      <c r="V417" s="171"/>
      <c r="W417" s="171"/>
      <c r="X417" s="171"/>
    </row>
    <row r="418" spans="8:24" ht="12.75">
      <c r="H418" s="247"/>
      <c r="I418" s="247"/>
      <c r="J418" s="308"/>
      <c r="K418" s="255"/>
      <c r="L418" s="255"/>
      <c r="M418" s="171"/>
      <c r="N418" s="171"/>
      <c r="O418" s="171"/>
      <c r="P418" s="171"/>
      <c r="Q418" s="171"/>
      <c r="R418" s="171"/>
      <c r="S418" s="171"/>
      <c r="T418" s="171"/>
      <c r="U418" s="171"/>
      <c r="V418" s="171"/>
      <c r="W418" s="171"/>
      <c r="X418" s="171"/>
    </row>
    <row r="419" spans="8:24" ht="12.75">
      <c r="H419" s="318"/>
      <c r="I419" s="319"/>
      <c r="J419" s="318"/>
      <c r="K419" s="319"/>
      <c r="L419" s="319"/>
      <c r="M419" s="169"/>
      <c r="N419" s="169"/>
      <c r="O419" s="169"/>
      <c r="P419" s="169"/>
      <c r="Q419" s="169"/>
      <c r="R419" s="169"/>
      <c r="S419" s="169"/>
      <c r="T419" s="169"/>
      <c r="U419" s="169"/>
      <c r="V419" s="169"/>
      <c r="W419" s="169"/>
      <c r="X419" s="169"/>
    </row>
    <row r="420" spans="25:39" ht="12.75">
      <c r="Y420" s="172"/>
      <c r="Z420" s="169"/>
      <c r="AA420" s="380"/>
      <c r="AB420" s="169"/>
      <c r="AC420" s="169"/>
      <c r="AD420" s="169"/>
      <c r="AE420" s="169"/>
      <c r="AF420" s="169"/>
      <c r="AG420" s="169"/>
      <c r="AH420" s="169"/>
      <c r="AI420" s="169"/>
      <c r="AJ420" s="169"/>
      <c r="AK420" s="169"/>
      <c r="AL420" s="169"/>
      <c r="AM420" s="169"/>
    </row>
    <row r="421" ht="12.75">
      <c r="Y421" s="164"/>
    </row>
    <row r="422" ht="12.75">
      <c r="Y422" s="164"/>
    </row>
    <row r="423" ht="12.75">
      <c r="Y423" s="164"/>
    </row>
    <row r="424" ht="12.75">
      <c r="Y424" s="164"/>
    </row>
    <row r="425" ht="12.75">
      <c r="Y425" s="164"/>
    </row>
    <row r="426" ht="12.75">
      <c r="Y426" s="164"/>
    </row>
    <row r="427" ht="12.75">
      <c r="Y427" s="164"/>
    </row>
    <row r="428" ht="12.75">
      <c r="Y428" s="164"/>
    </row>
    <row r="429" ht="12.75">
      <c r="Y429" s="164"/>
    </row>
    <row r="430" ht="12.75">
      <c r="Y430" s="164"/>
    </row>
    <row r="431" ht="12.75">
      <c r="Y431" s="164"/>
    </row>
    <row r="432" ht="12.75">
      <c r="Y432" s="164"/>
    </row>
    <row r="433" ht="12.75">
      <c r="Y433" s="164"/>
    </row>
    <row r="434" ht="12.75">
      <c r="Y434" s="164"/>
    </row>
    <row r="435" ht="12.75">
      <c r="Y435" s="164"/>
    </row>
    <row r="436" ht="12.75">
      <c r="Y436" s="164"/>
    </row>
    <row r="437" ht="12.75">
      <c r="Y437" s="164"/>
    </row>
    <row r="438" ht="12.75">
      <c r="Y438" s="164"/>
    </row>
    <row r="439" ht="12.75">
      <c r="Y439" s="164"/>
    </row>
    <row r="440" ht="12.75">
      <c r="Y440" s="164"/>
    </row>
    <row r="441" ht="12.75">
      <c r="Y441" s="161"/>
    </row>
    <row r="442" ht="12.75">
      <c r="Y442" s="161"/>
    </row>
    <row r="443" ht="12.75">
      <c r="Y443" s="161"/>
    </row>
    <row r="444" ht="12.75">
      <c r="Y444" s="161"/>
    </row>
    <row r="445" ht="12.75">
      <c r="Y445" s="161"/>
    </row>
    <row r="446" ht="12.75">
      <c r="Y446" s="161"/>
    </row>
    <row r="447" ht="12.75">
      <c r="Y447" s="161"/>
    </row>
    <row r="448" ht="12.75">
      <c r="Y448" s="161"/>
    </row>
    <row r="449" ht="12.75">
      <c r="Y449" s="161"/>
    </row>
    <row r="450" ht="12.75">
      <c r="Y450" s="161"/>
    </row>
    <row r="451" ht="12.75">
      <c r="Y451" s="161"/>
    </row>
    <row r="452" ht="12.75">
      <c r="Y452" s="161"/>
    </row>
    <row r="453" ht="12.75">
      <c r="Y453" s="161"/>
    </row>
    <row r="454" ht="12.75">
      <c r="Y454" s="161"/>
    </row>
    <row r="455" ht="12.75">
      <c r="Y455" s="161"/>
    </row>
    <row r="456" ht="12.75">
      <c r="Y456" s="161"/>
    </row>
    <row r="457" ht="12.75">
      <c r="Y457" s="161"/>
    </row>
    <row r="458" ht="12.75">
      <c r="Y458" s="161"/>
    </row>
    <row r="459" ht="12.75">
      <c r="Y459" s="161"/>
    </row>
    <row r="460" ht="12.75">
      <c r="Y460" s="161"/>
    </row>
    <row r="461" ht="12.75">
      <c r="Y461" s="161"/>
    </row>
    <row r="462" ht="12.75">
      <c r="Y462" s="161"/>
    </row>
    <row r="463" ht="12.75">
      <c r="Y463" s="161"/>
    </row>
    <row r="464" ht="12.75">
      <c r="Y464" s="161"/>
    </row>
    <row r="465" ht="12.75">
      <c r="Y465" s="161"/>
    </row>
    <row r="466" ht="12.75">
      <c r="Y466" s="161"/>
    </row>
    <row r="467" ht="12.75">
      <c r="Y467" s="161"/>
    </row>
    <row r="468" ht="12.75">
      <c r="Y468" s="161"/>
    </row>
    <row r="469" ht="12.75">
      <c r="Y469" s="161"/>
    </row>
    <row r="470" ht="12.75">
      <c r="Y470" s="161"/>
    </row>
    <row r="471" ht="12.75">
      <c r="Y471" s="161"/>
    </row>
    <row r="472" ht="12.75">
      <c r="Y472" s="161"/>
    </row>
    <row r="473" ht="12.75">
      <c r="Y473" s="161"/>
    </row>
    <row r="474" ht="12.75">
      <c r="Y474" s="161"/>
    </row>
    <row r="475" ht="12.75">
      <c r="Y475" s="161"/>
    </row>
    <row r="476" ht="12.75">
      <c r="Y476" s="161"/>
    </row>
    <row r="477" ht="12.75">
      <c r="Y477" s="161"/>
    </row>
    <row r="478" ht="12.75">
      <c r="Y478" s="161"/>
    </row>
    <row r="479" ht="12.75">
      <c r="Y479" s="161"/>
    </row>
    <row r="480" ht="12.75">
      <c r="Y480" s="161"/>
    </row>
    <row r="481" ht="12.75">
      <c r="Y481" s="161"/>
    </row>
    <row r="482" ht="12.75">
      <c r="Y482" s="161"/>
    </row>
    <row r="483" ht="12.75">
      <c r="Y483" s="161"/>
    </row>
    <row r="484" ht="12.75">
      <c r="Y484" s="161"/>
    </row>
    <row r="485" ht="12.75">
      <c r="Y485" s="161"/>
    </row>
    <row r="486" ht="12.75">
      <c r="Y486" s="161"/>
    </row>
    <row r="487" ht="12.75">
      <c r="Y487" s="161"/>
    </row>
    <row r="488" ht="12.75">
      <c r="Y488" s="161"/>
    </row>
    <row r="489" ht="12.75">
      <c r="Y489" s="161"/>
    </row>
    <row r="490" ht="12.75">
      <c r="Y490" s="161"/>
    </row>
    <row r="491" ht="12.75">
      <c r="Y491" s="161"/>
    </row>
    <row r="492" ht="12.75">
      <c r="Y492" s="161"/>
    </row>
    <row r="493" ht="12.75">
      <c r="Y493" s="161"/>
    </row>
    <row r="494" ht="12.75">
      <c r="Y494" s="161"/>
    </row>
    <row r="495" ht="12.75">
      <c r="Y495" s="161"/>
    </row>
    <row r="496" ht="12.75">
      <c r="Y496" s="161"/>
    </row>
    <row r="497" ht="12.75">
      <c r="Y497" s="161"/>
    </row>
    <row r="498" ht="12.75">
      <c r="Y498" s="161"/>
    </row>
    <row r="499" ht="12.75">
      <c r="Y499" s="161"/>
    </row>
    <row r="500" ht="12.75">
      <c r="Y500" s="161"/>
    </row>
    <row r="501" ht="12.75">
      <c r="Y501" s="161"/>
    </row>
    <row r="502" ht="12.75">
      <c r="Y502" s="161"/>
    </row>
    <row r="503" ht="12.75">
      <c r="Y503" s="161"/>
    </row>
    <row r="504" ht="12.75">
      <c r="Y504" s="161"/>
    </row>
    <row r="505" ht="12.75">
      <c r="Y505" s="161"/>
    </row>
    <row r="506" ht="12.75">
      <c r="Y506" s="161"/>
    </row>
    <row r="507" ht="12.75">
      <c r="Y507" s="161"/>
    </row>
    <row r="508" ht="12.75">
      <c r="Y508" s="161"/>
    </row>
    <row r="509" ht="12.75">
      <c r="Y509" s="161"/>
    </row>
    <row r="510" ht="12.75">
      <c r="Y510" s="161"/>
    </row>
    <row r="511" ht="12.75">
      <c r="Y511" s="161"/>
    </row>
    <row r="512" ht="12.75">
      <c r="Y512" s="161"/>
    </row>
    <row r="513" ht="12.75">
      <c r="Y513" s="161"/>
    </row>
    <row r="514" ht="12.75">
      <c r="Y514" s="161"/>
    </row>
    <row r="515" ht="12.75">
      <c r="Y515" s="161"/>
    </row>
    <row r="516" ht="12.75">
      <c r="Y516" s="161"/>
    </row>
    <row r="517" ht="12.75">
      <c r="Y517" s="161"/>
    </row>
    <row r="518" ht="12.75">
      <c r="Y518" s="161"/>
    </row>
    <row r="519" ht="12.75">
      <c r="Y519" s="161"/>
    </row>
    <row r="520" ht="12.75">
      <c r="Y520" s="161"/>
    </row>
    <row r="521" ht="12.75">
      <c r="Y521" s="161"/>
    </row>
    <row r="522" ht="12.75">
      <c r="Y522" s="161"/>
    </row>
    <row r="523" ht="12.75">
      <c r="Y523" s="161"/>
    </row>
    <row r="524" ht="12.75">
      <c r="Y524" s="161"/>
    </row>
    <row r="525" ht="12.75">
      <c r="Y525" s="161"/>
    </row>
    <row r="526" ht="12.75">
      <c r="Y526" s="161"/>
    </row>
    <row r="527" ht="12.75">
      <c r="Y527" s="161"/>
    </row>
    <row r="528" ht="12.75">
      <c r="Y528" s="161"/>
    </row>
    <row r="529" ht="12.75">
      <c r="Y529" s="161"/>
    </row>
    <row r="530" ht="12.75">
      <c r="Y530" s="161"/>
    </row>
    <row r="531" ht="12.75">
      <c r="Y531" s="161"/>
    </row>
    <row r="532" ht="12.75">
      <c r="Y532" s="161"/>
    </row>
    <row r="533" ht="12.75">
      <c r="Y533" s="161"/>
    </row>
    <row r="534" ht="12.75">
      <c r="Y534" s="161"/>
    </row>
    <row r="535" ht="12.75">
      <c r="Y535" s="161"/>
    </row>
    <row r="536" ht="12.75">
      <c r="Y536" s="161"/>
    </row>
    <row r="537" ht="12.75">
      <c r="Y537" s="161"/>
    </row>
    <row r="538" ht="12.75">
      <c r="Y538" s="161"/>
    </row>
    <row r="539" ht="12.75">
      <c r="Y539" s="161"/>
    </row>
    <row r="540" ht="12.75">
      <c r="Y540" s="161"/>
    </row>
    <row r="541" ht="12.75">
      <c r="Y541" s="161"/>
    </row>
    <row r="542" ht="12.75">
      <c r="Y542" s="161"/>
    </row>
    <row r="543" ht="12.75">
      <c r="Y543" s="161"/>
    </row>
    <row r="544" ht="12.75">
      <c r="Y544" s="161"/>
    </row>
    <row r="545" ht="12.75">
      <c r="Y545" s="161"/>
    </row>
    <row r="546" ht="12.75">
      <c r="Y546" s="161"/>
    </row>
    <row r="547" ht="12.75">
      <c r="Y547" s="161"/>
    </row>
    <row r="548" ht="12.75">
      <c r="Y548" s="161"/>
    </row>
    <row r="549" ht="12.75">
      <c r="Y549" s="161"/>
    </row>
    <row r="550" ht="12.75">
      <c r="Y550" s="161"/>
    </row>
    <row r="551" ht="12.75">
      <c r="Y551" s="161"/>
    </row>
    <row r="552" ht="12.75">
      <c r="Y552" s="161"/>
    </row>
    <row r="553" ht="12.75">
      <c r="Y553" s="161"/>
    </row>
    <row r="554" ht="12.75">
      <c r="Y554" s="161"/>
    </row>
    <row r="555" ht="12.75">
      <c r="Y555" s="161"/>
    </row>
    <row r="556" ht="12.75">
      <c r="Y556" s="161"/>
    </row>
    <row r="557" ht="12.75">
      <c r="Y557" s="161"/>
    </row>
    <row r="558" ht="12.75">
      <c r="Y558" s="161"/>
    </row>
    <row r="559" ht="12.75">
      <c r="Y559" s="161"/>
    </row>
    <row r="560" ht="12.75">
      <c r="Y560" s="161"/>
    </row>
    <row r="561" ht="12.75">
      <c r="Y561" s="161"/>
    </row>
    <row r="562" ht="12.75">
      <c r="Y562" s="161"/>
    </row>
    <row r="563" ht="12.75">
      <c r="Y563" s="161"/>
    </row>
    <row r="564" ht="12.75">
      <c r="Y564" s="161"/>
    </row>
    <row r="565" ht="12.75">
      <c r="Y565" s="161"/>
    </row>
    <row r="566" ht="12.75">
      <c r="Y566" s="161"/>
    </row>
    <row r="567" ht="12.75">
      <c r="Y567" s="161"/>
    </row>
    <row r="568" ht="12.75">
      <c r="Y568" s="161"/>
    </row>
    <row r="569" ht="12.75">
      <c r="Y569" s="161"/>
    </row>
    <row r="570" ht="12.75">
      <c r="Y570" s="161"/>
    </row>
    <row r="571" ht="12.75">
      <c r="Y571" s="161"/>
    </row>
    <row r="572" ht="12.75">
      <c r="Y572" s="161"/>
    </row>
    <row r="573" ht="12.75">
      <c r="Y573" s="161"/>
    </row>
    <row r="574" ht="12.75">
      <c r="Y574" s="161"/>
    </row>
    <row r="575" ht="12.75">
      <c r="Y575" s="161"/>
    </row>
    <row r="576" ht="12.75">
      <c r="Y576" s="161"/>
    </row>
    <row r="577" ht="12.75">
      <c r="Y577" s="161"/>
    </row>
    <row r="578" ht="12.75">
      <c r="Y578" s="161"/>
    </row>
    <row r="579" ht="12.75">
      <c r="Y579" s="161"/>
    </row>
    <row r="580" ht="12.75">
      <c r="Y580" s="161"/>
    </row>
    <row r="581" ht="12.75">
      <c r="Y581" s="161"/>
    </row>
    <row r="582" ht="12.75">
      <c r="Y582" s="161"/>
    </row>
    <row r="583" ht="12.75">
      <c r="Y583" s="161"/>
    </row>
    <row r="584" ht="12.75">
      <c r="Y584" s="161"/>
    </row>
    <row r="585" ht="12.75">
      <c r="Y585" s="161"/>
    </row>
    <row r="586" ht="12.75">
      <c r="Y586" s="161"/>
    </row>
    <row r="587" ht="12.75">
      <c r="Y587" s="161"/>
    </row>
    <row r="588" ht="12.75">
      <c r="Y588" s="161"/>
    </row>
    <row r="589" ht="12.75">
      <c r="Y589" s="161"/>
    </row>
    <row r="590" ht="12.75">
      <c r="Y590" s="161"/>
    </row>
    <row r="591" ht="12.75">
      <c r="Y591" s="161"/>
    </row>
    <row r="592" ht="12.75">
      <c r="Y592" s="161"/>
    </row>
    <row r="593" ht="12.75">
      <c r="Y593" s="161"/>
    </row>
    <row r="594" ht="12.75">
      <c r="Y594" s="161"/>
    </row>
    <row r="595" ht="12.75">
      <c r="Y595" s="161"/>
    </row>
    <row r="596" ht="12.75">
      <c r="Y596" s="161"/>
    </row>
    <row r="597" ht="12.75">
      <c r="Y597" s="161"/>
    </row>
    <row r="598" ht="12.75">
      <c r="Y598" s="161"/>
    </row>
    <row r="599" ht="12.75">
      <c r="Y599" s="161"/>
    </row>
    <row r="600" ht="12.75">
      <c r="Y600" s="161"/>
    </row>
    <row r="601" ht="12.75">
      <c r="Y601" s="161"/>
    </row>
    <row r="602" ht="12.75">
      <c r="Y602" s="161"/>
    </row>
    <row r="603" ht="12.75">
      <c r="Y603" s="161"/>
    </row>
    <row r="604" ht="12.75">
      <c r="Y604" s="161"/>
    </row>
    <row r="605" ht="12.75">
      <c r="Y605" s="161"/>
    </row>
    <row r="606" ht="12.75">
      <c r="Y606" s="161"/>
    </row>
    <row r="607" ht="12.75">
      <c r="Y607" s="161"/>
    </row>
    <row r="608" ht="12.75">
      <c r="Y608" s="161"/>
    </row>
    <row r="609" ht="12.75">
      <c r="Y609" s="161"/>
    </row>
    <row r="610" ht="12.75">
      <c r="Y610" s="161"/>
    </row>
    <row r="611" ht="12.75">
      <c r="Y611" s="161"/>
    </row>
    <row r="612" ht="12.75">
      <c r="Y612" s="161"/>
    </row>
    <row r="613" ht="12.75">
      <c r="Y613" s="161"/>
    </row>
    <row r="614" ht="12.75">
      <c r="Y614" s="161"/>
    </row>
    <row r="615" ht="12.75">
      <c r="Y615" s="161"/>
    </row>
    <row r="616" ht="12.75">
      <c r="Y616" s="161"/>
    </row>
    <row r="617" ht="12.75">
      <c r="Y617" s="161"/>
    </row>
    <row r="618" ht="12.75">
      <c r="Y618" s="161"/>
    </row>
    <row r="619" ht="12.75">
      <c r="Y619" s="161"/>
    </row>
    <row r="620" ht="12.75">
      <c r="Y620" s="161"/>
    </row>
    <row r="621" ht="12.75">
      <c r="Y621" s="161"/>
    </row>
    <row r="622" ht="12.75">
      <c r="Y622" s="161"/>
    </row>
    <row r="623" ht="12.75">
      <c r="Y623" s="161"/>
    </row>
    <row r="624" ht="12.75">
      <c r="Y624" s="161"/>
    </row>
    <row r="625" ht="12.75">
      <c r="Y625" s="161"/>
    </row>
    <row r="626" ht="12.75">
      <c r="Y626" s="161"/>
    </row>
    <row r="627" ht="12.75">
      <c r="Y627" s="161"/>
    </row>
    <row r="628" ht="12.75">
      <c r="Y628" s="161"/>
    </row>
    <row r="629" ht="12.75">
      <c r="Y629" s="161"/>
    </row>
    <row r="630" ht="12.75">
      <c r="Y630" s="161"/>
    </row>
    <row r="631" ht="12.75">
      <c r="Y631" s="161"/>
    </row>
    <row r="632" ht="12.75">
      <c r="Y632" s="161"/>
    </row>
    <row r="633" ht="12.75">
      <c r="Y633" s="161"/>
    </row>
    <row r="634" ht="12.75">
      <c r="Y634" s="161"/>
    </row>
    <row r="635" ht="12.75">
      <c r="Y635" s="161"/>
    </row>
    <row r="636" ht="12.75">
      <c r="Y636" s="161"/>
    </row>
    <row r="637" ht="12.75">
      <c r="Y637" s="161"/>
    </row>
    <row r="638" ht="12.75">
      <c r="Y638" s="161"/>
    </row>
    <row r="639" ht="12.75">
      <c r="Y639" s="161"/>
    </row>
    <row r="640" ht="12.75">
      <c r="Y640" s="161"/>
    </row>
    <row r="641" ht="12.75">
      <c r="Y641" s="161"/>
    </row>
    <row r="642" ht="12.75">
      <c r="Y642" s="161"/>
    </row>
    <row r="643" ht="12.75">
      <c r="Y643" s="161"/>
    </row>
    <row r="644" ht="12.75">
      <c r="Y644" s="161"/>
    </row>
    <row r="645" ht="12.75">
      <c r="Y645" s="161"/>
    </row>
    <row r="646" ht="12.75">
      <c r="Y646" s="161"/>
    </row>
    <row r="647" ht="12.75">
      <c r="Y647" s="161"/>
    </row>
    <row r="648" ht="12.75">
      <c r="Y648" s="161"/>
    </row>
    <row r="649" ht="12.75">
      <c r="Y649" s="161"/>
    </row>
    <row r="650" ht="12.75">
      <c r="Y650" s="161"/>
    </row>
    <row r="651" ht="12.75">
      <c r="Y651" s="161"/>
    </row>
    <row r="652" ht="12.75">
      <c r="Y652" s="161"/>
    </row>
    <row r="653" ht="12.75">
      <c r="Y653" s="161"/>
    </row>
    <row r="654" ht="12.75">
      <c r="Y654" s="161"/>
    </row>
    <row r="655" ht="12.75">
      <c r="Y655" s="161"/>
    </row>
    <row r="656" ht="12.75">
      <c r="Y656" s="161"/>
    </row>
    <row r="657" ht="12.75">
      <c r="Y657" s="161"/>
    </row>
    <row r="658" ht="12.75">
      <c r="Y658" s="161"/>
    </row>
    <row r="659" ht="12.75">
      <c r="Y659" s="161"/>
    </row>
    <row r="660" ht="12.75">
      <c r="Y660" s="161"/>
    </row>
    <row r="661" ht="12.75">
      <c r="Y661" s="161"/>
    </row>
    <row r="662" ht="12.75">
      <c r="Y662" s="161"/>
    </row>
    <row r="663" ht="12.75">
      <c r="Y663" s="161"/>
    </row>
    <row r="664" ht="12.75">
      <c r="Y664" s="161"/>
    </row>
    <row r="665" ht="12.75">
      <c r="Y665" s="161"/>
    </row>
    <row r="666" ht="12.75">
      <c r="Y666" s="161"/>
    </row>
    <row r="667" ht="12.75">
      <c r="Y667" s="161"/>
    </row>
    <row r="668" ht="12.75">
      <c r="Y668" s="161"/>
    </row>
    <row r="669" ht="12.75">
      <c r="Y669" s="161"/>
    </row>
    <row r="670" ht="12.75">
      <c r="Y670" s="161"/>
    </row>
    <row r="671" ht="12.75">
      <c r="Y671" s="161"/>
    </row>
    <row r="672" ht="12.75">
      <c r="Y672" s="161"/>
    </row>
    <row r="673" ht="12.75">
      <c r="Y673" s="161"/>
    </row>
    <row r="674" ht="12.75">
      <c r="Y674" s="161"/>
    </row>
    <row r="675" ht="12.75">
      <c r="Y675" s="161"/>
    </row>
    <row r="676" ht="12.75">
      <c r="Y676" s="161"/>
    </row>
    <row r="677" ht="12.75">
      <c r="Y677" s="161"/>
    </row>
    <row r="678" ht="12.75">
      <c r="Y678" s="161"/>
    </row>
    <row r="679" ht="12.75">
      <c r="Y679" s="161"/>
    </row>
    <row r="680" ht="12.75">
      <c r="Y680" s="161"/>
    </row>
    <row r="681" ht="12.75">
      <c r="Y681" s="161"/>
    </row>
    <row r="682" ht="12.75">
      <c r="Y682" s="161"/>
    </row>
    <row r="683" ht="12.75">
      <c r="Y683" s="161"/>
    </row>
    <row r="684" ht="12.75">
      <c r="Y684" s="161"/>
    </row>
    <row r="685" ht="12.75">
      <c r="Y685" s="161"/>
    </row>
    <row r="686" ht="12.75">
      <c r="Y686" s="161"/>
    </row>
    <row r="687" ht="12.75">
      <c r="Y687" s="161"/>
    </row>
    <row r="688" ht="12.75">
      <c r="Y688" s="161"/>
    </row>
    <row r="689" ht="12.75">
      <c r="Y689" s="161"/>
    </row>
    <row r="690" ht="12.75">
      <c r="Y690" s="161"/>
    </row>
    <row r="691" ht="12.75">
      <c r="Y691" s="161"/>
    </row>
    <row r="692" ht="12.75">
      <c r="Y692" s="161"/>
    </row>
    <row r="693" ht="12.75">
      <c r="Y693" s="161"/>
    </row>
    <row r="694" ht="12.75">
      <c r="Y694" s="161"/>
    </row>
    <row r="695" ht="12.75">
      <c r="Y695" s="161"/>
    </row>
    <row r="696" ht="12.75">
      <c r="Y696" s="161"/>
    </row>
    <row r="697" ht="12.75">
      <c r="Y697" s="161"/>
    </row>
    <row r="698" ht="12.75">
      <c r="Y698" s="161"/>
    </row>
    <row r="699" ht="12.75">
      <c r="Y699" s="161"/>
    </row>
    <row r="700" ht="12.75">
      <c r="Y700" s="161"/>
    </row>
    <row r="701" ht="12.75">
      <c r="Y701" s="161"/>
    </row>
    <row r="702" ht="12.75">
      <c r="Y702" s="161"/>
    </row>
    <row r="703" ht="12.75">
      <c r="Y703" s="161"/>
    </row>
    <row r="704" ht="12.75">
      <c r="Y704" s="161"/>
    </row>
    <row r="705" ht="12.75">
      <c r="Y705" s="161"/>
    </row>
    <row r="706" ht="12.75">
      <c r="Y706" s="161"/>
    </row>
    <row r="707" ht="12.75">
      <c r="Y707" s="161"/>
    </row>
    <row r="708" ht="12.75">
      <c r="Y708" s="161"/>
    </row>
    <row r="709" ht="12.75">
      <c r="Y709" s="161"/>
    </row>
    <row r="710" ht="12.75">
      <c r="Y710" s="161"/>
    </row>
    <row r="711" ht="12.75">
      <c r="Y711" s="161"/>
    </row>
    <row r="712" ht="12.75">
      <c r="Y712" s="161"/>
    </row>
    <row r="713" ht="12.75">
      <c r="Y713" s="161"/>
    </row>
    <row r="714" ht="12.75">
      <c r="Y714" s="161"/>
    </row>
    <row r="715" ht="12.75">
      <c r="Y715" s="161"/>
    </row>
    <row r="716" ht="12.75">
      <c r="Y716" s="161"/>
    </row>
    <row r="717" ht="12.75">
      <c r="Y717" s="161"/>
    </row>
    <row r="718" ht="12.75">
      <c r="Y718" s="161"/>
    </row>
    <row r="719" ht="12.75">
      <c r="Y719" s="161"/>
    </row>
    <row r="720" ht="12.75">
      <c r="Y720" s="161"/>
    </row>
    <row r="721" ht="12.75">
      <c r="Y721" s="161"/>
    </row>
    <row r="722" ht="12.75">
      <c r="Y722" s="161"/>
    </row>
    <row r="723" ht="12.75">
      <c r="Y723" s="161"/>
    </row>
    <row r="724" ht="12.75">
      <c r="Y724" s="161"/>
    </row>
    <row r="725" ht="12.75">
      <c r="Y725" s="161"/>
    </row>
    <row r="726" ht="12.75">
      <c r="Y726" s="161"/>
    </row>
    <row r="727" ht="12.75">
      <c r="Y727" s="161"/>
    </row>
    <row r="728" ht="12.75">
      <c r="Y728" s="161"/>
    </row>
    <row r="729" ht="12.75">
      <c r="Y729" s="161"/>
    </row>
    <row r="730" ht="12.75">
      <c r="Y730" s="161"/>
    </row>
    <row r="731" ht="12.75">
      <c r="Y731" s="161"/>
    </row>
    <row r="732" ht="12.75">
      <c r="Y732" s="161"/>
    </row>
    <row r="733" ht="12.75">
      <c r="Y733" s="161"/>
    </row>
    <row r="734" ht="12.75">
      <c r="Y734" s="161"/>
    </row>
    <row r="735" ht="12.75">
      <c r="Y735" s="161"/>
    </row>
    <row r="736" ht="12.75">
      <c r="Y736" s="161"/>
    </row>
    <row r="737" ht="12.75">
      <c r="Y737" s="161"/>
    </row>
    <row r="738" ht="12.75">
      <c r="Y738" s="161"/>
    </row>
    <row r="739" ht="12.75">
      <c r="Y739" s="161"/>
    </row>
    <row r="740" ht="12.75">
      <c r="Y740" s="161"/>
    </row>
    <row r="741" ht="12.75">
      <c r="Y741" s="161"/>
    </row>
    <row r="742" ht="12.75">
      <c r="Y742" s="161"/>
    </row>
    <row r="743" ht="12.75">
      <c r="Y743" s="161"/>
    </row>
    <row r="744" ht="12.75">
      <c r="Y744" s="161"/>
    </row>
    <row r="745" ht="12.75">
      <c r="Y745" s="161"/>
    </row>
    <row r="746" ht="12.75">
      <c r="Y746" s="161"/>
    </row>
    <row r="747" ht="12.75">
      <c r="Y747" s="161"/>
    </row>
    <row r="748" ht="12.75">
      <c r="Y748" s="161"/>
    </row>
    <row r="749" ht="12.75">
      <c r="Y749" s="161"/>
    </row>
    <row r="750" ht="12.75">
      <c r="Y750" s="161"/>
    </row>
    <row r="751" ht="12.75">
      <c r="Y751" s="161"/>
    </row>
    <row r="752" ht="12.75">
      <c r="Y752" s="161"/>
    </row>
    <row r="753" ht="12.75">
      <c r="Y753" s="161"/>
    </row>
    <row r="754" ht="12.75">
      <c r="Y754" s="161"/>
    </row>
    <row r="755" ht="12.75">
      <c r="Y755" s="161"/>
    </row>
    <row r="756" ht="12.75">
      <c r="Y756" s="161"/>
    </row>
    <row r="757" ht="12.75">
      <c r="Y757" s="161"/>
    </row>
    <row r="758" ht="12.75">
      <c r="Y758" s="161"/>
    </row>
    <row r="759" ht="12.75">
      <c r="Y759" s="161"/>
    </row>
    <row r="760" ht="12.75">
      <c r="Y760" s="161"/>
    </row>
    <row r="761" ht="12.75">
      <c r="Y761" s="161"/>
    </row>
    <row r="762" ht="12.75">
      <c r="Y762" s="161"/>
    </row>
    <row r="763" ht="12.75">
      <c r="Y763" s="161"/>
    </row>
    <row r="764" ht="12.75">
      <c r="Y764" s="161"/>
    </row>
    <row r="765" ht="12.75">
      <c r="Y765" s="161"/>
    </row>
    <row r="766" ht="12.75">
      <c r="Y766" s="161"/>
    </row>
    <row r="767" ht="12.75">
      <c r="Y767" s="161"/>
    </row>
    <row r="768" ht="12.75">
      <c r="Y768" s="161"/>
    </row>
    <row r="769" ht="12.75">
      <c r="Y769" s="161"/>
    </row>
    <row r="770" ht="12.75">
      <c r="Y770" s="161"/>
    </row>
    <row r="771" ht="12.75">
      <c r="Y771" s="161"/>
    </row>
    <row r="772" ht="12.75">
      <c r="Y772" s="161"/>
    </row>
    <row r="773" ht="12.75">
      <c r="Y773" s="161"/>
    </row>
    <row r="774" ht="12.75">
      <c r="Y774" s="161"/>
    </row>
    <row r="775" ht="12.75">
      <c r="Y775" s="161"/>
    </row>
    <row r="776" ht="12.75">
      <c r="Y776" s="161"/>
    </row>
    <row r="777" ht="12.75">
      <c r="Y777" s="161"/>
    </row>
    <row r="778" ht="12.75">
      <c r="Y778" s="161"/>
    </row>
    <row r="779" ht="12.75">
      <c r="Y779" s="161"/>
    </row>
    <row r="780" ht="12.75">
      <c r="Y780" s="161"/>
    </row>
    <row r="781" ht="12.75">
      <c r="Y781" s="161"/>
    </row>
    <row r="782" ht="12.75">
      <c r="Y782" s="161"/>
    </row>
    <row r="783" ht="12.75">
      <c r="Y783" s="161"/>
    </row>
    <row r="784" ht="12.75">
      <c r="Y784" s="161"/>
    </row>
    <row r="785" ht="12.75">
      <c r="Y785" s="161"/>
    </row>
    <row r="786" ht="12.75">
      <c r="Y786" s="161"/>
    </row>
    <row r="787" ht="12.75">
      <c r="Y787" s="161"/>
    </row>
    <row r="788" ht="12.75">
      <c r="Y788" s="161"/>
    </row>
    <row r="789" ht="12.75">
      <c r="Y789" s="161"/>
    </row>
    <row r="790" ht="12.75">
      <c r="Y790" s="161"/>
    </row>
    <row r="791" ht="12.75">
      <c r="Y791" s="161"/>
    </row>
    <row r="792" ht="12.75">
      <c r="Y792" s="161"/>
    </row>
    <row r="793" ht="12.75">
      <c r="Y793" s="161"/>
    </row>
    <row r="794" ht="12.75">
      <c r="Y794" s="161"/>
    </row>
    <row r="795" ht="12.75">
      <c r="Y795" s="161"/>
    </row>
    <row r="796" ht="12.75">
      <c r="Y796" s="161"/>
    </row>
    <row r="797" ht="12.75">
      <c r="Y797" s="161"/>
    </row>
    <row r="798" ht="12.75">
      <c r="Y798" s="161"/>
    </row>
    <row r="799" ht="12.75">
      <c r="Y799" s="161"/>
    </row>
    <row r="800" ht="12.75">
      <c r="Y800" s="161"/>
    </row>
    <row r="801" ht="12.75">
      <c r="Y801" s="161"/>
    </row>
    <row r="802" ht="12.75">
      <c r="Y802" s="161"/>
    </row>
    <row r="803" ht="12.75">
      <c r="Y803" s="161"/>
    </row>
    <row r="804" ht="12.75">
      <c r="Y804" s="161"/>
    </row>
    <row r="805" ht="12.75">
      <c r="Y805" s="161"/>
    </row>
    <row r="806" ht="12.75">
      <c r="Y806" s="161"/>
    </row>
    <row r="807" ht="12.75">
      <c r="Y807" s="161"/>
    </row>
    <row r="808" ht="12.75">
      <c r="Y808" s="161"/>
    </row>
    <row r="809" ht="12.75">
      <c r="Y809" s="161"/>
    </row>
    <row r="810" ht="12.75">
      <c r="Y810" s="161"/>
    </row>
    <row r="811" ht="12.75">
      <c r="Y811" s="161"/>
    </row>
    <row r="812" ht="12.75">
      <c r="Y812" s="161"/>
    </row>
    <row r="813" ht="12.75">
      <c r="Y813" s="161"/>
    </row>
    <row r="814" ht="12.75">
      <c r="Y814" s="161"/>
    </row>
    <row r="815" ht="12.75">
      <c r="Y815" s="161"/>
    </row>
    <row r="816" ht="12.75">
      <c r="Y816" s="161"/>
    </row>
    <row r="817" ht="12.75">
      <c r="Y817" s="161"/>
    </row>
    <row r="818" ht="12.75">
      <c r="Y818" s="161"/>
    </row>
    <row r="819" ht="12.75">
      <c r="Y819" s="161"/>
    </row>
    <row r="820" ht="12.75">
      <c r="Y820" s="161"/>
    </row>
    <row r="821" ht="12.75">
      <c r="Y821" s="161"/>
    </row>
    <row r="822" ht="12.75">
      <c r="Y822" s="161"/>
    </row>
    <row r="823" ht="12.75">
      <c r="Y823" s="161"/>
    </row>
    <row r="824" ht="12.75">
      <c r="Y824" s="161"/>
    </row>
    <row r="825" ht="12.75">
      <c r="Y825" s="161"/>
    </row>
    <row r="826" ht="12.75">
      <c r="Y826" s="161"/>
    </row>
    <row r="827" ht="12.75">
      <c r="Y827" s="161"/>
    </row>
    <row r="828" ht="12.75">
      <c r="Y828" s="161"/>
    </row>
    <row r="829" ht="12.75">
      <c r="Y829" s="193"/>
    </row>
    <row r="830" ht="12.75">
      <c r="Y830" s="193"/>
    </row>
    <row r="831" ht="12.75">
      <c r="Y831" s="193"/>
    </row>
    <row r="832" ht="12.75">
      <c r="Y832" s="193"/>
    </row>
    <row r="833" ht="12.75">
      <c r="Y833" s="193"/>
    </row>
    <row r="834" ht="12.75">
      <c r="Y834" s="193"/>
    </row>
    <row r="835" ht="12.75">
      <c r="Y835" s="193"/>
    </row>
    <row r="836" ht="12.75">
      <c r="Y836" s="193"/>
    </row>
    <row r="837" ht="12.75">
      <c r="Y837" s="193"/>
    </row>
    <row r="838" ht="12.75">
      <c r="Y838" s="193"/>
    </row>
    <row r="839" ht="12.75">
      <c r="Y839" s="193"/>
    </row>
    <row r="840" ht="12.75">
      <c r="Y840" s="193"/>
    </row>
    <row r="841" ht="12.75">
      <c r="Y841" s="193"/>
    </row>
    <row r="842" ht="12.75">
      <c r="Y842" s="193"/>
    </row>
    <row r="843" ht="12.75">
      <c r="Y843" s="193"/>
    </row>
    <row r="844" ht="12.75">
      <c r="Y844" s="193"/>
    </row>
    <row r="845" ht="12.75">
      <c r="Y845" s="193"/>
    </row>
    <row r="846" ht="12.75">
      <c r="Y846" s="193"/>
    </row>
    <row r="847" ht="12.75">
      <c r="Y847" s="193"/>
    </row>
    <row r="848" ht="12.75">
      <c r="Y848" s="193"/>
    </row>
    <row r="849" ht="12.75">
      <c r="Y849" s="193"/>
    </row>
    <row r="850" ht="12.75">
      <c r="Y850" s="193"/>
    </row>
    <row r="851" ht="12.75">
      <c r="Y851" s="193"/>
    </row>
    <row r="852" ht="12.75">
      <c r="Y852" s="193"/>
    </row>
    <row r="853" ht="12.75">
      <c r="Y853" s="193"/>
    </row>
    <row r="854" ht="12.75">
      <c r="Y854" s="193"/>
    </row>
    <row r="855" ht="12.75">
      <c r="Y855" s="193"/>
    </row>
    <row r="856" ht="12.75">
      <c r="Y856" s="193"/>
    </row>
    <row r="857" ht="12.75">
      <c r="Y857" s="193"/>
    </row>
    <row r="858" ht="12.75">
      <c r="Y858" s="193"/>
    </row>
    <row r="859" ht="12.75">
      <c r="Y859" s="193"/>
    </row>
    <row r="860" ht="12.75">
      <c r="Y860" s="193"/>
    </row>
    <row r="861" ht="12.75">
      <c r="Y861" s="193"/>
    </row>
    <row r="862" ht="12.75">
      <c r="Y862" s="193"/>
    </row>
    <row r="863" ht="12.75">
      <c r="Y863" s="193"/>
    </row>
    <row r="864" ht="12.75">
      <c r="Y864" s="193"/>
    </row>
    <row r="865" ht="12.75">
      <c r="Y865" s="193"/>
    </row>
    <row r="866" ht="12.75">
      <c r="Y866" s="193"/>
    </row>
    <row r="867" ht="12.75">
      <c r="Y867" s="193"/>
    </row>
    <row r="868" ht="12.75">
      <c r="Y868" s="193"/>
    </row>
    <row r="869" ht="12.75">
      <c r="Y869" s="193"/>
    </row>
    <row r="870" ht="12.75">
      <c r="Y870" s="193"/>
    </row>
    <row r="871" ht="12.75">
      <c r="Y871" s="193"/>
    </row>
    <row r="872" ht="12.75">
      <c r="Y872" s="193"/>
    </row>
    <row r="873" ht="12.75">
      <c r="Y873" s="193"/>
    </row>
    <row r="874" ht="12.75">
      <c r="Y874" s="193"/>
    </row>
    <row r="875" ht="12.75">
      <c r="Y875" s="193"/>
    </row>
    <row r="876" ht="12.75">
      <c r="Y876" s="193"/>
    </row>
    <row r="877" ht="12.75">
      <c r="Y877" s="193"/>
    </row>
    <row r="878" ht="12.75">
      <c r="Y878" s="193"/>
    </row>
    <row r="879" ht="12.75">
      <c r="Y879" s="193"/>
    </row>
    <row r="880" ht="12.75">
      <c r="Y880" s="193"/>
    </row>
    <row r="881" ht="12.75">
      <c r="Y881" s="193"/>
    </row>
    <row r="882" ht="12.75">
      <c r="Y882" s="193"/>
    </row>
    <row r="883" ht="12.75">
      <c r="Y883" s="193"/>
    </row>
    <row r="884" ht="12.75">
      <c r="Y884" s="193"/>
    </row>
    <row r="885" ht="12.75">
      <c r="Y885" s="193"/>
    </row>
    <row r="886" ht="12.75">
      <c r="Y886" s="193"/>
    </row>
    <row r="887" ht="12.75">
      <c r="Y887" s="193"/>
    </row>
    <row r="888" ht="12.75">
      <c r="Y888" s="193"/>
    </row>
    <row r="889" ht="12.75">
      <c r="Y889" s="193"/>
    </row>
    <row r="890" ht="12.75">
      <c r="Y890" s="193"/>
    </row>
    <row r="891" ht="12.75">
      <c r="Y891" s="193"/>
    </row>
  </sheetData>
  <mergeCells count="4">
    <mergeCell ref="T6:V6"/>
    <mergeCell ref="D1:V1"/>
    <mergeCell ref="D3:V3"/>
    <mergeCell ref="D2:V2"/>
  </mergeCells>
  <printOptions horizontalCentered="1"/>
  <pageMargins left="0.5" right="0.5" top="1" bottom="0.5" header="0.5" footer="0.5"/>
  <pageSetup fitToHeight="0" horizontalDpi="600" verticalDpi="600" orientation="landscape" scale="70" r:id="rId1"/>
  <rowBreaks count="9" manualBreakCount="9">
    <brk id="51" min="3" max="21" man="1"/>
    <brk id="94" min="3" max="21" man="1"/>
    <brk id="120" min="3" max="21" man="1"/>
    <brk id="165" min="3" max="21" man="1"/>
    <brk id="204" min="3" max="21" man="1"/>
    <brk id="234" min="26" max="46" man="1"/>
    <brk id="243" min="3" max="21" man="1"/>
    <brk id="282" min="3" max="21" man="1"/>
    <brk id="316" min="3" max="21" man="1"/>
  </rowBreaks>
</worksheet>
</file>

<file path=xl/worksheets/sheet10.xml><?xml version="1.0" encoding="utf-8"?>
<worksheet xmlns="http://schemas.openxmlformats.org/spreadsheetml/2006/main" xmlns:r="http://schemas.openxmlformats.org/officeDocument/2006/relationships">
  <dimension ref="A1:AU84"/>
  <sheetViews>
    <sheetView workbookViewId="0" topLeftCell="A1">
      <selection activeCell="A1" sqref="A1"/>
    </sheetView>
  </sheetViews>
  <sheetFormatPr defaultColWidth="8.88671875" defaultRowHeight="12.75"/>
  <cols>
    <col min="2" max="2" width="6.77734375" style="137" customWidth="1"/>
    <col min="3" max="3" width="1.77734375" style="137" customWidth="1"/>
    <col min="4" max="4" width="7.77734375" style="137" customWidth="1"/>
    <col min="5" max="5" width="1.77734375" style="137" customWidth="1"/>
    <col min="6" max="6" width="7.77734375" style="137" customWidth="1"/>
    <col min="7" max="7" width="1.77734375" style="137" customWidth="1"/>
    <col min="8" max="8" width="8.88671875" style="137" customWidth="1"/>
    <col min="9" max="9" width="1.77734375" style="137" customWidth="1"/>
    <col min="10" max="10" width="7.77734375" style="137" customWidth="1"/>
    <col min="11" max="11" width="1.77734375" style="137" customWidth="1"/>
    <col min="12" max="12" width="7.77734375" style="137" customWidth="1"/>
    <col min="13" max="13" width="1.77734375" style="137" customWidth="1"/>
    <col min="14" max="14" width="7.77734375" style="137" customWidth="1"/>
    <col min="15" max="15" width="1.77734375" style="137" customWidth="1"/>
    <col min="16" max="16" width="7.77734375" style="137" customWidth="1"/>
    <col min="17" max="17" width="1.77734375" style="137" customWidth="1"/>
    <col min="18" max="18" width="7.77734375" style="137" customWidth="1"/>
    <col min="19" max="19" width="1.77734375" style="137" customWidth="1"/>
    <col min="20" max="20" width="7.77734375" style="137" customWidth="1"/>
    <col min="21" max="21" width="1.77734375" style="137" customWidth="1"/>
    <col min="22" max="22" width="7.77734375" style="137" customWidth="1"/>
    <col min="23" max="23" width="1.77734375" style="137" customWidth="1"/>
    <col min="24" max="24" width="7.77734375" style="137" customWidth="1"/>
    <col min="25" max="25" width="1.77734375" style="137" customWidth="1"/>
    <col min="26" max="26" width="7.77734375" style="137" customWidth="1"/>
    <col min="27" max="27" width="1.77734375" style="137" customWidth="1"/>
    <col min="28" max="28" width="7.77734375" style="137" customWidth="1"/>
    <col min="29" max="29" width="1.77734375" style="137" customWidth="1"/>
    <col min="30" max="30" width="7.77734375" style="137" customWidth="1"/>
    <col min="31" max="31" width="1.77734375" style="137" customWidth="1"/>
    <col min="32" max="32" width="8.88671875" style="137" customWidth="1"/>
    <col min="33" max="33" width="9.77734375" style="0" customWidth="1"/>
    <col min="38" max="38" width="1.77734375" style="0" customWidth="1"/>
    <col min="43" max="43" width="1.88671875" style="0" customWidth="1"/>
    <col min="45" max="45" width="10.10546875" style="0" customWidth="1"/>
  </cols>
  <sheetData>
    <row r="1" spans="2:33" ht="15">
      <c r="B1" s="346" t="s">
        <v>369</v>
      </c>
      <c r="C1" s="331"/>
      <c r="D1" s="331"/>
      <c r="E1" s="331"/>
      <c r="F1" s="331"/>
      <c r="G1" s="331"/>
      <c r="H1" s="331"/>
      <c r="I1" s="331"/>
      <c r="J1" s="331"/>
      <c r="K1" s="331"/>
      <c r="L1" s="331"/>
      <c r="M1" s="331"/>
      <c r="N1" s="346"/>
      <c r="O1" s="331"/>
      <c r="P1" s="331"/>
      <c r="Q1" s="331"/>
      <c r="R1" s="331"/>
      <c r="S1" s="331"/>
      <c r="T1" s="331"/>
      <c r="U1" s="331"/>
      <c r="V1" s="331"/>
      <c r="W1" s="331"/>
      <c r="X1" s="331"/>
      <c r="Y1" s="331"/>
      <c r="Z1" s="331"/>
      <c r="AA1" s="331"/>
      <c r="AB1" s="331"/>
      <c r="AC1" s="331"/>
      <c r="AD1" s="331"/>
      <c r="AE1" s="331"/>
      <c r="AF1" s="331"/>
      <c r="AG1" s="437"/>
    </row>
    <row r="2" spans="2:33" ht="15">
      <c r="B2" s="346" t="s">
        <v>370</v>
      </c>
      <c r="C2" s="331"/>
      <c r="D2" s="331"/>
      <c r="E2" s="331"/>
      <c r="F2" s="331"/>
      <c r="G2" s="331"/>
      <c r="H2" s="331"/>
      <c r="I2" s="331"/>
      <c r="J2" s="331"/>
      <c r="K2" s="331"/>
      <c r="L2" s="331"/>
      <c r="M2" s="331"/>
      <c r="N2" s="346"/>
      <c r="O2" s="331"/>
      <c r="P2" s="331"/>
      <c r="Q2" s="331"/>
      <c r="R2" s="331"/>
      <c r="S2" s="331"/>
      <c r="T2" s="331"/>
      <c r="U2" s="331"/>
      <c r="V2" s="331"/>
      <c r="W2" s="331"/>
      <c r="X2" s="331"/>
      <c r="Y2" s="331"/>
      <c r="Z2" s="331"/>
      <c r="AA2" s="331"/>
      <c r="AB2" s="331"/>
      <c r="AC2" s="331"/>
      <c r="AD2" s="331"/>
      <c r="AE2" s="331"/>
      <c r="AF2" s="331"/>
      <c r="AG2" s="437"/>
    </row>
    <row r="3" spans="2:33" ht="15">
      <c r="B3" s="331" t="s">
        <v>568</v>
      </c>
      <c r="C3" s="331"/>
      <c r="D3" s="331"/>
      <c r="E3" s="331"/>
      <c r="F3" s="331"/>
      <c r="G3" s="331"/>
      <c r="H3" s="331"/>
      <c r="I3" s="331"/>
      <c r="J3" s="346"/>
      <c r="K3" s="331"/>
      <c r="L3" s="331"/>
      <c r="M3" s="331"/>
      <c r="N3" s="331"/>
      <c r="O3" s="331"/>
      <c r="P3" s="331"/>
      <c r="Q3" s="331"/>
      <c r="R3" s="331"/>
      <c r="S3" s="331"/>
      <c r="T3" s="331"/>
      <c r="U3" s="331"/>
      <c r="V3" s="331"/>
      <c r="W3" s="331"/>
      <c r="X3" s="331"/>
      <c r="Y3" s="331"/>
      <c r="Z3" s="331"/>
      <c r="AA3" s="331"/>
      <c r="AB3" s="331"/>
      <c r="AC3" s="331"/>
      <c r="AD3" s="331"/>
      <c r="AE3" s="331"/>
      <c r="AF3" s="331"/>
      <c r="AG3" s="437"/>
    </row>
    <row r="4" spans="2:33" ht="15">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437"/>
    </row>
    <row r="5" spans="2:33" ht="15">
      <c r="B5" s="333"/>
      <c r="C5" s="333"/>
      <c r="D5" s="333"/>
      <c r="E5" s="333"/>
      <c r="F5" s="332"/>
      <c r="G5" s="333"/>
      <c r="H5" s="333"/>
      <c r="I5" s="333"/>
      <c r="J5" s="332"/>
      <c r="K5" s="333"/>
      <c r="L5" s="333"/>
      <c r="M5" s="333"/>
      <c r="N5" s="332"/>
      <c r="O5" s="333"/>
      <c r="P5" s="333"/>
      <c r="Q5" s="333"/>
      <c r="R5" s="332"/>
      <c r="S5" s="333"/>
      <c r="T5" s="333"/>
      <c r="U5" s="333"/>
      <c r="V5" s="332"/>
      <c r="W5" s="333"/>
      <c r="X5" s="333"/>
      <c r="Y5" s="333"/>
      <c r="Z5" s="332"/>
      <c r="AA5" s="333"/>
      <c r="AB5" s="333"/>
      <c r="AC5" s="333"/>
      <c r="AD5" s="332"/>
      <c r="AE5" s="333"/>
      <c r="AF5" s="333"/>
      <c r="AG5" s="437"/>
    </row>
    <row r="6" spans="2:33" ht="15">
      <c r="B6" s="334"/>
      <c r="C6" s="334"/>
      <c r="D6" s="334" t="s">
        <v>569</v>
      </c>
      <c r="E6" s="334"/>
      <c r="F6" s="331" t="s">
        <v>383</v>
      </c>
      <c r="G6" s="331"/>
      <c r="H6" s="331"/>
      <c r="I6" s="334"/>
      <c r="J6" s="331" t="s">
        <v>384</v>
      </c>
      <c r="K6" s="331"/>
      <c r="L6" s="331"/>
      <c r="M6" s="334"/>
      <c r="N6" s="331" t="s">
        <v>385</v>
      </c>
      <c r="O6" s="331"/>
      <c r="P6" s="331"/>
      <c r="Q6" s="334"/>
      <c r="R6" s="331" t="s">
        <v>387</v>
      </c>
      <c r="S6" s="331"/>
      <c r="T6" s="331"/>
      <c r="U6" s="334"/>
      <c r="V6" s="331" t="s">
        <v>508</v>
      </c>
      <c r="W6" s="331"/>
      <c r="X6" s="331"/>
      <c r="Y6" s="334"/>
      <c r="Z6" s="331" t="s">
        <v>389</v>
      </c>
      <c r="AA6" s="331"/>
      <c r="AB6" s="331"/>
      <c r="AC6" s="334"/>
      <c r="AD6" s="331" t="s">
        <v>512</v>
      </c>
      <c r="AE6" s="331"/>
      <c r="AF6" s="331"/>
      <c r="AG6" s="437"/>
    </row>
    <row r="7" spans="2:34" ht="15">
      <c r="B7" s="334" t="s">
        <v>570</v>
      </c>
      <c r="C7" s="334"/>
      <c r="D7" s="334" t="s">
        <v>514</v>
      </c>
      <c r="E7" s="334"/>
      <c r="F7" s="335" t="s">
        <v>494</v>
      </c>
      <c r="G7" s="335"/>
      <c r="H7" s="335"/>
      <c r="I7" s="334"/>
      <c r="J7" s="335" t="s">
        <v>494</v>
      </c>
      <c r="K7" s="335"/>
      <c r="L7" s="335"/>
      <c r="M7" s="334"/>
      <c r="N7" s="335" t="s">
        <v>494</v>
      </c>
      <c r="O7" s="335"/>
      <c r="P7" s="335"/>
      <c r="Q7" s="334"/>
      <c r="R7" s="335" t="s">
        <v>494</v>
      </c>
      <c r="S7" s="335"/>
      <c r="T7" s="335"/>
      <c r="U7" s="334"/>
      <c r="V7" s="335" t="s">
        <v>494</v>
      </c>
      <c r="W7" s="335"/>
      <c r="X7" s="335"/>
      <c r="Y7" s="334"/>
      <c r="Z7" s="335" t="s">
        <v>494</v>
      </c>
      <c r="AA7" s="335"/>
      <c r="AB7" s="335"/>
      <c r="AC7" s="334"/>
      <c r="AD7" s="335" t="s">
        <v>494</v>
      </c>
      <c r="AE7" s="335"/>
      <c r="AF7" s="335"/>
      <c r="AG7" s="437"/>
      <c r="AH7" s="247"/>
    </row>
    <row r="8" spans="2:47" ht="15">
      <c r="B8" s="334" t="s">
        <v>515</v>
      </c>
      <c r="C8" s="334"/>
      <c r="D8" s="334" t="s">
        <v>516</v>
      </c>
      <c r="E8" s="334"/>
      <c r="F8" s="334" t="s">
        <v>571</v>
      </c>
      <c r="G8" s="334"/>
      <c r="H8" s="334" t="s">
        <v>518</v>
      </c>
      <c r="I8" s="334"/>
      <c r="J8" s="334" t="s">
        <v>571</v>
      </c>
      <c r="K8" s="334"/>
      <c r="L8" s="334" t="s">
        <v>518</v>
      </c>
      <c r="M8" s="334"/>
      <c r="N8" s="334" t="s">
        <v>571</v>
      </c>
      <c r="O8" s="334"/>
      <c r="P8" s="334" t="s">
        <v>518</v>
      </c>
      <c r="Q8" s="334"/>
      <c r="R8" s="334" t="s">
        <v>571</v>
      </c>
      <c r="S8" s="334"/>
      <c r="T8" s="334" t="s">
        <v>518</v>
      </c>
      <c r="U8" s="334"/>
      <c r="V8" s="334" t="s">
        <v>571</v>
      </c>
      <c r="W8" s="334"/>
      <c r="X8" s="334" t="s">
        <v>518</v>
      </c>
      <c r="Y8" s="334"/>
      <c r="Z8" s="334" t="s">
        <v>571</v>
      </c>
      <c r="AA8" s="334"/>
      <c r="AB8" s="334" t="s">
        <v>518</v>
      </c>
      <c r="AC8" s="334"/>
      <c r="AD8" s="334" t="s">
        <v>571</v>
      </c>
      <c r="AE8" s="334"/>
      <c r="AF8" s="334" t="s">
        <v>518</v>
      </c>
      <c r="AG8" s="437"/>
      <c r="AH8" s="163"/>
      <c r="AI8" s="163"/>
      <c r="AJ8" s="461"/>
      <c r="AK8" s="163"/>
      <c r="AL8" s="163"/>
      <c r="AM8" s="163"/>
      <c r="AN8" s="163"/>
      <c r="AO8" s="163"/>
      <c r="AP8" s="163"/>
      <c r="AQ8" s="163"/>
      <c r="AR8" s="163"/>
      <c r="AS8" s="163"/>
      <c r="AT8" s="163"/>
      <c r="AU8" s="163"/>
    </row>
    <row r="9" spans="2:47" ht="15">
      <c r="B9" s="336">
        <v>-1</v>
      </c>
      <c r="C9" s="337"/>
      <c r="D9" s="336">
        <v>-2</v>
      </c>
      <c r="E9" s="337"/>
      <c r="F9" s="336">
        <v>-3</v>
      </c>
      <c r="G9" s="338"/>
      <c r="H9" s="339" t="s">
        <v>519</v>
      </c>
      <c r="I9" s="338"/>
      <c r="J9" s="336">
        <v>-5</v>
      </c>
      <c r="K9" s="337"/>
      <c r="L9" s="336" t="s">
        <v>520</v>
      </c>
      <c r="M9" s="337"/>
      <c r="N9" s="336">
        <v>-7</v>
      </c>
      <c r="O9" s="337"/>
      <c r="P9" s="336" t="s">
        <v>521</v>
      </c>
      <c r="Q9" s="337"/>
      <c r="R9" s="336">
        <v>-9</v>
      </c>
      <c r="S9" s="337"/>
      <c r="T9" s="336" t="s">
        <v>522</v>
      </c>
      <c r="U9" s="337"/>
      <c r="V9" s="336">
        <v>-11</v>
      </c>
      <c r="W9" s="337"/>
      <c r="X9" s="336" t="s">
        <v>523</v>
      </c>
      <c r="Y9" s="337"/>
      <c r="Z9" s="336">
        <v>-13</v>
      </c>
      <c r="AA9" s="337"/>
      <c r="AB9" s="336" t="s">
        <v>524</v>
      </c>
      <c r="AC9" s="337"/>
      <c r="AD9" s="336">
        <v>-15</v>
      </c>
      <c r="AE9" s="337"/>
      <c r="AF9" s="336">
        <v>-16</v>
      </c>
      <c r="AG9" s="437"/>
      <c r="AH9" s="597"/>
      <c r="AI9" s="597"/>
      <c r="AJ9" s="597"/>
      <c r="AK9" s="597"/>
      <c r="AL9" s="163"/>
      <c r="AM9" s="597"/>
      <c r="AN9" s="597"/>
      <c r="AO9" s="597"/>
      <c r="AP9" s="597"/>
      <c r="AQ9" s="163"/>
      <c r="AR9" s="539"/>
      <c r="AS9" s="539"/>
      <c r="AT9" s="539"/>
      <c r="AU9" s="163"/>
    </row>
    <row r="10" spans="2:47" ht="15">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437"/>
      <c r="AH10" s="539"/>
      <c r="AI10" s="539"/>
      <c r="AJ10" s="539"/>
      <c r="AK10" s="539"/>
      <c r="AL10" s="163"/>
      <c r="AM10" s="539"/>
      <c r="AN10" s="539"/>
      <c r="AO10" s="539"/>
      <c r="AP10" s="539"/>
      <c r="AQ10" s="163"/>
      <c r="AR10" s="163"/>
      <c r="AS10" s="163"/>
      <c r="AT10" s="163"/>
      <c r="AU10" s="163"/>
    </row>
    <row r="11" spans="1:47" ht="15">
      <c r="A11" s="438"/>
      <c r="B11" s="334" t="s">
        <v>572</v>
      </c>
      <c r="C11" s="333"/>
      <c r="D11" s="340">
        <v>1</v>
      </c>
      <c r="E11" s="333"/>
      <c r="F11" s="341">
        <v>109238</v>
      </c>
      <c r="G11" s="333"/>
      <c r="H11" s="341">
        <f>ROUND(+F11*$D11,0)</f>
        <v>109238</v>
      </c>
      <c r="I11" s="333"/>
      <c r="J11" s="341">
        <v>4676</v>
      </c>
      <c r="K11" s="333"/>
      <c r="L11" s="341">
        <f>ROUND(+J11*$D11,0)</f>
        <v>4676</v>
      </c>
      <c r="M11" s="333"/>
      <c r="N11" s="341">
        <v>2</v>
      </c>
      <c r="P11" s="341">
        <f>ROUND(+N11*$D11,0)</f>
        <v>2</v>
      </c>
      <c r="Q11" s="333"/>
      <c r="R11" s="341">
        <v>139</v>
      </c>
      <c r="S11" s="333"/>
      <c r="T11" s="341">
        <f>ROUND(+R11*$D11,0)</f>
        <v>139</v>
      </c>
      <c r="U11" s="333"/>
      <c r="V11" s="341">
        <v>0</v>
      </c>
      <c r="W11" s="333"/>
      <c r="X11" s="341">
        <f>ROUND(+V11*$D11,0)</f>
        <v>0</v>
      </c>
      <c r="Y11" s="333"/>
      <c r="Z11" s="341">
        <v>1478.3076923076924</v>
      </c>
      <c r="AA11" s="333"/>
      <c r="AB11" s="341">
        <f>ROUND(+Z11*$D11,0)</f>
        <v>1478</v>
      </c>
      <c r="AC11" s="333"/>
      <c r="AD11" s="341">
        <f>F11+J11+N11+R11+V11+Z11</f>
        <v>115533.30769230769</v>
      </c>
      <c r="AE11" s="333"/>
      <c r="AF11" s="341">
        <f>H11+L11+P11+T11+X11+AB11</f>
        <v>115533</v>
      </c>
      <c r="AG11" s="437"/>
      <c r="AH11" s="461"/>
      <c r="AI11" s="461"/>
      <c r="AJ11" s="461"/>
      <c r="AK11" s="163"/>
      <c r="AL11" s="163"/>
      <c r="AM11" s="461"/>
      <c r="AN11" s="461"/>
      <c r="AO11" s="461"/>
      <c r="AP11" s="163"/>
      <c r="AQ11" s="163"/>
      <c r="AR11" s="461"/>
      <c r="AS11" s="461"/>
      <c r="AT11" s="461"/>
      <c r="AU11" s="163"/>
    </row>
    <row r="12" spans="1:47" ht="15">
      <c r="A12" s="438"/>
      <c r="B12" s="334"/>
      <c r="C12" s="333"/>
      <c r="D12" s="340"/>
      <c r="E12" s="333"/>
      <c r="F12" s="341"/>
      <c r="G12" s="333"/>
      <c r="H12" s="341"/>
      <c r="I12" s="333"/>
      <c r="J12" s="341"/>
      <c r="K12" s="333"/>
      <c r="L12" s="341"/>
      <c r="M12" s="333"/>
      <c r="N12" s="341"/>
      <c r="O12" s="333"/>
      <c r="P12" s="341"/>
      <c r="Q12" s="333"/>
      <c r="R12" s="341"/>
      <c r="S12" s="333"/>
      <c r="T12" s="341"/>
      <c r="U12" s="333"/>
      <c r="V12" s="341"/>
      <c r="W12" s="333"/>
      <c r="X12" s="341"/>
      <c r="Y12" s="333"/>
      <c r="Z12" s="341"/>
      <c r="AA12" s="333"/>
      <c r="AB12" s="341"/>
      <c r="AC12" s="333"/>
      <c r="AD12" s="341"/>
      <c r="AE12" s="333"/>
      <c r="AF12" s="341"/>
      <c r="AG12" s="437"/>
      <c r="AH12" s="461"/>
      <c r="AI12" s="461"/>
      <c r="AJ12" s="461"/>
      <c r="AK12" s="163"/>
      <c r="AL12" s="163"/>
      <c r="AM12" s="461"/>
      <c r="AN12" s="461"/>
      <c r="AO12" s="461"/>
      <c r="AP12" s="163"/>
      <c r="AQ12" s="163"/>
      <c r="AR12" s="461"/>
      <c r="AS12" s="461"/>
      <c r="AT12" s="461"/>
      <c r="AU12" s="163"/>
    </row>
    <row r="13" spans="1:47" ht="15">
      <c r="A13" s="438"/>
      <c r="B13" s="334" t="s">
        <v>573</v>
      </c>
      <c r="C13" s="333"/>
      <c r="D13" s="340">
        <v>1.8</v>
      </c>
      <c r="E13" s="333"/>
      <c r="F13" s="341">
        <v>1786</v>
      </c>
      <c r="G13" s="333"/>
      <c r="H13" s="341">
        <f>ROUND(+F13*$D13,0)</f>
        <v>3215</v>
      </c>
      <c r="I13" s="333"/>
      <c r="J13" s="341">
        <v>2357</v>
      </c>
      <c r="K13" s="333"/>
      <c r="L13" s="341">
        <f>ROUND(+J13*$D13,0)</f>
        <v>4243</v>
      </c>
      <c r="M13" s="333"/>
      <c r="N13" s="341">
        <v>2</v>
      </c>
      <c r="O13" s="333"/>
      <c r="P13" s="341">
        <f>ROUND(+N13*$D13,0)</f>
        <v>4</v>
      </c>
      <c r="Q13" s="333"/>
      <c r="R13" s="341">
        <v>177</v>
      </c>
      <c r="S13" s="333"/>
      <c r="T13" s="341">
        <f>ROUND(+R13*$D13,0)</f>
        <v>319</v>
      </c>
      <c r="U13" s="333"/>
      <c r="V13" s="341">
        <v>0</v>
      </c>
      <c r="W13" s="333"/>
      <c r="X13" s="341">
        <f>ROUND(+V13*$D13,0)</f>
        <v>0</v>
      </c>
      <c r="Y13" s="333"/>
      <c r="Z13" s="333">
        <v>0</v>
      </c>
      <c r="AA13" s="333"/>
      <c r="AB13" s="341">
        <f>ROUND(+Z13*$D13,0)</f>
        <v>0</v>
      </c>
      <c r="AC13" s="333"/>
      <c r="AD13" s="341">
        <f>F13+J13+N13+R13+V13+Z13</f>
        <v>4322</v>
      </c>
      <c r="AE13" s="333"/>
      <c r="AF13" s="341">
        <f>H13+L13+P13+T13+X13+AB13</f>
        <v>7781</v>
      </c>
      <c r="AG13" s="437"/>
      <c r="AH13" s="461"/>
      <c r="AI13" s="461"/>
      <c r="AJ13" s="461"/>
      <c r="AK13" s="163"/>
      <c r="AL13" s="163"/>
      <c r="AM13" s="461"/>
      <c r="AN13" s="461"/>
      <c r="AO13" s="461"/>
      <c r="AP13" s="163"/>
      <c r="AQ13" s="163"/>
      <c r="AR13" s="461"/>
      <c r="AS13" s="461"/>
      <c r="AT13" s="461"/>
      <c r="AU13" s="163"/>
    </row>
    <row r="14" spans="1:47" ht="15">
      <c r="A14" s="438"/>
      <c r="B14" s="334"/>
      <c r="C14" s="333"/>
      <c r="D14" s="340"/>
      <c r="E14" s="333"/>
      <c r="F14" s="341"/>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437"/>
      <c r="AH14" s="461"/>
      <c r="AI14" s="461"/>
      <c r="AJ14" s="461"/>
      <c r="AK14" s="163"/>
      <c r="AL14" s="163"/>
      <c r="AM14" s="461"/>
      <c r="AN14" s="461"/>
      <c r="AO14" s="461"/>
      <c r="AP14" s="163"/>
      <c r="AQ14" s="163"/>
      <c r="AR14" s="461"/>
      <c r="AS14" s="461"/>
      <c r="AT14" s="461"/>
      <c r="AU14" s="163"/>
    </row>
    <row r="15" spans="1:47" ht="15">
      <c r="A15" s="438"/>
      <c r="B15" s="334" t="s">
        <v>574</v>
      </c>
      <c r="C15" s="333"/>
      <c r="D15" s="340">
        <v>5.4</v>
      </c>
      <c r="E15" s="333"/>
      <c r="F15" s="341">
        <v>12</v>
      </c>
      <c r="G15" s="333"/>
      <c r="H15" s="341">
        <f>ROUND(+F15*$D15,0)</f>
        <v>65</v>
      </c>
      <c r="I15" s="333"/>
      <c r="J15" s="341">
        <v>169</v>
      </c>
      <c r="K15" s="333"/>
      <c r="L15" s="341">
        <f>ROUND(+J15*$D15,0)</f>
        <v>913</v>
      </c>
      <c r="M15" s="333"/>
      <c r="N15" s="341">
        <v>2</v>
      </c>
      <c r="O15" s="333"/>
      <c r="P15" s="341">
        <f>ROUND(+N15*$D15,0)</f>
        <v>11</v>
      </c>
      <c r="Q15" s="333"/>
      <c r="R15" s="341">
        <v>27</v>
      </c>
      <c r="S15" s="333"/>
      <c r="T15" s="341">
        <f>ROUND(+R15*$D15,0)</f>
        <v>146</v>
      </c>
      <c r="U15" s="333"/>
      <c r="V15" s="341">
        <v>4</v>
      </c>
      <c r="W15" s="333"/>
      <c r="X15" s="341">
        <f>ROUND(+V15*$D15,0)</f>
        <v>22</v>
      </c>
      <c r="Y15" s="333"/>
      <c r="Z15" s="333">
        <v>0</v>
      </c>
      <c r="AA15" s="333"/>
      <c r="AB15" s="341">
        <f>ROUND(+Z15*$D15,0)</f>
        <v>0</v>
      </c>
      <c r="AC15" s="333"/>
      <c r="AD15" s="341">
        <f>F15+J15+N15+R15+V15+Z15</f>
        <v>214</v>
      </c>
      <c r="AE15" s="333"/>
      <c r="AF15" s="341">
        <f>H15+L15+P15+T15+X15+AB15</f>
        <v>1157</v>
      </c>
      <c r="AG15" s="437"/>
      <c r="AH15" s="461"/>
      <c r="AI15" s="461"/>
      <c r="AJ15" s="461"/>
      <c r="AK15" s="163"/>
      <c r="AL15" s="163"/>
      <c r="AM15" s="461"/>
      <c r="AN15" s="461"/>
      <c r="AO15" s="461"/>
      <c r="AP15" s="163"/>
      <c r="AQ15" s="163"/>
      <c r="AR15" s="461"/>
      <c r="AS15" s="461"/>
      <c r="AT15" s="461"/>
      <c r="AU15" s="163"/>
    </row>
    <row r="16" spans="1:47" ht="15">
      <c r="A16" s="438"/>
      <c r="B16" s="334"/>
      <c r="C16" s="333"/>
      <c r="D16" s="340"/>
      <c r="E16" s="333"/>
      <c r="F16" s="341"/>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437"/>
      <c r="AH16" s="461"/>
      <c r="AI16" s="461"/>
      <c r="AJ16" s="461"/>
      <c r="AK16" s="163"/>
      <c r="AL16" s="163"/>
      <c r="AM16" s="461"/>
      <c r="AN16" s="461"/>
      <c r="AO16" s="461"/>
      <c r="AP16" s="163"/>
      <c r="AQ16" s="163"/>
      <c r="AR16" s="461"/>
      <c r="AS16" s="461"/>
      <c r="AT16" s="461"/>
      <c r="AU16" s="163"/>
    </row>
    <row r="17" spans="1:47" ht="15">
      <c r="A17" s="438"/>
      <c r="B17" s="334" t="s">
        <v>575</v>
      </c>
      <c r="C17" s="333"/>
      <c r="D17" s="340">
        <v>7</v>
      </c>
      <c r="E17" s="333"/>
      <c r="F17" s="341">
        <v>73</v>
      </c>
      <c r="G17" s="333"/>
      <c r="H17" s="341">
        <f>ROUND(+F17*$D17,0)</f>
        <v>511</v>
      </c>
      <c r="I17" s="333"/>
      <c r="J17" s="341">
        <v>1797</v>
      </c>
      <c r="K17" s="333"/>
      <c r="L17" s="341">
        <f>ROUND(+J17*$D17,0)</f>
        <v>12579</v>
      </c>
      <c r="M17" s="333"/>
      <c r="N17" s="341">
        <v>23</v>
      </c>
      <c r="O17" s="333"/>
      <c r="P17" s="341">
        <f>ROUND(+N17*$D17,0)</f>
        <v>161</v>
      </c>
      <c r="Q17" s="333"/>
      <c r="R17" s="341">
        <v>355</v>
      </c>
      <c r="S17" s="333"/>
      <c r="T17" s="341">
        <f>ROUND(+R17*$D17,0)</f>
        <v>2485</v>
      </c>
      <c r="U17" s="333"/>
      <c r="V17" s="341">
        <v>7</v>
      </c>
      <c r="W17" s="333"/>
      <c r="X17" s="341">
        <f>ROUND(+V17*$D17,0)</f>
        <v>49</v>
      </c>
      <c r="Y17" s="333"/>
      <c r="Z17" s="333">
        <v>0</v>
      </c>
      <c r="AA17" s="333"/>
      <c r="AB17" s="341">
        <f>ROUND(+Z17*$D17,0)</f>
        <v>0</v>
      </c>
      <c r="AC17" s="333"/>
      <c r="AD17" s="341">
        <f>F17+J17+N17+R17+V17+Z17</f>
        <v>2255</v>
      </c>
      <c r="AE17" s="333"/>
      <c r="AF17" s="341">
        <f>H17+L17+P17+T17+X17+AB17</f>
        <v>15785</v>
      </c>
      <c r="AG17" s="437"/>
      <c r="AH17" s="461"/>
      <c r="AI17" s="461"/>
      <c r="AJ17" s="461"/>
      <c r="AK17" s="163"/>
      <c r="AL17" s="163"/>
      <c r="AM17" s="461"/>
      <c r="AN17" s="461"/>
      <c r="AO17" s="461"/>
      <c r="AP17" s="163"/>
      <c r="AQ17" s="163"/>
      <c r="AR17" s="461"/>
      <c r="AS17" s="461"/>
      <c r="AT17" s="461"/>
      <c r="AU17" s="163"/>
    </row>
    <row r="18" spans="1:47" ht="15">
      <c r="A18" s="438"/>
      <c r="B18" s="334"/>
      <c r="C18" s="333"/>
      <c r="D18" s="340"/>
      <c r="E18" s="333"/>
      <c r="F18" s="341"/>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437"/>
      <c r="AH18" s="461"/>
      <c r="AI18" s="461"/>
      <c r="AJ18" s="461"/>
      <c r="AK18" s="163"/>
      <c r="AL18" s="163"/>
      <c r="AM18" s="461"/>
      <c r="AN18" s="461"/>
      <c r="AO18" s="461"/>
      <c r="AP18" s="163"/>
      <c r="AQ18" s="163"/>
      <c r="AR18" s="461"/>
      <c r="AS18" s="461"/>
      <c r="AT18" s="461"/>
      <c r="AU18" s="163"/>
    </row>
    <row r="19" spans="1:47" ht="15">
      <c r="A19" s="438"/>
      <c r="B19" s="334" t="s">
        <v>576</v>
      </c>
      <c r="C19" s="333"/>
      <c r="D19" s="340">
        <v>14</v>
      </c>
      <c r="E19" s="333"/>
      <c r="F19" s="341">
        <v>0</v>
      </c>
      <c r="G19" s="333"/>
      <c r="H19" s="341">
        <f>ROUND(+F19*$D19,0)</f>
        <v>0</v>
      </c>
      <c r="I19" s="333"/>
      <c r="J19" s="341">
        <v>5</v>
      </c>
      <c r="K19" s="333"/>
      <c r="L19" s="341">
        <f>ROUND(+J19*$D19,0)</f>
        <v>70</v>
      </c>
      <c r="M19" s="333"/>
      <c r="N19" s="341">
        <v>0</v>
      </c>
      <c r="O19" s="333"/>
      <c r="P19" s="341">
        <f>ROUND(+N19*$D19,0)</f>
        <v>0</v>
      </c>
      <c r="Q19" s="333"/>
      <c r="R19" s="341">
        <v>1</v>
      </c>
      <c r="S19" s="333"/>
      <c r="T19" s="341">
        <f>ROUND(+R19*$D19,0)</f>
        <v>14</v>
      </c>
      <c r="U19" s="333"/>
      <c r="V19" s="341">
        <v>0</v>
      </c>
      <c r="W19" s="333"/>
      <c r="X19" s="341">
        <f>ROUND(+V19*$D19,0)</f>
        <v>0</v>
      </c>
      <c r="Y19" s="333"/>
      <c r="Z19" s="333">
        <v>0</v>
      </c>
      <c r="AA19" s="333"/>
      <c r="AB19" s="341">
        <f>ROUND(+Z19*$D19,0)</f>
        <v>0</v>
      </c>
      <c r="AC19" s="333"/>
      <c r="AD19" s="341">
        <f>F19+J19+N19+R19+V19+Z19</f>
        <v>6</v>
      </c>
      <c r="AE19" s="333"/>
      <c r="AF19" s="341">
        <f>H19+L19+P19+T19+X19+AB19</f>
        <v>84</v>
      </c>
      <c r="AG19" s="437"/>
      <c r="AH19" s="461"/>
      <c r="AI19" s="461"/>
      <c r="AJ19" s="461"/>
      <c r="AK19" s="163"/>
      <c r="AL19" s="163"/>
      <c r="AM19" s="461"/>
      <c r="AN19" s="461"/>
      <c r="AO19" s="461"/>
      <c r="AP19" s="163"/>
      <c r="AQ19" s="163"/>
      <c r="AR19" s="461"/>
      <c r="AS19" s="461"/>
      <c r="AT19" s="461"/>
      <c r="AU19" s="163"/>
    </row>
    <row r="20" spans="1:47" ht="15">
      <c r="A20" s="438"/>
      <c r="B20" s="334"/>
      <c r="C20" s="333"/>
      <c r="D20" s="340"/>
      <c r="E20" s="333"/>
      <c r="F20" s="341"/>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437"/>
      <c r="AH20" s="461"/>
      <c r="AI20" s="461"/>
      <c r="AJ20" s="461"/>
      <c r="AK20" s="163"/>
      <c r="AL20" s="163"/>
      <c r="AM20" s="461"/>
      <c r="AN20" s="461"/>
      <c r="AO20" s="461"/>
      <c r="AP20" s="163"/>
      <c r="AQ20" s="163"/>
      <c r="AR20" s="461"/>
      <c r="AS20" s="461"/>
      <c r="AT20" s="461"/>
      <c r="AU20" s="163"/>
    </row>
    <row r="21" spans="1:47" ht="15">
      <c r="A21" s="438"/>
      <c r="B21" s="334" t="s">
        <v>577</v>
      </c>
      <c r="C21" s="333"/>
      <c r="D21" s="340">
        <v>27</v>
      </c>
      <c r="E21" s="333"/>
      <c r="F21" s="341">
        <v>0</v>
      </c>
      <c r="G21" s="333"/>
      <c r="H21" s="341">
        <f>ROUND(+F21*$D21,0)</f>
        <v>0</v>
      </c>
      <c r="I21" s="333"/>
      <c r="J21" s="341">
        <v>32</v>
      </c>
      <c r="K21" s="333"/>
      <c r="L21" s="341">
        <f>ROUND(+J21*$D21,0)</f>
        <v>864</v>
      </c>
      <c r="M21" s="333"/>
      <c r="N21" s="341">
        <v>12</v>
      </c>
      <c r="O21" s="333"/>
      <c r="P21" s="341">
        <f>ROUND(+N21*$D21,0)</f>
        <v>324</v>
      </c>
      <c r="Q21" s="333"/>
      <c r="R21" s="341">
        <v>40</v>
      </c>
      <c r="S21" s="333"/>
      <c r="T21" s="341">
        <f>ROUND(+R21*$D21,0)</f>
        <v>1080</v>
      </c>
      <c r="U21" s="333"/>
      <c r="V21" s="341">
        <v>7</v>
      </c>
      <c r="W21" s="333"/>
      <c r="X21" s="341">
        <f>ROUND(+V21*$D21,0)</f>
        <v>189</v>
      </c>
      <c r="Y21" s="333"/>
      <c r="Z21" s="333">
        <v>0</v>
      </c>
      <c r="AA21" s="333"/>
      <c r="AB21" s="341">
        <f>ROUND(+Z21*$D21,0)</f>
        <v>0</v>
      </c>
      <c r="AC21" s="333"/>
      <c r="AD21" s="341">
        <f>F21+J21+N21+R21+V21+Z21</f>
        <v>91</v>
      </c>
      <c r="AE21" s="333"/>
      <c r="AF21" s="341">
        <f>H21+L21+P21+T21+X21+AB21</f>
        <v>2457</v>
      </c>
      <c r="AG21" s="437"/>
      <c r="AH21" s="461"/>
      <c r="AI21" s="461"/>
      <c r="AJ21" s="461"/>
      <c r="AK21" s="163"/>
      <c r="AL21" s="163"/>
      <c r="AM21" s="461"/>
      <c r="AN21" s="461"/>
      <c r="AO21" s="461"/>
      <c r="AP21" s="163"/>
      <c r="AQ21" s="163"/>
      <c r="AR21" s="461"/>
      <c r="AS21" s="461"/>
      <c r="AT21" s="461"/>
      <c r="AU21" s="163"/>
    </row>
    <row r="22" spans="1:47" ht="15">
      <c r="A22" s="438"/>
      <c r="B22" s="334"/>
      <c r="C22" s="333"/>
      <c r="D22" s="340"/>
      <c r="E22" s="333"/>
      <c r="F22" s="341"/>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437"/>
      <c r="AH22" s="461"/>
      <c r="AI22" s="461"/>
      <c r="AJ22" s="461"/>
      <c r="AK22" s="163"/>
      <c r="AL22" s="163"/>
      <c r="AM22" s="461"/>
      <c r="AN22" s="461"/>
      <c r="AO22" s="461"/>
      <c r="AP22" s="163"/>
      <c r="AQ22" s="163"/>
      <c r="AR22" s="461"/>
      <c r="AS22" s="461"/>
      <c r="AT22" s="461"/>
      <c r="AU22" s="163"/>
    </row>
    <row r="23" spans="1:47" ht="15">
      <c r="A23" s="438"/>
      <c r="B23" s="334" t="s">
        <v>578</v>
      </c>
      <c r="C23" s="333"/>
      <c r="D23" s="340">
        <v>40</v>
      </c>
      <c r="E23" s="333"/>
      <c r="F23" s="341">
        <v>2</v>
      </c>
      <c r="G23" s="333"/>
      <c r="H23" s="341">
        <f>ROUND(+F23*$D23,0)</f>
        <v>80</v>
      </c>
      <c r="I23" s="333"/>
      <c r="J23" s="341">
        <v>12</v>
      </c>
      <c r="K23" s="333"/>
      <c r="L23" s="341">
        <f>ROUND(+J23*$D23,0)</f>
        <v>480</v>
      </c>
      <c r="M23" s="333"/>
      <c r="N23" s="341">
        <v>4</v>
      </c>
      <c r="O23" s="333"/>
      <c r="P23" s="341">
        <f>ROUND(+N23*$D23,0)</f>
        <v>160</v>
      </c>
      <c r="Q23" s="333"/>
      <c r="R23" s="341">
        <v>9</v>
      </c>
      <c r="S23" s="333"/>
      <c r="T23" s="341">
        <f>ROUND(+R23*$D23,0)</f>
        <v>360</v>
      </c>
      <c r="U23" s="333"/>
      <c r="V23" s="341">
        <v>5</v>
      </c>
      <c r="W23" s="333"/>
      <c r="X23" s="341">
        <f>ROUND(+V23*$D23,0)</f>
        <v>200</v>
      </c>
      <c r="Y23" s="333"/>
      <c r="Z23" s="333">
        <v>0</v>
      </c>
      <c r="AA23" s="333"/>
      <c r="AB23" s="341">
        <f>ROUND(+Z23*$D23,0)</f>
        <v>0</v>
      </c>
      <c r="AC23" s="333"/>
      <c r="AD23" s="341">
        <f>F23+J23+N23+R23+V23+Z23</f>
        <v>32</v>
      </c>
      <c r="AE23" s="333"/>
      <c r="AF23" s="341">
        <f>H23+L23+P23+T23+X23+AB23</f>
        <v>1280</v>
      </c>
      <c r="AG23" s="437"/>
      <c r="AH23" s="461"/>
      <c r="AI23" s="461"/>
      <c r="AJ23" s="461"/>
      <c r="AK23" s="163"/>
      <c r="AL23" s="163"/>
      <c r="AM23" s="461"/>
      <c r="AN23" s="461"/>
      <c r="AO23" s="461"/>
      <c r="AP23" s="163"/>
      <c r="AQ23" s="163"/>
      <c r="AR23" s="461"/>
      <c r="AS23" s="461"/>
      <c r="AT23" s="461"/>
      <c r="AU23" s="163"/>
    </row>
    <row r="24" spans="1:47" ht="15">
      <c r="A24" s="438"/>
      <c r="B24" s="334"/>
      <c r="C24" s="333"/>
      <c r="D24" s="340"/>
      <c r="E24" s="333"/>
      <c r="F24" s="341"/>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437"/>
      <c r="AH24" s="461"/>
      <c r="AI24" s="461"/>
      <c r="AJ24" s="461"/>
      <c r="AK24" s="163"/>
      <c r="AL24" s="163"/>
      <c r="AM24" s="461"/>
      <c r="AN24" s="461"/>
      <c r="AO24" s="461"/>
      <c r="AP24" s="163"/>
      <c r="AQ24" s="163"/>
      <c r="AR24" s="461"/>
      <c r="AS24" s="461"/>
      <c r="AT24" s="461"/>
      <c r="AU24" s="163"/>
    </row>
    <row r="25" spans="1:47" ht="15">
      <c r="A25" s="438"/>
      <c r="B25" s="334" t="s">
        <v>579</v>
      </c>
      <c r="C25" s="333"/>
      <c r="D25" s="340">
        <v>50</v>
      </c>
      <c r="E25" s="333"/>
      <c r="F25" s="341">
        <v>0</v>
      </c>
      <c r="G25" s="333"/>
      <c r="H25" s="341">
        <f>ROUND(+F25*$D25,0)</f>
        <v>0</v>
      </c>
      <c r="I25" s="333"/>
      <c r="J25" s="341">
        <v>10</v>
      </c>
      <c r="K25" s="333"/>
      <c r="L25" s="341">
        <f>ROUND(+J25*$D25,0)</f>
        <v>500</v>
      </c>
      <c r="M25" s="333"/>
      <c r="N25" s="341">
        <v>0</v>
      </c>
      <c r="O25" s="333"/>
      <c r="P25" s="341">
        <f>ROUND(+N25*$D25,0)</f>
        <v>0</v>
      </c>
      <c r="Q25" s="333"/>
      <c r="R25" s="341">
        <v>2</v>
      </c>
      <c r="S25" s="333"/>
      <c r="T25" s="341">
        <f>ROUND(+R25*$D25,0)</f>
        <v>100</v>
      </c>
      <c r="U25" s="333"/>
      <c r="V25" s="341">
        <v>0</v>
      </c>
      <c r="W25" s="333"/>
      <c r="X25" s="341">
        <f>ROUND(+V25*$D25,0)</f>
        <v>0</v>
      </c>
      <c r="Y25" s="333"/>
      <c r="Z25" s="333">
        <v>0</v>
      </c>
      <c r="AA25" s="333"/>
      <c r="AB25" s="341">
        <f>ROUND(+Z25*$D25,0)</f>
        <v>0</v>
      </c>
      <c r="AC25" s="333"/>
      <c r="AD25" s="341">
        <f>F25+J25+N25+R25+V25+Z25</f>
        <v>12</v>
      </c>
      <c r="AE25" s="333"/>
      <c r="AF25" s="341">
        <f>H25+L25+P25+T25+X25+AB25</f>
        <v>600</v>
      </c>
      <c r="AG25" s="437"/>
      <c r="AH25" s="461"/>
      <c r="AI25" s="461"/>
      <c r="AJ25" s="461"/>
      <c r="AK25" s="163"/>
      <c r="AL25" s="163"/>
      <c r="AM25" s="461"/>
      <c r="AN25" s="461"/>
      <c r="AO25" s="461"/>
      <c r="AP25" s="163"/>
      <c r="AQ25" s="163"/>
      <c r="AR25" s="461"/>
      <c r="AS25" s="461"/>
      <c r="AT25" s="461"/>
      <c r="AU25" s="163"/>
    </row>
    <row r="26" spans="1:47" ht="15">
      <c r="A26" s="439"/>
      <c r="B26" s="333"/>
      <c r="C26" s="333"/>
      <c r="D26" s="333"/>
      <c r="E26" s="333"/>
      <c r="F26" s="342"/>
      <c r="G26" s="333"/>
      <c r="H26" s="342"/>
      <c r="I26" s="333"/>
      <c r="J26" s="342"/>
      <c r="K26" s="333"/>
      <c r="L26" s="342"/>
      <c r="M26" s="333"/>
      <c r="N26" s="342"/>
      <c r="O26" s="333"/>
      <c r="P26" s="342"/>
      <c r="Q26" s="333"/>
      <c r="R26" s="342"/>
      <c r="S26" s="333"/>
      <c r="T26" s="342"/>
      <c r="U26" s="333"/>
      <c r="V26" s="342"/>
      <c r="W26" s="333"/>
      <c r="X26" s="342"/>
      <c r="Y26" s="333"/>
      <c r="Z26" s="342"/>
      <c r="AA26" s="333"/>
      <c r="AB26" s="342"/>
      <c r="AC26" s="333"/>
      <c r="AD26" s="342"/>
      <c r="AE26" s="333"/>
      <c r="AF26" s="342"/>
      <c r="AG26" s="437"/>
      <c r="AH26" s="163"/>
      <c r="AI26" s="163"/>
      <c r="AJ26" s="163"/>
      <c r="AK26" s="163"/>
      <c r="AL26" s="163"/>
      <c r="AM26" s="163"/>
      <c r="AN26" s="163"/>
      <c r="AO26" s="163"/>
      <c r="AP26" s="163"/>
      <c r="AQ26" s="163"/>
      <c r="AR26" s="163"/>
      <c r="AS26" s="163"/>
      <c r="AT26" s="163"/>
      <c r="AU26" s="163"/>
    </row>
    <row r="27" spans="2:47" ht="15.75" thickBot="1">
      <c r="B27" s="333" t="s">
        <v>512</v>
      </c>
      <c r="C27" s="333"/>
      <c r="D27" s="333"/>
      <c r="E27" s="333"/>
      <c r="F27" s="341">
        <f>SUM(F11:F25)</f>
        <v>111111</v>
      </c>
      <c r="G27" s="333"/>
      <c r="H27" s="341">
        <f>SUM(H11:H25)</f>
        <v>113109</v>
      </c>
      <c r="I27" s="333"/>
      <c r="J27" s="341">
        <f>SUM(J11:J25)</f>
        <v>9058</v>
      </c>
      <c r="K27" s="333"/>
      <c r="L27" s="343">
        <f>SUM(L11:L25)</f>
        <v>24325</v>
      </c>
      <c r="M27" s="333"/>
      <c r="N27" s="341">
        <f>SUM(N11:N25)</f>
        <v>45</v>
      </c>
      <c r="O27" s="333"/>
      <c r="P27" s="341">
        <f>SUM(P11:P25)</f>
        <v>662</v>
      </c>
      <c r="Q27" s="333"/>
      <c r="R27" s="341">
        <f>SUM(R11:R25)</f>
        <v>750</v>
      </c>
      <c r="S27" s="333"/>
      <c r="T27" s="341">
        <f>SUM(T11:T25)</f>
        <v>4643</v>
      </c>
      <c r="U27" s="333"/>
      <c r="V27" s="341">
        <f>SUM(V11:V25)</f>
        <v>23</v>
      </c>
      <c r="W27" s="333"/>
      <c r="X27" s="341">
        <f>SUM(X11:X25)</f>
        <v>460</v>
      </c>
      <c r="Y27" s="333"/>
      <c r="Z27" s="341">
        <f>SUM(Z11:Z25)</f>
        <v>1478.3076923076924</v>
      </c>
      <c r="AA27" s="333"/>
      <c r="AB27" s="341">
        <f>SUM(AB11:AB25)</f>
        <v>1478</v>
      </c>
      <c r="AC27" s="333"/>
      <c r="AD27" s="341">
        <f>SUM(AD11:AD25)</f>
        <v>122465.30769230769</v>
      </c>
      <c r="AE27" s="333"/>
      <c r="AF27" s="341">
        <f>SUM(AF11:AF25)</f>
        <v>144677</v>
      </c>
      <c r="AG27" s="437"/>
      <c r="AH27" s="540"/>
      <c r="AI27" s="540"/>
      <c r="AJ27" s="540"/>
      <c r="AK27" s="163"/>
      <c r="AL27" s="163"/>
      <c r="AM27" s="540"/>
      <c r="AN27" s="163"/>
      <c r="AO27" s="163"/>
      <c r="AP27" s="163"/>
      <c r="AQ27" s="163"/>
      <c r="AR27" s="540"/>
      <c r="AS27" s="540"/>
      <c r="AT27" s="540"/>
      <c r="AU27" s="163"/>
    </row>
    <row r="28" spans="2:47" ht="15.75" thickTop="1">
      <c r="B28" s="333"/>
      <c r="C28" s="333"/>
      <c r="D28" s="333"/>
      <c r="E28" s="333"/>
      <c r="F28" s="344"/>
      <c r="G28" s="333"/>
      <c r="H28" s="344"/>
      <c r="I28" s="333"/>
      <c r="J28" s="344"/>
      <c r="K28" s="333"/>
      <c r="L28" s="345"/>
      <c r="M28" s="333"/>
      <c r="N28" s="344"/>
      <c r="O28" s="333"/>
      <c r="P28" s="344"/>
      <c r="Q28" s="333"/>
      <c r="R28" s="344"/>
      <c r="S28" s="333"/>
      <c r="T28" s="344"/>
      <c r="U28" s="333"/>
      <c r="V28" s="344"/>
      <c r="W28" s="333"/>
      <c r="X28" s="344"/>
      <c r="Y28" s="333"/>
      <c r="Z28" s="344"/>
      <c r="AA28" s="333"/>
      <c r="AB28" s="344"/>
      <c r="AC28" s="333"/>
      <c r="AD28" s="344"/>
      <c r="AE28" s="333"/>
      <c r="AF28" s="344"/>
      <c r="AG28" s="437"/>
      <c r="AH28" s="163"/>
      <c r="AI28" s="163"/>
      <c r="AJ28" s="163"/>
      <c r="AK28" s="163"/>
      <c r="AL28" s="163"/>
      <c r="AM28" s="163"/>
      <c r="AN28" s="163"/>
      <c r="AO28" s="163"/>
      <c r="AP28" s="163"/>
      <c r="AQ28" s="163"/>
      <c r="AR28" s="163"/>
      <c r="AS28" s="163"/>
      <c r="AT28" s="163"/>
      <c r="AU28" s="163"/>
    </row>
    <row r="29" spans="2:33" ht="15">
      <c r="B29" s="346" t="s">
        <v>369</v>
      </c>
      <c r="C29" s="331"/>
      <c r="D29" s="331"/>
      <c r="E29" s="331"/>
      <c r="F29" s="331"/>
      <c r="G29" s="331"/>
      <c r="H29" s="331"/>
      <c r="I29" s="331"/>
      <c r="J29" s="331"/>
      <c r="K29" s="331"/>
      <c r="L29" s="331"/>
      <c r="M29" s="331"/>
      <c r="N29" s="346"/>
      <c r="O29" s="331"/>
      <c r="P29" s="331"/>
      <c r="Q29" s="331"/>
      <c r="R29" s="331"/>
      <c r="S29" s="331"/>
      <c r="T29" s="331"/>
      <c r="U29" s="331"/>
      <c r="V29" s="331"/>
      <c r="W29" s="331"/>
      <c r="X29" s="331"/>
      <c r="Y29" s="331"/>
      <c r="Z29" s="331"/>
      <c r="AA29" s="331"/>
      <c r="AB29" s="331"/>
      <c r="AC29" s="331"/>
      <c r="AD29" s="331"/>
      <c r="AE29" s="331"/>
      <c r="AF29" s="331"/>
      <c r="AG29" s="437"/>
    </row>
    <row r="30" spans="2:33" ht="15">
      <c r="B30" s="346" t="s">
        <v>370</v>
      </c>
      <c r="C30" s="331"/>
      <c r="D30" s="331"/>
      <c r="E30" s="331"/>
      <c r="F30" s="331"/>
      <c r="G30" s="331"/>
      <c r="H30" s="331"/>
      <c r="I30" s="331"/>
      <c r="J30" s="331"/>
      <c r="K30" s="331"/>
      <c r="L30" s="331"/>
      <c r="M30" s="331"/>
      <c r="N30" s="346"/>
      <c r="O30" s="331"/>
      <c r="P30" s="331"/>
      <c r="Q30" s="331"/>
      <c r="R30" s="331"/>
      <c r="S30" s="331"/>
      <c r="T30" s="331"/>
      <c r="U30" s="331"/>
      <c r="V30" s="331"/>
      <c r="W30" s="331"/>
      <c r="X30" s="331"/>
      <c r="Y30" s="331"/>
      <c r="Z30" s="331"/>
      <c r="AA30" s="331"/>
      <c r="AB30" s="331"/>
      <c r="AC30" s="331"/>
      <c r="AD30" s="331"/>
      <c r="AE30" s="331"/>
      <c r="AF30" s="331"/>
      <c r="AG30" s="437"/>
    </row>
    <row r="31" spans="2:33" ht="15">
      <c r="B31" s="331" t="s">
        <v>506</v>
      </c>
      <c r="C31" s="331"/>
      <c r="D31" s="331"/>
      <c r="E31" s="331"/>
      <c r="F31" s="331"/>
      <c r="G31" s="331"/>
      <c r="H31" s="331"/>
      <c r="I31" s="331"/>
      <c r="J31" s="331"/>
      <c r="K31" s="331"/>
      <c r="L31" s="346"/>
      <c r="M31" s="331"/>
      <c r="N31" s="331"/>
      <c r="O31" s="331"/>
      <c r="P31" s="331"/>
      <c r="Q31" s="331"/>
      <c r="R31" s="331"/>
      <c r="S31" s="331"/>
      <c r="T31" s="331"/>
      <c r="U31" s="331"/>
      <c r="V31" s="331"/>
      <c r="W31" s="331"/>
      <c r="X31" s="331"/>
      <c r="Y31" s="331"/>
      <c r="Z31" s="331"/>
      <c r="AA31" s="331"/>
      <c r="AB31" s="331"/>
      <c r="AC31" s="331"/>
      <c r="AD31" s="331"/>
      <c r="AE31" s="331"/>
      <c r="AF31" s="331"/>
      <c r="AG31" s="437"/>
    </row>
    <row r="32" spans="2:33" ht="15">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437"/>
    </row>
    <row r="33" spans="2:33" ht="15">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437"/>
    </row>
    <row r="34" spans="2:33" ht="15">
      <c r="B34" s="334"/>
      <c r="C34" s="334"/>
      <c r="D34" s="334" t="s">
        <v>507</v>
      </c>
      <c r="E34" s="334"/>
      <c r="F34" s="331" t="s">
        <v>383</v>
      </c>
      <c r="G34" s="331"/>
      <c r="H34" s="331"/>
      <c r="I34" s="334"/>
      <c r="J34" s="331" t="s">
        <v>384</v>
      </c>
      <c r="K34" s="331"/>
      <c r="L34" s="331"/>
      <c r="M34" s="334"/>
      <c r="N34" s="331" t="s">
        <v>385</v>
      </c>
      <c r="O34" s="331"/>
      <c r="P34" s="331"/>
      <c r="Q34" s="334"/>
      <c r="R34" s="331" t="s">
        <v>387</v>
      </c>
      <c r="S34" s="331"/>
      <c r="T34" s="331"/>
      <c r="U34" s="334"/>
      <c r="V34" s="331" t="s">
        <v>508</v>
      </c>
      <c r="W34" s="331"/>
      <c r="X34" s="331"/>
      <c r="Y34" s="334"/>
      <c r="Z34" s="331" t="s">
        <v>389</v>
      </c>
      <c r="AA34" s="331"/>
      <c r="AB34" s="331"/>
      <c r="AC34" s="334"/>
      <c r="AD34" s="331" t="s">
        <v>512</v>
      </c>
      <c r="AE34" s="331"/>
      <c r="AF34" s="331"/>
      <c r="AG34" s="437"/>
    </row>
    <row r="35" spans="2:33" ht="15">
      <c r="B35" s="334" t="s">
        <v>513</v>
      </c>
      <c r="C35" s="334"/>
      <c r="D35" s="334" t="s">
        <v>514</v>
      </c>
      <c r="E35" s="334"/>
      <c r="F35" s="335" t="s">
        <v>494</v>
      </c>
      <c r="G35" s="335"/>
      <c r="H35" s="335"/>
      <c r="I35" s="334"/>
      <c r="J35" s="335" t="s">
        <v>494</v>
      </c>
      <c r="K35" s="335"/>
      <c r="L35" s="335"/>
      <c r="M35" s="334"/>
      <c r="N35" s="335" t="s">
        <v>494</v>
      </c>
      <c r="O35" s="335"/>
      <c r="P35" s="335"/>
      <c r="Q35" s="334"/>
      <c r="R35" s="335" t="s">
        <v>494</v>
      </c>
      <c r="S35" s="335"/>
      <c r="T35" s="335"/>
      <c r="U35" s="334"/>
      <c r="V35" s="335" t="s">
        <v>494</v>
      </c>
      <c r="W35" s="335"/>
      <c r="X35" s="335"/>
      <c r="Y35" s="334"/>
      <c r="Z35" s="335" t="s">
        <v>494</v>
      </c>
      <c r="AA35" s="335"/>
      <c r="AB35" s="335"/>
      <c r="AC35" s="334"/>
      <c r="AD35" s="335" t="s">
        <v>494</v>
      </c>
      <c r="AE35" s="335"/>
      <c r="AF35" s="335"/>
      <c r="AG35" s="437"/>
    </row>
    <row r="36" spans="2:33" ht="15">
      <c r="B36" s="334" t="s">
        <v>515</v>
      </c>
      <c r="C36" s="334"/>
      <c r="D36" s="334" t="s">
        <v>516</v>
      </c>
      <c r="E36" s="334"/>
      <c r="F36" s="334" t="s">
        <v>517</v>
      </c>
      <c r="G36" s="334"/>
      <c r="H36" s="334" t="s">
        <v>518</v>
      </c>
      <c r="I36" s="334"/>
      <c r="J36" s="334" t="s">
        <v>517</v>
      </c>
      <c r="K36" s="334"/>
      <c r="L36" s="334" t="s">
        <v>518</v>
      </c>
      <c r="M36" s="334"/>
      <c r="N36" s="334" t="s">
        <v>517</v>
      </c>
      <c r="O36" s="334"/>
      <c r="P36" s="334" t="s">
        <v>518</v>
      </c>
      <c r="Q36" s="334"/>
      <c r="R36" s="334" t="s">
        <v>517</v>
      </c>
      <c r="S36" s="334"/>
      <c r="T36" s="334" t="s">
        <v>518</v>
      </c>
      <c r="U36" s="334"/>
      <c r="V36" s="334" t="s">
        <v>517</v>
      </c>
      <c r="W36" s="334"/>
      <c r="X36" s="334" t="s">
        <v>518</v>
      </c>
      <c r="Y36" s="334"/>
      <c r="Z36" s="334" t="s">
        <v>517</v>
      </c>
      <c r="AA36" s="334"/>
      <c r="AB36" s="334" t="s">
        <v>518</v>
      </c>
      <c r="AC36" s="334"/>
      <c r="AD36" s="334" t="s">
        <v>517</v>
      </c>
      <c r="AE36" s="334"/>
      <c r="AF36" s="334" t="s">
        <v>518</v>
      </c>
      <c r="AG36" s="437"/>
    </row>
    <row r="37" spans="2:33" ht="15">
      <c r="B37" s="336">
        <v>-1</v>
      </c>
      <c r="C37" s="337"/>
      <c r="D37" s="336">
        <v>-2</v>
      </c>
      <c r="E37" s="337"/>
      <c r="F37" s="336">
        <v>-3</v>
      </c>
      <c r="G37" s="337"/>
      <c r="H37" s="336" t="s">
        <v>519</v>
      </c>
      <c r="I37" s="337"/>
      <c r="J37" s="336">
        <v>-5</v>
      </c>
      <c r="K37" s="337"/>
      <c r="L37" s="336" t="s">
        <v>520</v>
      </c>
      <c r="M37" s="337"/>
      <c r="N37" s="336">
        <v>-7</v>
      </c>
      <c r="O37" s="337"/>
      <c r="P37" s="336" t="s">
        <v>521</v>
      </c>
      <c r="Q37" s="337"/>
      <c r="R37" s="336">
        <v>-9</v>
      </c>
      <c r="S37" s="337"/>
      <c r="T37" s="336" t="s">
        <v>522</v>
      </c>
      <c r="U37" s="337"/>
      <c r="V37" s="336">
        <v>-11</v>
      </c>
      <c r="W37" s="337"/>
      <c r="X37" s="336" t="s">
        <v>523</v>
      </c>
      <c r="Y37" s="337"/>
      <c r="Z37" s="336">
        <v>-13</v>
      </c>
      <c r="AA37" s="337"/>
      <c r="AB37" s="336" t="s">
        <v>524</v>
      </c>
      <c r="AC37" s="337"/>
      <c r="AD37" s="336">
        <v>-15</v>
      </c>
      <c r="AE37" s="337"/>
      <c r="AF37" s="336">
        <v>-16</v>
      </c>
      <c r="AG37" s="437"/>
    </row>
    <row r="38" spans="2:33" ht="15">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437"/>
    </row>
    <row r="39" spans="1:33" ht="15">
      <c r="A39" s="440"/>
      <c r="B39" s="333" t="s">
        <v>525</v>
      </c>
      <c r="C39" s="333"/>
      <c r="D39" s="347">
        <v>1</v>
      </c>
      <c r="E39" s="333"/>
      <c r="F39" s="341">
        <f>F11-30000-2264</f>
        <v>76974</v>
      </c>
      <c r="G39" s="333" t="s">
        <v>114</v>
      </c>
      <c r="H39" s="341">
        <f>ROUND(+F39*$D39,0)</f>
        <v>76974</v>
      </c>
      <c r="I39" s="333"/>
      <c r="J39" s="341">
        <f>J11</f>
        <v>4676</v>
      </c>
      <c r="K39" s="333"/>
      <c r="L39" s="341">
        <f>ROUND(+J39*$D39,0)</f>
        <v>4676</v>
      </c>
      <c r="M39" s="333"/>
      <c r="N39" s="341">
        <f>N11</f>
        <v>2</v>
      </c>
      <c r="O39" s="333"/>
      <c r="P39" s="341">
        <f>ROUND(+N39*$D39,0)</f>
        <v>2</v>
      </c>
      <c r="Q39" s="333"/>
      <c r="R39" s="341">
        <f>R11</f>
        <v>139</v>
      </c>
      <c r="S39" s="333"/>
      <c r="T39" s="341">
        <f>ROUND(+R39*$D39,0)</f>
        <v>139</v>
      </c>
      <c r="U39" s="333"/>
      <c r="V39" s="341">
        <f>V11</f>
        <v>0</v>
      </c>
      <c r="W39" s="333"/>
      <c r="X39" s="341">
        <f>ROUND(+V39*$D39,0)</f>
        <v>0</v>
      </c>
      <c r="Y39" s="333"/>
      <c r="Z39" s="341">
        <v>0</v>
      </c>
      <c r="AA39" s="333"/>
      <c r="AB39" s="341">
        <f>ROUND(+Z39*$D39,0)</f>
        <v>0</v>
      </c>
      <c r="AC39" s="333"/>
      <c r="AD39" s="341">
        <f>F39+J39+N39+R39+V39+Z39</f>
        <v>81791</v>
      </c>
      <c r="AE39" s="333"/>
      <c r="AF39" s="341">
        <f>H39+L39+P39+T39+X39+AB39</f>
        <v>81791</v>
      </c>
      <c r="AG39" s="437"/>
    </row>
    <row r="40" spans="1:33" ht="10.5" customHeight="1">
      <c r="A40" s="440"/>
      <c r="B40" s="333"/>
      <c r="C40" s="333"/>
      <c r="D40" s="347"/>
      <c r="E40" s="333"/>
      <c r="F40" s="333"/>
      <c r="G40" s="333"/>
      <c r="H40" s="341"/>
      <c r="I40" s="333"/>
      <c r="J40" s="333"/>
      <c r="K40" s="333"/>
      <c r="L40" s="341"/>
      <c r="M40" s="333"/>
      <c r="N40" s="333"/>
      <c r="O40" s="333"/>
      <c r="P40" s="341"/>
      <c r="Q40" s="333"/>
      <c r="R40" s="333"/>
      <c r="S40" s="333"/>
      <c r="T40" s="341"/>
      <c r="U40" s="333"/>
      <c r="V40" s="333"/>
      <c r="W40" s="333"/>
      <c r="X40" s="341"/>
      <c r="Y40" s="333"/>
      <c r="Z40" s="333"/>
      <c r="AA40" s="333"/>
      <c r="AB40" s="341"/>
      <c r="AC40" s="333"/>
      <c r="AD40" s="333"/>
      <c r="AE40" s="333"/>
      <c r="AF40" s="333"/>
      <c r="AG40" s="437"/>
    </row>
    <row r="41" spans="1:33" ht="15">
      <c r="A41" s="440"/>
      <c r="B41" s="333" t="s">
        <v>526</v>
      </c>
      <c r="C41" s="333"/>
      <c r="D41" s="347">
        <v>2</v>
      </c>
      <c r="E41" s="333"/>
      <c r="F41" s="341">
        <f>F13+15000+1132</f>
        <v>17918</v>
      </c>
      <c r="G41" s="333" t="s">
        <v>114</v>
      </c>
      <c r="H41" s="341">
        <f>ROUND(+F41*$D41,0)</f>
        <v>35836</v>
      </c>
      <c r="I41" s="333"/>
      <c r="J41" s="341">
        <f>J13</f>
        <v>2357</v>
      </c>
      <c r="K41" s="333"/>
      <c r="L41" s="341">
        <f>ROUND(+J41*$D41,0)</f>
        <v>4714</v>
      </c>
      <c r="M41" s="333"/>
      <c r="N41" s="341">
        <f>N13</f>
        <v>2</v>
      </c>
      <c r="O41" s="333"/>
      <c r="P41" s="341">
        <f>ROUND(+N41*$D41,0)</f>
        <v>4</v>
      </c>
      <c r="Q41" s="333"/>
      <c r="R41" s="341">
        <f>R13</f>
        <v>177</v>
      </c>
      <c r="S41" s="333"/>
      <c r="T41" s="341">
        <f>ROUND(+R41*$D41,0)</f>
        <v>354</v>
      </c>
      <c r="U41" s="333"/>
      <c r="V41" s="341">
        <f>V13</f>
        <v>0</v>
      </c>
      <c r="W41" s="333"/>
      <c r="X41" s="341">
        <f>ROUND(+V41*$D41,0)</f>
        <v>0</v>
      </c>
      <c r="Y41" s="333"/>
      <c r="Z41" s="341">
        <f>Z13</f>
        <v>0</v>
      </c>
      <c r="AA41" s="333"/>
      <c r="AB41" s="341">
        <f>ROUND(+Z41*$D41,0)</f>
        <v>0</v>
      </c>
      <c r="AC41" s="333"/>
      <c r="AD41" s="341">
        <f>F41+J41+N41+R41+V41+Z41</f>
        <v>20454</v>
      </c>
      <c r="AE41" s="333"/>
      <c r="AF41" s="341">
        <f>H41+L41+P41+T41+X41+AB41</f>
        <v>40908</v>
      </c>
      <c r="AG41" s="437"/>
    </row>
    <row r="42" spans="1:33" ht="10.5" customHeight="1">
      <c r="A42" s="440"/>
      <c r="B42" s="333"/>
      <c r="C42" s="333"/>
      <c r="D42" s="347"/>
      <c r="E42" s="333"/>
      <c r="F42" s="341"/>
      <c r="G42" s="333"/>
      <c r="H42" s="341"/>
      <c r="I42" s="333"/>
      <c r="J42" s="341"/>
      <c r="K42" s="333"/>
      <c r="L42" s="341"/>
      <c r="M42" s="333"/>
      <c r="N42" s="341"/>
      <c r="O42" s="333"/>
      <c r="P42" s="341"/>
      <c r="Q42" s="333"/>
      <c r="R42" s="341"/>
      <c r="S42" s="333"/>
      <c r="T42" s="341"/>
      <c r="U42" s="333"/>
      <c r="V42" s="341"/>
      <c r="W42" s="333"/>
      <c r="X42" s="341"/>
      <c r="Y42" s="333"/>
      <c r="Z42" s="341"/>
      <c r="AA42" s="333"/>
      <c r="AB42" s="341"/>
      <c r="AC42" s="333"/>
      <c r="AD42" s="341"/>
      <c r="AE42" s="333"/>
      <c r="AF42" s="333"/>
      <c r="AG42" s="437"/>
    </row>
    <row r="43" spans="1:33" ht="15">
      <c r="A43" s="440"/>
      <c r="B43" s="333" t="s">
        <v>527</v>
      </c>
      <c r="C43" s="333"/>
      <c r="D43" s="347">
        <v>2.2</v>
      </c>
      <c r="E43" s="333"/>
      <c r="F43" s="341">
        <f>F15</f>
        <v>12</v>
      </c>
      <c r="G43" s="333"/>
      <c r="H43" s="341">
        <f>ROUND(+F43*$D43,0)</f>
        <v>26</v>
      </c>
      <c r="I43" s="333"/>
      <c r="J43" s="341">
        <f>J15</f>
        <v>169</v>
      </c>
      <c r="K43" s="333"/>
      <c r="L43" s="341">
        <f>ROUND(+J43*$D43,0)</f>
        <v>372</v>
      </c>
      <c r="M43" s="333"/>
      <c r="N43" s="341">
        <f>N15</f>
        <v>2</v>
      </c>
      <c r="O43" s="333"/>
      <c r="P43" s="341">
        <f>ROUND(+N43*$D43,0)</f>
        <v>4</v>
      </c>
      <c r="Q43" s="333"/>
      <c r="R43" s="341">
        <f>R15</f>
        <v>27</v>
      </c>
      <c r="S43" s="333"/>
      <c r="T43" s="341">
        <f>ROUND(+R43*$D43,0)</f>
        <v>59</v>
      </c>
      <c r="U43" s="333"/>
      <c r="V43" s="341">
        <f>V15</f>
        <v>4</v>
      </c>
      <c r="W43" s="333"/>
      <c r="X43" s="341">
        <f>ROUND(+V43*$D43,0)</f>
        <v>9</v>
      </c>
      <c r="Y43" s="333"/>
      <c r="Z43" s="341">
        <f>Z15</f>
        <v>0</v>
      </c>
      <c r="AA43" s="333"/>
      <c r="AB43" s="341">
        <f>ROUND(+Z43*$D43,0)</f>
        <v>0</v>
      </c>
      <c r="AC43" s="333"/>
      <c r="AD43" s="341">
        <f>F43+J43+N43+R43+V43+Z43</f>
        <v>214</v>
      </c>
      <c r="AE43" s="333"/>
      <c r="AF43" s="341">
        <f>H43+L43+P43+T43+X43+AB43</f>
        <v>470</v>
      </c>
      <c r="AG43" s="437"/>
    </row>
    <row r="44" spans="1:33" ht="9.75" customHeight="1">
      <c r="A44" s="440"/>
      <c r="B44" s="333"/>
      <c r="C44" s="333"/>
      <c r="D44" s="347"/>
      <c r="E44" s="333"/>
      <c r="F44" s="341"/>
      <c r="G44" s="333"/>
      <c r="H44" s="341"/>
      <c r="I44" s="333"/>
      <c r="J44" s="341"/>
      <c r="K44" s="333"/>
      <c r="L44" s="341"/>
      <c r="M44" s="333"/>
      <c r="N44" s="341"/>
      <c r="O44" s="333"/>
      <c r="P44" s="341"/>
      <c r="Q44" s="333"/>
      <c r="R44" s="341"/>
      <c r="S44" s="333"/>
      <c r="T44" s="341"/>
      <c r="U44" s="333"/>
      <c r="V44" s="341"/>
      <c r="W44" s="333"/>
      <c r="X44" s="341"/>
      <c r="Y44" s="333"/>
      <c r="Z44" s="341"/>
      <c r="AA44" s="333"/>
      <c r="AB44" s="341"/>
      <c r="AC44" s="333"/>
      <c r="AD44" s="341"/>
      <c r="AE44" s="333"/>
      <c r="AF44" s="333"/>
      <c r="AG44" s="437"/>
    </row>
    <row r="45" spans="1:33" ht="15">
      <c r="A45" s="440"/>
      <c r="B45" s="333" t="s">
        <v>528</v>
      </c>
      <c r="C45" s="333"/>
      <c r="D45" s="347">
        <v>2.4</v>
      </c>
      <c r="E45" s="333"/>
      <c r="F45" s="341">
        <f>F17</f>
        <v>73</v>
      </c>
      <c r="G45" s="333"/>
      <c r="H45" s="341">
        <f>ROUND(+F45*$D45,0)</f>
        <v>175</v>
      </c>
      <c r="I45" s="333"/>
      <c r="J45" s="341">
        <f>J17</f>
        <v>1797</v>
      </c>
      <c r="K45" s="333"/>
      <c r="L45" s="341">
        <f>ROUND(+J45*$D45,0)</f>
        <v>4313</v>
      </c>
      <c r="M45" s="333"/>
      <c r="N45" s="341">
        <f>N17</f>
        <v>23</v>
      </c>
      <c r="O45" s="333"/>
      <c r="P45" s="341">
        <f>ROUND(+N45*$D45,0)</f>
        <v>55</v>
      </c>
      <c r="Q45" s="333"/>
      <c r="R45" s="341">
        <f>R17</f>
        <v>355</v>
      </c>
      <c r="S45" s="333"/>
      <c r="T45" s="341">
        <f>ROUND(+R45*$D45,0)</f>
        <v>852</v>
      </c>
      <c r="U45" s="333"/>
      <c r="V45" s="341">
        <f>V17</f>
        <v>7</v>
      </c>
      <c r="W45" s="333"/>
      <c r="X45" s="341">
        <f>ROUND(+V45*$D45,0)</f>
        <v>17</v>
      </c>
      <c r="Y45" s="333"/>
      <c r="Z45" s="341">
        <f>Fire!K15</f>
        <v>65</v>
      </c>
      <c r="AA45" s="333"/>
      <c r="AB45" s="341">
        <f>ROUND(+Z45*$D45,0)</f>
        <v>156</v>
      </c>
      <c r="AC45" s="333"/>
      <c r="AD45" s="341">
        <f>F45+J45+N45+R45+V45+Z45</f>
        <v>2320</v>
      </c>
      <c r="AE45" s="333"/>
      <c r="AF45" s="341">
        <f>H45+L45+P45+T45+X45+AB45</f>
        <v>5568</v>
      </c>
      <c r="AG45" s="437"/>
    </row>
    <row r="46" spans="1:33" ht="9.75" customHeight="1">
      <c r="A46" s="440"/>
      <c r="B46" s="333"/>
      <c r="C46" s="333"/>
      <c r="D46" s="347"/>
      <c r="E46" s="333"/>
      <c r="F46" s="341"/>
      <c r="G46" s="333"/>
      <c r="H46" s="341"/>
      <c r="I46" s="333"/>
      <c r="J46" s="341"/>
      <c r="K46" s="333"/>
      <c r="L46" s="341"/>
      <c r="M46" s="333"/>
      <c r="N46" s="341"/>
      <c r="O46" s="333"/>
      <c r="P46" s="341"/>
      <c r="Q46" s="333"/>
      <c r="R46" s="341"/>
      <c r="S46" s="333"/>
      <c r="T46" s="341"/>
      <c r="U46" s="333"/>
      <c r="V46" s="341"/>
      <c r="W46" s="333"/>
      <c r="X46" s="341"/>
      <c r="Y46" s="333"/>
      <c r="Z46" s="341"/>
      <c r="AA46" s="333"/>
      <c r="AB46" s="341"/>
      <c r="AC46" s="333"/>
      <c r="AD46" s="341"/>
      <c r="AE46" s="333"/>
      <c r="AF46" s="333"/>
      <c r="AG46" s="437"/>
    </row>
    <row r="47" spans="1:33" ht="15">
      <c r="A47" s="440"/>
      <c r="B47" s="333" t="s">
        <v>529</v>
      </c>
      <c r="C47" s="333"/>
      <c r="D47" s="347">
        <v>3.5</v>
      </c>
      <c r="E47" s="333"/>
      <c r="F47" s="341">
        <f>F19+F21</f>
        <v>0</v>
      </c>
      <c r="G47" s="333"/>
      <c r="H47" s="341">
        <f>ROUND(+F47*$D47,0)</f>
        <v>0</v>
      </c>
      <c r="I47" s="333"/>
      <c r="J47" s="341">
        <f>J19+J21</f>
        <v>37</v>
      </c>
      <c r="K47" s="333"/>
      <c r="L47" s="341">
        <f>ROUND(+J47*$D47,0)</f>
        <v>130</v>
      </c>
      <c r="M47" s="333"/>
      <c r="N47" s="341">
        <f>N19+N21</f>
        <v>12</v>
      </c>
      <c r="O47" s="333"/>
      <c r="P47" s="341">
        <f>ROUND(+N47*$D47,0)</f>
        <v>42</v>
      </c>
      <c r="Q47" s="333"/>
      <c r="R47" s="341">
        <f>R19+R21</f>
        <v>41</v>
      </c>
      <c r="S47" s="333"/>
      <c r="T47" s="341">
        <f>ROUND(+R47*$D47,0)</f>
        <v>144</v>
      </c>
      <c r="U47" s="333"/>
      <c r="V47" s="341">
        <f>V19+V21</f>
        <v>7</v>
      </c>
      <c r="W47" s="333"/>
      <c r="X47" s="341">
        <f>ROUND(+V47*$D47,0)</f>
        <v>25</v>
      </c>
      <c r="Y47" s="333"/>
      <c r="Z47" s="341">
        <f>Fire!K17</f>
        <v>372.38461538461536</v>
      </c>
      <c r="AA47" s="333"/>
      <c r="AB47" s="341">
        <f>ROUND(+Z47*$D47,0)</f>
        <v>1303</v>
      </c>
      <c r="AC47" s="333"/>
      <c r="AD47" s="341">
        <f>F47+J47+N47+R47+V47+Z47</f>
        <v>469.38461538461536</v>
      </c>
      <c r="AE47" s="333"/>
      <c r="AF47" s="341">
        <f>H47+L47+P47+T47+X47+AB47</f>
        <v>1644</v>
      </c>
      <c r="AG47" s="437"/>
    </row>
    <row r="48" spans="1:33" ht="9.75" customHeight="1">
      <c r="A48" s="440"/>
      <c r="B48" s="333"/>
      <c r="C48" s="333"/>
      <c r="D48" s="347"/>
      <c r="E48" s="333"/>
      <c r="F48" s="341"/>
      <c r="G48" s="333"/>
      <c r="H48" s="341"/>
      <c r="I48" s="333"/>
      <c r="J48" s="341"/>
      <c r="K48" s="333"/>
      <c r="L48" s="341"/>
      <c r="M48" s="333"/>
      <c r="N48" s="341"/>
      <c r="O48" s="333"/>
      <c r="P48" s="341"/>
      <c r="Q48" s="333"/>
      <c r="R48" s="341"/>
      <c r="S48" s="333"/>
      <c r="T48" s="341"/>
      <c r="U48" s="333"/>
      <c r="V48" s="341"/>
      <c r="W48" s="333"/>
      <c r="X48" s="341"/>
      <c r="Y48" s="333"/>
      <c r="Z48" s="341"/>
      <c r="AA48" s="333"/>
      <c r="AB48" s="341"/>
      <c r="AC48" s="333"/>
      <c r="AD48" s="341"/>
      <c r="AE48" s="333"/>
      <c r="AF48" s="333"/>
      <c r="AG48" s="437"/>
    </row>
    <row r="49" spans="1:33" ht="15">
      <c r="A49" s="440"/>
      <c r="B49" s="333" t="s">
        <v>530</v>
      </c>
      <c r="C49" s="333"/>
      <c r="D49" s="347">
        <v>4</v>
      </c>
      <c r="E49" s="333"/>
      <c r="F49" s="341">
        <f>F23</f>
        <v>2</v>
      </c>
      <c r="G49" s="333"/>
      <c r="H49" s="341">
        <f>ROUND(+F49*$D49,0)</f>
        <v>8</v>
      </c>
      <c r="I49" s="333"/>
      <c r="J49" s="341">
        <f>J23</f>
        <v>12</v>
      </c>
      <c r="K49" s="333"/>
      <c r="L49" s="341">
        <f>ROUND(+J49*$D49,0)</f>
        <v>48</v>
      </c>
      <c r="M49" s="333"/>
      <c r="N49" s="341">
        <f>N23</f>
        <v>4</v>
      </c>
      <c r="O49" s="333"/>
      <c r="P49" s="341">
        <f>ROUND(+N49*$D49,0)</f>
        <v>16</v>
      </c>
      <c r="Q49" s="333"/>
      <c r="R49" s="341">
        <f>R23</f>
        <v>9</v>
      </c>
      <c r="S49" s="333"/>
      <c r="T49" s="341">
        <f>ROUND(+R49*$D49,0)</f>
        <v>36</v>
      </c>
      <c r="U49" s="333"/>
      <c r="V49" s="341">
        <f>V23</f>
        <v>5</v>
      </c>
      <c r="W49" s="333"/>
      <c r="X49" s="341">
        <f>ROUND(+V49*$D49,0)</f>
        <v>20</v>
      </c>
      <c r="Y49" s="333"/>
      <c r="Z49" s="341">
        <f>Fire!K18</f>
        <v>782.9230769230769</v>
      </c>
      <c r="AA49" s="333"/>
      <c r="AB49" s="341">
        <f>ROUND(+Z49*$D49,0)</f>
        <v>3132</v>
      </c>
      <c r="AC49" s="333"/>
      <c r="AD49" s="341">
        <f>F49+J49+N49+R49+V49+Z49</f>
        <v>814.9230769230769</v>
      </c>
      <c r="AE49" s="333"/>
      <c r="AF49" s="341">
        <f>H49+L49+P49+T49+X49+AB49</f>
        <v>3260</v>
      </c>
      <c r="AG49" s="437"/>
    </row>
    <row r="50" spans="1:33" ht="9.75" customHeight="1">
      <c r="A50" s="440"/>
      <c r="B50" s="333"/>
      <c r="C50" s="333"/>
      <c r="D50" s="347"/>
      <c r="E50" s="333"/>
      <c r="F50" s="341"/>
      <c r="G50" s="333"/>
      <c r="H50" s="341"/>
      <c r="I50" s="333"/>
      <c r="J50" s="341"/>
      <c r="K50" s="333"/>
      <c r="L50" s="341"/>
      <c r="M50" s="333"/>
      <c r="N50" s="341"/>
      <c r="O50" s="333"/>
      <c r="P50" s="341"/>
      <c r="Q50" s="333"/>
      <c r="R50" s="341"/>
      <c r="S50" s="333"/>
      <c r="T50" s="341"/>
      <c r="U50" s="333"/>
      <c r="V50" s="341"/>
      <c r="W50" s="333"/>
      <c r="X50" s="341"/>
      <c r="Y50" s="333"/>
      <c r="Z50" s="341"/>
      <c r="AA50" s="333"/>
      <c r="AB50" s="341"/>
      <c r="AC50" s="333"/>
      <c r="AD50" s="341"/>
      <c r="AE50" s="333"/>
      <c r="AF50" s="333"/>
      <c r="AG50" s="437"/>
    </row>
    <row r="51" spans="1:33" ht="15">
      <c r="A51" s="440"/>
      <c r="B51" s="333" t="s">
        <v>531</v>
      </c>
      <c r="C51" s="333"/>
      <c r="D51" s="347">
        <v>5.1</v>
      </c>
      <c r="E51" s="333"/>
      <c r="F51" s="341">
        <f>F25</f>
        <v>0</v>
      </c>
      <c r="G51" s="333"/>
      <c r="H51" s="341">
        <f>ROUND(+F51*$D51,0)</f>
        <v>0</v>
      </c>
      <c r="I51" s="333"/>
      <c r="J51" s="341">
        <f>J25</f>
        <v>10</v>
      </c>
      <c r="K51" s="333"/>
      <c r="L51" s="341">
        <f>ROUND(+J51*$D51,0)</f>
        <v>51</v>
      </c>
      <c r="M51" s="333"/>
      <c r="N51" s="341">
        <f>N25</f>
        <v>0</v>
      </c>
      <c r="O51" s="333"/>
      <c r="P51" s="341">
        <f>ROUND(+N51*$D51,0)</f>
        <v>0</v>
      </c>
      <c r="Q51" s="333"/>
      <c r="R51" s="341">
        <f>R25</f>
        <v>2</v>
      </c>
      <c r="S51" s="333"/>
      <c r="T51" s="341">
        <f>ROUND(+R51*$D51,0)</f>
        <v>10</v>
      </c>
      <c r="U51" s="333"/>
      <c r="V51" s="341">
        <f>V25</f>
        <v>0</v>
      </c>
      <c r="W51" s="333"/>
      <c r="X51" s="341">
        <f>ROUND(+V51*$D51,0)</f>
        <v>0</v>
      </c>
      <c r="Y51" s="333"/>
      <c r="Z51" s="341">
        <f>Fire!K19</f>
        <v>246</v>
      </c>
      <c r="AA51" s="333"/>
      <c r="AB51" s="341">
        <f>ROUND(+Z51*$D51,0)</f>
        <v>1255</v>
      </c>
      <c r="AC51" s="333"/>
      <c r="AD51" s="341">
        <f>F51+J51+N51+R51+V51+Z51</f>
        <v>258</v>
      </c>
      <c r="AE51" s="333"/>
      <c r="AF51" s="341">
        <f>H51+L51+P51+T51+X51+AB51</f>
        <v>1316</v>
      </c>
      <c r="AG51" s="437"/>
    </row>
    <row r="52" spans="1:33" ht="9.75" customHeight="1">
      <c r="A52" s="441"/>
      <c r="B52" s="333"/>
      <c r="C52" s="333"/>
      <c r="D52" s="347"/>
      <c r="E52" s="333"/>
      <c r="F52" s="341"/>
      <c r="G52" s="333"/>
      <c r="H52" s="341"/>
      <c r="I52" s="333"/>
      <c r="J52" s="341"/>
      <c r="K52" s="333"/>
      <c r="L52" s="341"/>
      <c r="M52" s="333"/>
      <c r="N52" s="341"/>
      <c r="O52" s="333"/>
      <c r="P52" s="341"/>
      <c r="Q52" s="333"/>
      <c r="R52" s="341"/>
      <c r="S52" s="333"/>
      <c r="T52" s="341"/>
      <c r="U52" s="333"/>
      <c r="V52" s="341"/>
      <c r="W52" s="333"/>
      <c r="X52" s="341"/>
      <c r="Y52" s="333"/>
      <c r="Z52" s="341"/>
      <c r="AA52" s="333"/>
      <c r="AB52" s="341"/>
      <c r="AC52" s="333"/>
      <c r="AD52" s="341"/>
      <c r="AE52" s="333"/>
      <c r="AF52" s="341"/>
      <c r="AG52" s="437"/>
    </row>
    <row r="53" spans="1:33" ht="15">
      <c r="A53" s="440"/>
      <c r="B53" s="442">
        <v>10</v>
      </c>
      <c r="C53" s="333"/>
      <c r="D53" s="347">
        <v>8.9</v>
      </c>
      <c r="E53" s="333"/>
      <c r="F53" s="341">
        <v>0</v>
      </c>
      <c r="G53" s="333"/>
      <c r="H53" s="341">
        <v>0</v>
      </c>
      <c r="I53" s="333"/>
      <c r="J53" s="341">
        <v>0</v>
      </c>
      <c r="K53" s="333"/>
      <c r="L53" s="341">
        <v>0</v>
      </c>
      <c r="M53" s="333"/>
      <c r="N53" s="341">
        <v>0</v>
      </c>
      <c r="O53" s="333"/>
      <c r="P53" s="341">
        <v>0</v>
      </c>
      <c r="Q53" s="333"/>
      <c r="R53" s="341">
        <v>0</v>
      </c>
      <c r="S53" s="333"/>
      <c r="T53" s="341">
        <v>0</v>
      </c>
      <c r="U53" s="333"/>
      <c r="V53" s="341">
        <v>0</v>
      </c>
      <c r="W53" s="333"/>
      <c r="X53" s="341">
        <v>0</v>
      </c>
      <c r="Y53" s="333"/>
      <c r="Z53" s="341">
        <f>Fire!K20</f>
        <v>7</v>
      </c>
      <c r="AA53" s="333"/>
      <c r="AB53" s="341">
        <f>ROUND(+Z53*$D53,0)</f>
        <v>62</v>
      </c>
      <c r="AC53" s="333"/>
      <c r="AD53" s="341">
        <f>F53+J53+N53+R53+V53+Z53</f>
        <v>7</v>
      </c>
      <c r="AE53" s="333"/>
      <c r="AF53" s="341">
        <f>H53+L53+P53+T53+X53+AB53</f>
        <v>62</v>
      </c>
      <c r="AG53" s="437"/>
    </row>
    <row r="54" spans="1:33" ht="10.5" customHeight="1">
      <c r="A54" s="440"/>
      <c r="B54" s="442"/>
      <c r="C54" s="333"/>
      <c r="D54" s="347"/>
      <c r="E54" s="333"/>
      <c r="F54" s="341"/>
      <c r="G54" s="333"/>
      <c r="H54" s="341"/>
      <c r="I54" s="333"/>
      <c r="J54" s="341"/>
      <c r="K54" s="333"/>
      <c r="L54" s="341"/>
      <c r="M54" s="333"/>
      <c r="N54" s="341"/>
      <c r="O54" s="333"/>
      <c r="P54" s="341"/>
      <c r="Q54" s="333"/>
      <c r="R54" s="341"/>
      <c r="S54" s="333"/>
      <c r="T54" s="341"/>
      <c r="U54" s="333"/>
      <c r="V54" s="341"/>
      <c r="W54" s="333"/>
      <c r="X54" s="341"/>
      <c r="Y54" s="333"/>
      <c r="Z54" s="341"/>
      <c r="AA54" s="333"/>
      <c r="AB54" s="341"/>
      <c r="AC54" s="333"/>
      <c r="AD54" s="341"/>
      <c r="AE54" s="333"/>
      <c r="AF54" s="341"/>
      <c r="AG54" s="437"/>
    </row>
    <row r="55" spans="1:33" ht="15">
      <c r="A55" s="440"/>
      <c r="B55" s="442">
        <v>12</v>
      </c>
      <c r="C55" s="333"/>
      <c r="D55" s="347">
        <v>9.5</v>
      </c>
      <c r="E55" s="333"/>
      <c r="F55" s="341">
        <v>0</v>
      </c>
      <c r="G55" s="333"/>
      <c r="H55" s="341">
        <v>0</v>
      </c>
      <c r="I55" s="333"/>
      <c r="J55" s="341">
        <v>0</v>
      </c>
      <c r="K55" s="333"/>
      <c r="L55" s="341">
        <v>0</v>
      </c>
      <c r="M55" s="333"/>
      <c r="N55" s="341">
        <v>0</v>
      </c>
      <c r="O55" s="333"/>
      <c r="P55" s="341">
        <v>0</v>
      </c>
      <c r="Q55" s="333"/>
      <c r="R55" s="341">
        <v>0</v>
      </c>
      <c r="S55" s="333"/>
      <c r="T55" s="341">
        <v>0</v>
      </c>
      <c r="U55" s="333"/>
      <c r="V55" s="341">
        <v>0</v>
      </c>
      <c r="W55" s="333"/>
      <c r="X55" s="341">
        <v>0</v>
      </c>
      <c r="Y55" s="333"/>
      <c r="Z55" s="341">
        <f>Fire!K21</f>
        <v>4</v>
      </c>
      <c r="AA55" s="333"/>
      <c r="AB55" s="341">
        <f>ROUND(+Z55*$D55,0)</f>
        <v>38</v>
      </c>
      <c r="AC55" s="333"/>
      <c r="AD55" s="341">
        <f>F55+J55+N55+R55+V55+Z55</f>
        <v>4</v>
      </c>
      <c r="AE55" s="333"/>
      <c r="AF55" s="341">
        <f>H55+L55+P55+T55+X55+AB55</f>
        <v>38</v>
      </c>
      <c r="AG55" s="437"/>
    </row>
    <row r="56" spans="1:33" ht="10.5" customHeight="1">
      <c r="A56" s="440"/>
      <c r="B56" s="442"/>
      <c r="C56" s="333"/>
      <c r="D56" s="347"/>
      <c r="E56" s="333"/>
      <c r="F56" s="341"/>
      <c r="G56" s="333"/>
      <c r="H56" s="341"/>
      <c r="I56" s="333"/>
      <c r="J56" s="341"/>
      <c r="K56" s="333"/>
      <c r="L56" s="341"/>
      <c r="M56" s="333"/>
      <c r="N56" s="341"/>
      <c r="O56" s="333"/>
      <c r="P56" s="341"/>
      <c r="Q56" s="333"/>
      <c r="R56" s="341"/>
      <c r="S56" s="333"/>
      <c r="T56" s="341"/>
      <c r="U56" s="333"/>
      <c r="V56" s="341"/>
      <c r="W56" s="333"/>
      <c r="X56" s="341"/>
      <c r="Y56" s="333"/>
      <c r="Z56" s="341"/>
      <c r="AA56" s="333"/>
      <c r="AB56" s="341"/>
      <c r="AC56" s="333"/>
      <c r="AD56" s="341"/>
      <c r="AE56" s="333"/>
      <c r="AF56" s="341"/>
      <c r="AG56" s="437"/>
    </row>
    <row r="57" spans="1:33" ht="15">
      <c r="A57" s="440"/>
      <c r="B57" s="442" t="s">
        <v>115</v>
      </c>
      <c r="C57" s="333"/>
      <c r="D57" s="347">
        <v>12.7</v>
      </c>
      <c r="E57" s="333"/>
      <c r="F57" s="341">
        <v>0</v>
      </c>
      <c r="G57" s="333"/>
      <c r="H57" s="341">
        <v>0</v>
      </c>
      <c r="I57" s="333"/>
      <c r="J57" s="341">
        <v>0</v>
      </c>
      <c r="K57" s="333"/>
      <c r="L57" s="341">
        <v>0</v>
      </c>
      <c r="M57" s="333"/>
      <c r="N57" s="341">
        <v>0</v>
      </c>
      <c r="O57" s="333"/>
      <c r="P57" s="341">
        <v>0</v>
      </c>
      <c r="Q57" s="333"/>
      <c r="R57" s="341">
        <v>0</v>
      </c>
      <c r="S57" s="333"/>
      <c r="T57" s="341">
        <v>0</v>
      </c>
      <c r="U57" s="333"/>
      <c r="V57" s="341">
        <v>0</v>
      </c>
      <c r="W57" s="333"/>
      <c r="X57" s="341">
        <v>0</v>
      </c>
      <c r="Y57" s="333"/>
      <c r="Z57" s="341">
        <f>Fire!K23</f>
        <v>1</v>
      </c>
      <c r="AA57" s="333"/>
      <c r="AB57" s="341">
        <f>ROUND(+Z57*$D57,0)</f>
        <v>13</v>
      </c>
      <c r="AC57" s="333"/>
      <c r="AD57" s="341">
        <f>F57+J57+N57+R57+V57+Z57</f>
        <v>1</v>
      </c>
      <c r="AE57" s="333"/>
      <c r="AF57" s="341">
        <f>H57+L57+P57+T57+X57+AB57</f>
        <v>13</v>
      </c>
      <c r="AG57" s="437"/>
    </row>
    <row r="58" spans="2:33" ht="15">
      <c r="B58" s="333"/>
      <c r="C58" s="333"/>
      <c r="D58" s="333"/>
      <c r="E58" s="333"/>
      <c r="F58" s="342"/>
      <c r="G58" s="333"/>
      <c r="H58" s="342"/>
      <c r="I58" s="333"/>
      <c r="J58" s="342"/>
      <c r="K58" s="333"/>
      <c r="L58" s="342"/>
      <c r="M58" s="333"/>
      <c r="N58" s="342"/>
      <c r="O58" s="333"/>
      <c r="P58" s="342"/>
      <c r="Q58" s="333"/>
      <c r="R58" s="342"/>
      <c r="S58" s="333"/>
      <c r="T58" s="342"/>
      <c r="U58" s="333"/>
      <c r="V58" s="342"/>
      <c r="W58" s="333"/>
      <c r="X58" s="342"/>
      <c r="Y58" s="333"/>
      <c r="Z58" s="342"/>
      <c r="AA58" s="333"/>
      <c r="AB58" s="342"/>
      <c r="AC58" s="333"/>
      <c r="AD58" s="342"/>
      <c r="AE58" s="333"/>
      <c r="AF58" s="342"/>
      <c r="AG58" s="437"/>
    </row>
    <row r="59" spans="2:33" ht="15.75" thickBot="1">
      <c r="B59" s="333" t="s">
        <v>512</v>
      </c>
      <c r="C59" s="333"/>
      <c r="D59" s="333"/>
      <c r="E59" s="333"/>
      <c r="F59" s="341">
        <f>SUM(F39:F51)</f>
        <v>94979</v>
      </c>
      <c r="G59" s="333"/>
      <c r="H59" s="341">
        <f>SUM(H39:H51)</f>
        <v>113019</v>
      </c>
      <c r="I59" s="333"/>
      <c r="J59" s="341">
        <f>SUM(J39:J51)</f>
        <v>9058</v>
      </c>
      <c r="K59" s="333"/>
      <c r="L59" s="341">
        <f>SUM(L39:L51)</f>
        <v>14304</v>
      </c>
      <c r="M59" s="333"/>
      <c r="N59" s="341">
        <f>SUM(N39:N51)</f>
        <v>45</v>
      </c>
      <c r="O59" s="333"/>
      <c r="P59" s="341">
        <f>SUM(P39:P51)</f>
        <v>123</v>
      </c>
      <c r="Q59" s="333"/>
      <c r="R59" s="341">
        <f>SUM(R39:R51)</f>
        <v>750</v>
      </c>
      <c r="S59" s="333"/>
      <c r="T59" s="341">
        <f>SUM(T39:T51)</f>
        <v>1594</v>
      </c>
      <c r="U59" s="333"/>
      <c r="V59" s="341">
        <f>SUM(V39:V51)</f>
        <v>23</v>
      </c>
      <c r="W59" s="333"/>
      <c r="X59" s="341">
        <f>SUM(X39:X51)</f>
        <v>71</v>
      </c>
      <c r="Y59" s="333"/>
      <c r="Z59" s="343">
        <f>SUM(Z39:Z58)</f>
        <v>1478.3076923076924</v>
      </c>
      <c r="AA59" s="333"/>
      <c r="AB59" s="341">
        <f>SUM(AB39:AB58)</f>
        <v>5959</v>
      </c>
      <c r="AC59" s="333"/>
      <c r="AD59" s="341">
        <f>SUM(AD39:AD58)</f>
        <v>106333.30769230769</v>
      </c>
      <c r="AE59" s="333"/>
      <c r="AF59" s="341">
        <f>SUM(AF39:AF58)</f>
        <v>135070</v>
      </c>
      <c r="AG59" s="437"/>
    </row>
    <row r="60" spans="2:33" ht="15.75" thickTop="1">
      <c r="B60" s="333"/>
      <c r="C60" s="333"/>
      <c r="D60" s="333"/>
      <c r="E60" s="333"/>
      <c r="F60" s="344"/>
      <c r="G60" s="333"/>
      <c r="H60" s="344"/>
      <c r="I60" s="333"/>
      <c r="J60" s="344"/>
      <c r="K60" s="333"/>
      <c r="L60" s="344"/>
      <c r="M60" s="333"/>
      <c r="N60" s="344"/>
      <c r="O60" s="333"/>
      <c r="P60" s="344"/>
      <c r="Q60" s="333"/>
      <c r="R60" s="344"/>
      <c r="S60" s="333"/>
      <c r="T60" s="344"/>
      <c r="U60" s="333"/>
      <c r="V60" s="344"/>
      <c r="W60" s="333"/>
      <c r="X60" s="344"/>
      <c r="Y60" s="333"/>
      <c r="Z60" s="345"/>
      <c r="AA60" s="333"/>
      <c r="AB60" s="344"/>
      <c r="AC60" s="333"/>
      <c r="AD60" s="344"/>
      <c r="AE60" s="333"/>
      <c r="AF60" s="344"/>
      <c r="AG60" s="437"/>
    </row>
    <row r="61" spans="2:33" ht="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9"/>
      <c r="AF61" s="349"/>
      <c r="AG61" s="437"/>
    </row>
    <row r="62" spans="2:33" ht="15">
      <c r="B62" s="348"/>
      <c r="C62" s="348"/>
      <c r="D62" s="348"/>
      <c r="E62" s="348"/>
      <c r="F62" s="348" t="s">
        <v>339</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32"/>
      <c r="AF62" s="332"/>
      <c r="AG62" s="437"/>
    </row>
    <row r="63" spans="2:33" ht="15">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32"/>
      <c r="AF63" s="332"/>
      <c r="AG63" s="437"/>
    </row>
    <row r="64" spans="2:33" ht="15">
      <c r="B64" s="348"/>
      <c r="C64" s="348"/>
      <c r="D64" s="348"/>
      <c r="E64" s="348"/>
      <c r="F64" s="443"/>
      <c r="G64" s="443"/>
      <c r="H64" s="443"/>
      <c r="I64" s="443"/>
      <c r="J64" s="444"/>
      <c r="K64" s="443"/>
      <c r="L64" s="443"/>
      <c r="M64" s="348"/>
      <c r="N64" s="348"/>
      <c r="O64" s="348"/>
      <c r="P64" s="348"/>
      <c r="Q64" s="348"/>
      <c r="R64" s="348"/>
      <c r="S64" s="348"/>
      <c r="T64" s="348"/>
      <c r="U64" s="348"/>
      <c r="V64" s="348"/>
      <c r="W64" s="348"/>
      <c r="X64" s="348"/>
      <c r="Y64" s="348"/>
      <c r="Z64" s="348"/>
      <c r="AA64" s="348"/>
      <c r="AB64" s="348"/>
      <c r="AC64" s="348"/>
      <c r="AD64" s="348"/>
      <c r="AE64" s="332"/>
      <c r="AF64" s="332"/>
      <c r="AG64" s="437"/>
    </row>
    <row r="65" spans="2:33" ht="15">
      <c r="B65" s="348"/>
      <c r="C65" s="348"/>
      <c r="D65" s="348"/>
      <c r="E65" s="348"/>
      <c r="F65" s="445"/>
      <c r="G65" s="445"/>
      <c r="H65" s="445"/>
      <c r="I65" s="443"/>
      <c r="J65" s="446"/>
      <c r="K65" s="444"/>
      <c r="L65" s="446"/>
      <c r="M65" s="348"/>
      <c r="N65" s="348"/>
      <c r="O65" s="348"/>
      <c r="P65" s="348"/>
      <c r="Q65" s="348"/>
      <c r="R65" s="348"/>
      <c r="S65" s="348"/>
      <c r="T65" s="348"/>
      <c r="U65" s="348"/>
      <c r="V65" s="348"/>
      <c r="W65" s="348"/>
      <c r="X65" s="348"/>
      <c r="Y65" s="348"/>
      <c r="Z65" s="348"/>
      <c r="AA65" s="348"/>
      <c r="AB65" s="348"/>
      <c r="AC65" s="348"/>
      <c r="AD65" s="348"/>
      <c r="AE65" s="332"/>
      <c r="AF65" s="332"/>
      <c r="AG65" s="437"/>
    </row>
    <row r="66" spans="2:33" ht="15">
      <c r="B66" s="348"/>
      <c r="C66" s="348"/>
      <c r="D66" s="348"/>
      <c r="E66" s="348"/>
      <c r="F66" s="445"/>
      <c r="G66" s="445"/>
      <c r="H66" s="445"/>
      <c r="I66" s="443"/>
      <c r="J66" s="446"/>
      <c r="K66" s="444"/>
      <c r="L66" s="446"/>
      <c r="M66" s="348"/>
      <c r="N66" s="348"/>
      <c r="O66" s="348"/>
      <c r="P66" s="348"/>
      <c r="Q66" s="348"/>
      <c r="R66" s="348"/>
      <c r="S66" s="348"/>
      <c r="T66" s="348"/>
      <c r="U66" s="348"/>
      <c r="V66" s="348"/>
      <c r="W66" s="348"/>
      <c r="X66" s="348"/>
      <c r="Y66" s="348"/>
      <c r="Z66" s="348"/>
      <c r="AA66" s="348"/>
      <c r="AB66" s="348"/>
      <c r="AC66" s="348"/>
      <c r="AD66" s="348"/>
      <c r="AE66" s="332"/>
      <c r="AF66" s="332"/>
      <c r="AG66" s="437"/>
    </row>
    <row r="67" spans="2:33" ht="15">
      <c r="B67" s="348"/>
      <c r="C67" s="348"/>
      <c r="D67" s="348"/>
      <c r="E67" s="348"/>
      <c r="F67" s="443"/>
      <c r="G67" s="443"/>
      <c r="H67" s="443"/>
      <c r="I67" s="443"/>
      <c r="J67" s="443"/>
      <c r="K67" s="443"/>
      <c r="L67" s="443"/>
      <c r="M67" s="348"/>
      <c r="N67" s="348"/>
      <c r="O67" s="348"/>
      <c r="P67" s="348"/>
      <c r="Q67" s="348"/>
      <c r="R67" s="348"/>
      <c r="S67" s="348"/>
      <c r="T67" s="348"/>
      <c r="U67" s="348"/>
      <c r="V67" s="348"/>
      <c r="W67" s="348"/>
      <c r="X67" s="348"/>
      <c r="Y67" s="348"/>
      <c r="Z67" s="348"/>
      <c r="AA67" s="348"/>
      <c r="AB67" s="348"/>
      <c r="AC67" s="348"/>
      <c r="AD67" s="348"/>
      <c r="AE67" s="332"/>
      <c r="AF67" s="332"/>
      <c r="AG67" s="437"/>
    </row>
    <row r="68" spans="2:33" ht="15">
      <c r="B68" s="348"/>
      <c r="C68" s="348"/>
      <c r="D68" s="480"/>
      <c r="E68" s="348"/>
      <c r="F68" s="334"/>
      <c r="G68" s="348"/>
      <c r="H68" s="333"/>
      <c r="I68" s="348"/>
      <c r="J68" s="333"/>
      <c r="K68" s="348"/>
      <c r="L68" s="347"/>
      <c r="M68" s="348"/>
      <c r="N68" s="348"/>
      <c r="O68" s="348"/>
      <c r="P68" s="333"/>
      <c r="Q68" s="348"/>
      <c r="R68" s="348"/>
      <c r="S68" s="348"/>
      <c r="T68" s="348"/>
      <c r="U68" s="348"/>
      <c r="V68" s="348"/>
      <c r="W68" s="348"/>
      <c r="X68" s="348"/>
      <c r="Y68" s="348"/>
      <c r="Z68" s="348"/>
      <c r="AA68" s="348"/>
      <c r="AB68" s="348"/>
      <c r="AC68" s="348"/>
      <c r="AD68" s="348"/>
      <c r="AE68" s="332"/>
      <c r="AF68" s="332"/>
      <c r="AG68" s="437"/>
    </row>
    <row r="69" spans="2:33" ht="15">
      <c r="B69" s="348"/>
      <c r="C69" s="348"/>
      <c r="D69" s="348"/>
      <c r="E69" s="348"/>
      <c r="F69" s="334"/>
      <c r="G69" s="348"/>
      <c r="H69" s="333"/>
      <c r="I69" s="348"/>
      <c r="J69" s="333"/>
      <c r="K69" s="348"/>
      <c r="L69" s="347"/>
      <c r="M69" s="348"/>
      <c r="N69" s="348"/>
      <c r="O69" s="348"/>
      <c r="P69" s="333"/>
      <c r="Q69" s="348"/>
      <c r="R69" s="348"/>
      <c r="S69" s="348"/>
      <c r="T69" s="348"/>
      <c r="U69" s="348"/>
      <c r="V69" s="348"/>
      <c r="W69" s="348"/>
      <c r="X69" s="348"/>
      <c r="Y69" s="348"/>
      <c r="Z69" s="348"/>
      <c r="AA69" s="348"/>
      <c r="AB69" s="348"/>
      <c r="AC69" s="348"/>
      <c r="AD69" s="348"/>
      <c r="AE69" s="332"/>
      <c r="AF69" s="332"/>
      <c r="AG69" s="437"/>
    </row>
    <row r="70" spans="2:33" ht="15">
      <c r="B70" s="348"/>
      <c r="C70" s="348"/>
      <c r="D70" s="348"/>
      <c r="E70" s="348"/>
      <c r="F70" s="334"/>
      <c r="G70" s="348"/>
      <c r="H70" s="333"/>
      <c r="I70" s="348"/>
      <c r="J70" s="340"/>
      <c r="K70" s="348"/>
      <c r="L70" s="347"/>
      <c r="M70" s="348"/>
      <c r="N70" s="348"/>
      <c r="O70" s="348"/>
      <c r="P70" s="333"/>
      <c r="Q70" s="348"/>
      <c r="R70" s="348"/>
      <c r="S70" s="348"/>
      <c r="T70" s="348"/>
      <c r="U70" s="348"/>
      <c r="V70" s="348"/>
      <c r="W70" s="348"/>
      <c r="X70" s="348"/>
      <c r="Y70" s="348"/>
      <c r="Z70" s="348"/>
      <c r="AA70" s="348"/>
      <c r="AB70" s="348"/>
      <c r="AC70" s="348"/>
      <c r="AD70" s="348"/>
      <c r="AE70" s="332"/>
      <c r="AF70" s="332"/>
      <c r="AG70" s="437"/>
    </row>
    <row r="71" spans="2:33" ht="15">
      <c r="B71" s="348"/>
      <c r="C71" s="348"/>
      <c r="D71" s="348"/>
      <c r="E71" s="348"/>
      <c r="F71" s="334"/>
      <c r="G71" s="348"/>
      <c r="H71" s="333"/>
      <c r="I71" s="348"/>
      <c r="J71" s="340"/>
      <c r="K71" s="348"/>
      <c r="L71" s="347"/>
      <c r="M71" s="348"/>
      <c r="N71" s="348"/>
      <c r="O71" s="348"/>
      <c r="P71" s="333"/>
      <c r="Q71" s="348"/>
      <c r="R71" s="348"/>
      <c r="S71" s="348"/>
      <c r="T71" s="348"/>
      <c r="U71" s="348"/>
      <c r="V71" s="348"/>
      <c r="W71" s="348"/>
      <c r="X71" s="348"/>
      <c r="Y71" s="348"/>
      <c r="Z71" s="348"/>
      <c r="AA71" s="348"/>
      <c r="AB71" s="348"/>
      <c r="AC71" s="348"/>
      <c r="AD71" s="348"/>
      <c r="AE71" s="332"/>
      <c r="AF71" s="332"/>
      <c r="AG71" s="437"/>
    </row>
    <row r="72" spans="2:33" ht="15">
      <c r="B72" s="447"/>
      <c r="C72" s="448"/>
      <c r="D72" s="449"/>
      <c r="E72" s="348"/>
      <c r="F72" s="334"/>
      <c r="G72" s="348"/>
      <c r="H72" s="333"/>
      <c r="I72" s="348"/>
      <c r="J72" s="333"/>
      <c r="K72" s="348"/>
      <c r="L72" s="347"/>
      <c r="M72" s="348"/>
      <c r="N72" s="348"/>
      <c r="O72" s="348"/>
      <c r="P72" s="333"/>
      <c r="Q72" s="348"/>
      <c r="R72" s="348"/>
      <c r="S72" s="348"/>
      <c r="T72" s="348"/>
      <c r="U72" s="348"/>
      <c r="V72" s="348"/>
      <c r="W72" s="348"/>
      <c r="X72" s="348"/>
      <c r="Y72" s="348"/>
      <c r="Z72" s="348"/>
      <c r="AA72" s="348"/>
      <c r="AB72" s="348"/>
      <c r="AC72" s="348"/>
      <c r="AD72" s="348"/>
      <c r="AE72" s="332"/>
      <c r="AF72" s="332"/>
      <c r="AG72" s="437"/>
    </row>
    <row r="73" spans="2:33" ht="15">
      <c r="B73" s="447"/>
      <c r="C73" s="448"/>
      <c r="D73" s="448"/>
      <c r="E73" s="348"/>
      <c r="F73" s="334"/>
      <c r="G73" s="348"/>
      <c r="H73" s="333"/>
      <c r="I73" s="348"/>
      <c r="J73" s="333"/>
      <c r="K73" s="348"/>
      <c r="L73" s="347"/>
      <c r="M73" s="348"/>
      <c r="N73" s="348"/>
      <c r="O73" s="348"/>
      <c r="P73" s="333"/>
      <c r="Q73" s="348"/>
      <c r="R73" s="348"/>
      <c r="S73" s="348"/>
      <c r="T73" s="348"/>
      <c r="U73" s="348"/>
      <c r="V73" s="348"/>
      <c r="W73" s="348"/>
      <c r="X73" s="348"/>
      <c r="Y73" s="348"/>
      <c r="Z73" s="348"/>
      <c r="AA73" s="348"/>
      <c r="AB73" s="348"/>
      <c r="AC73" s="348"/>
      <c r="AD73" s="348"/>
      <c r="AE73" s="332"/>
      <c r="AF73" s="332"/>
      <c r="AG73" s="437"/>
    </row>
    <row r="74" spans="2:33" ht="15">
      <c r="B74" s="447"/>
      <c r="C74" s="448"/>
      <c r="D74" s="448"/>
      <c r="E74" s="348"/>
      <c r="F74" s="334"/>
      <c r="G74" s="348"/>
      <c r="H74" s="333"/>
      <c r="I74" s="348"/>
      <c r="J74" s="333"/>
      <c r="K74" s="348"/>
      <c r="L74" s="347"/>
      <c r="M74" s="348"/>
      <c r="N74" s="348"/>
      <c r="O74" s="348"/>
      <c r="P74" s="333"/>
      <c r="Q74" s="348"/>
      <c r="R74" s="348"/>
      <c r="S74" s="348"/>
      <c r="T74" s="348"/>
      <c r="U74" s="348"/>
      <c r="V74" s="348"/>
      <c r="W74" s="348"/>
      <c r="X74" s="348"/>
      <c r="Y74" s="348"/>
      <c r="Z74" s="348"/>
      <c r="AA74" s="348"/>
      <c r="AB74" s="348"/>
      <c r="AC74" s="348"/>
      <c r="AD74" s="348"/>
      <c r="AE74" s="332"/>
      <c r="AF74" s="332"/>
      <c r="AG74" s="437"/>
    </row>
    <row r="75" spans="2:33" ht="15">
      <c r="B75" s="447"/>
      <c r="C75" s="448"/>
      <c r="D75" s="449"/>
      <c r="E75" s="348"/>
      <c r="F75" s="334"/>
      <c r="G75" s="348"/>
      <c r="H75" s="333"/>
      <c r="I75" s="348"/>
      <c r="J75" s="333"/>
      <c r="K75" s="348"/>
      <c r="L75" s="347"/>
      <c r="M75" s="348"/>
      <c r="N75" s="348"/>
      <c r="O75" s="348"/>
      <c r="P75" s="333"/>
      <c r="Q75" s="348"/>
      <c r="R75" s="348"/>
      <c r="S75" s="348"/>
      <c r="T75" s="348"/>
      <c r="U75" s="348"/>
      <c r="V75" s="348"/>
      <c r="W75" s="348"/>
      <c r="X75" s="348"/>
      <c r="Y75" s="348"/>
      <c r="Z75" s="348"/>
      <c r="AA75" s="348"/>
      <c r="AB75" s="348"/>
      <c r="AC75" s="348"/>
      <c r="AD75" s="348"/>
      <c r="AE75" s="332"/>
      <c r="AF75" s="332"/>
      <c r="AG75" s="437"/>
    </row>
    <row r="76" spans="2:33" ht="15">
      <c r="B76" s="447"/>
      <c r="C76" s="448"/>
      <c r="D76" s="448"/>
      <c r="E76" s="348"/>
      <c r="F76" s="334"/>
      <c r="G76" s="348"/>
      <c r="H76" s="333"/>
      <c r="I76" s="348"/>
      <c r="J76" s="333"/>
      <c r="K76" s="348"/>
      <c r="L76" s="347"/>
      <c r="M76" s="348"/>
      <c r="N76" s="348"/>
      <c r="O76" s="348"/>
      <c r="P76" s="333"/>
      <c r="Q76" s="348"/>
      <c r="R76" s="348"/>
      <c r="S76" s="348"/>
      <c r="T76" s="348"/>
      <c r="U76" s="348"/>
      <c r="V76" s="348"/>
      <c r="W76" s="348"/>
      <c r="X76" s="348"/>
      <c r="Y76" s="348"/>
      <c r="Z76" s="348"/>
      <c r="AA76" s="348"/>
      <c r="AB76" s="348"/>
      <c r="AC76" s="348"/>
      <c r="AD76" s="348"/>
      <c r="AE76" s="332"/>
      <c r="AF76" s="332"/>
      <c r="AG76" s="437"/>
    </row>
    <row r="77" spans="2:33" ht="15">
      <c r="B77" s="447"/>
      <c r="C77" s="448"/>
      <c r="D77" s="448"/>
      <c r="E77" s="348"/>
      <c r="F77" s="334"/>
      <c r="G77" s="348"/>
      <c r="H77" s="333"/>
      <c r="I77" s="348"/>
      <c r="J77" s="450"/>
      <c r="K77" s="348"/>
      <c r="L77" s="347"/>
      <c r="M77" s="348"/>
      <c r="N77" s="348"/>
      <c r="O77" s="348"/>
      <c r="P77" s="348"/>
      <c r="Q77" s="348"/>
      <c r="R77" s="348"/>
      <c r="S77" s="348"/>
      <c r="T77" s="348"/>
      <c r="U77" s="348"/>
      <c r="V77" s="348"/>
      <c r="W77" s="348"/>
      <c r="X77" s="348"/>
      <c r="Y77" s="348"/>
      <c r="Z77" s="348"/>
      <c r="AA77" s="348"/>
      <c r="AB77" s="348"/>
      <c r="AC77" s="348"/>
      <c r="AD77" s="348"/>
      <c r="AE77" s="332"/>
      <c r="AF77" s="332"/>
      <c r="AG77" s="437"/>
    </row>
    <row r="78" spans="2:33" ht="15">
      <c r="B78" s="447"/>
      <c r="C78" s="448"/>
      <c r="D78" s="449"/>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32"/>
      <c r="AF78" s="332"/>
      <c r="AG78" s="437"/>
    </row>
    <row r="79" spans="2:33" ht="15">
      <c r="B79" s="447"/>
      <c r="C79" s="448"/>
      <c r="D79" s="448"/>
      <c r="E79" s="348"/>
      <c r="F79" s="348"/>
      <c r="G79" s="348"/>
      <c r="H79" s="348"/>
      <c r="I79" s="348"/>
      <c r="J79" s="348"/>
      <c r="K79" s="348"/>
      <c r="L79" s="348"/>
      <c r="M79" s="348"/>
      <c r="N79" s="348"/>
      <c r="O79" s="348"/>
      <c r="P79" s="333"/>
      <c r="Q79" s="348"/>
      <c r="R79" s="348"/>
      <c r="S79" s="348"/>
      <c r="T79" s="348"/>
      <c r="U79" s="348"/>
      <c r="V79" s="348"/>
      <c r="W79" s="348"/>
      <c r="X79" s="348"/>
      <c r="Y79" s="348"/>
      <c r="Z79" s="348"/>
      <c r="AA79" s="348"/>
      <c r="AB79" s="348"/>
      <c r="AC79" s="348"/>
      <c r="AD79" s="348"/>
      <c r="AE79" s="332"/>
      <c r="AF79" s="332"/>
      <c r="AG79" s="437"/>
    </row>
    <row r="80" spans="2:33" ht="15">
      <c r="B80" s="447"/>
      <c r="C80" s="448"/>
      <c r="D80" s="4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32"/>
      <c r="AF80" s="332"/>
      <c r="AG80" s="437"/>
    </row>
    <row r="81" spans="2:33" ht="15">
      <c r="B81" s="447"/>
      <c r="C81" s="448"/>
      <c r="D81" s="449"/>
      <c r="E81" s="348"/>
      <c r="F81" s="348"/>
      <c r="G81" s="348"/>
      <c r="H81" s="348"/>
      <c r="I81" s="348"/>
      <c r="J81" s="348"/>
      <c r="K81" s="348"/>
      <c r="L81" s="348"/>
      <c r="M81" s="348"/>
      <c r="N81" s="348"/>
      <c r="O81" s="348"/>
      <c r="P81" s="333"/>
      <c r="Q81" s="348"/>
      <c r="R81" s="348"/>
      <c r="S81" s="348"/>
      <c r="T81" s="348"/>
      <c r="U81" s="348"/>
      <c r="V81" s="348"/>
      <c r="W81" s="348"/>
      <c r="X81" s="348"/>
      <c r="Y81" s="348"/>
      <c r="Z81" s="348"/>
      <c r="AA81" s="348"/>
      <c r="AB81" s="348"/>
      <c r="AC81" s="348"/>
      <c r="AD81" s="348"/>
      <c r="AE81" s="332"/>
      <c r="AF81" s="332"/>
      <c r="AG81" s="437"/>
    </row>
    <row r="82" spans="2:33" ht="15">
      <c r="B82" s="447"/>
      <c r="C82" s="448"/>
      <c r="D82" s="4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32"/>
      <c r="AF82" s="332"/>
      <c r="AG82" s="437"/>
    </row>
    <row r="83" spans="2:33" ht="15">
      <c r="B83" s="447"/>
      <c r="C83" s="448"/>
      <c r="D83" s="4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32"/>
      <c r="AF83" s="332"/>
      <c r="AG83" s="437"/>
    </row>
    <row r="84" spans="2:4" ht="12.75">
      <c r="B84" s="447"/>
      <c r="C84" s="448"/>
      <c r="D84" s="449"/>
    </row>
  </sheetData>
  <mergeCells count="2">
    <mergeCell ref="AH9:AK9"/>
    <mergeCell ref="AM9:AP9"/>
  </mergeCells>
  <printOptions horizontalCentered="1"/>
  <pageMargins left="0.5" right="0.5" top="1" bottom="1" header="0.5" footer="0.5"/>
  <pageSetup fitToHeight="0" horizontalDpi="600" verticalDpi="600" orientation="landscape" scale="70" r:id="rId1"/>
  <rowBreaks count="1" manualBreakCount="1">
    <brk id="28" min="1" max="31" man="1"/>
  </rowBreaks>
</worksheet>
</file>

<file path=xl/worksheets/sheet11.xml><?xml version="1.0" encoding="utf-8"?>
<worksheet xmlns="http://schemas.openxmlformats.org/spreadsheetml/2006/main" xmlns:r="http://schemas.openxmlformats.org/officeDocument/2006/relationships">
  <dimension ref="A1:S72"/>
  <sheetViews>
    <sheetView workbookViewId="0" topLeftCell="A1">
      <selection activeCell="A1" sqref="A1"/>
    </sheetView>
  </sheetViews>
  <sheetFormatPr defaultColWidth="8.88671875" defaultRowHeight="12.75"/>
  <cols>
    <col min="1" max="1" width="7.77734375" style="38" customWidth="1"/>
    <col min="2" max="2" width="9.10546875" style="38" customWidth="1"/>
    <col min="3" max="3" width="11.3359375" style="38" customWidth="1"/>
    <col min="4" max="4" width="9.77734375" style="38" customWidth="1"/>
    <col min="5" max="5" width="11.4453125" style="38" customWidth="1"/>
    <col min="6" max="6" width="9.77734375" style="38" customWidth="1"/>
    <col min="7" max="7" width="10.10546875" style="38" customWidth="1"/>
    <col min="8" max="16384" width="9.77734375" style="38" customWidth="1"/>
  </cols>
  <sheetData>
    <row r="1" spans="1:7" ht="15">
      <c r="A1" s="37" t="s">
        <v>8</v>
      </c>
      <c r="B1" s="1"/>
      <c r="C1" s="37"/>
      <c r="D1" s="1"/>
      <c r="E1" s="1"/>
      <c r="F1" s="1"/>
      <c r="G1" s="1"/>
    </row>
    <row r="2" spans="1:7" ht="15">
      <c r="A2" s="196"/>
      <c r="B2" s="1"/>
      <c r="C2" s="37"/>
      <c r="D2" s="1"/>
      <c r="E2" s="1"/>
      <c r="F2" s="1"/>
      <c r="G2" s="1"/>
    </row>
    <row r="3" spans="1:9" ht="15">
      <c r="A3" s="1"/>
      <c r="B3" s="1"/>
      <c r="C3" s="1"/>
      <c r="D3" s="1"/>
      <c r="E3" s="1"/>
      <c r="F3" s="1"/>
      <c r="G3" s="1"/>
      <c r="I3" s="2"/>
    </row>
    <row r="4" spans="1:7" ht="15">
      <c r="A4" s="1" t="s">
        <v>407</v>
      </c>
      <c r="B4" s="1"/>
      <c r="C4" s="1"/>
      <c r="D4" s="1"/>
      <c r="E4" s="1"/>
      <c r="F4" s="1"/>
      <c r="G4" s="1"/>
    </row>
    <row r="5" spans="1:7" ht="15">
      <c r="A5" s="2"/>
      <c r="B5" s="2"/>
      <c r="C5" s="2"/>
      <c r="D5" s="2"/>
      <c r="E5" s="2"/>
      <c r="F5" s="2"/>
      <c r="G5" s="2"/>
    </row>
    <row r="6" spans="1:7" ht="15">
      <c r="A6" s="2"/>
      <c r="B6" s="133"/>
      <c r="C6" s="2"/>
      <c r="D6" s="2"/>
      <c r="E6" s="2"/>
      <c r="F6" s="2"/>
      <c r="G6" s="2"/>
    </row>
    <row r="7" spans="1:7" ht="15">
      <c r="A7" s="2" t="s">
        <v>324</v>
      </c>
      <c r="B7" s="2"/>
      <c r="C7" s="2"/>
      <c r="D7" s="2"/>
      <c r="E7" s="2"/>
      <c r="F7" s="2"/>
      <c r="G7" s="2"/>
    </row>
    <row r="8" spans="1:7" ht="15">
      <c r="A8" s="2" t="s">
        <v>354</v>
      </c>
      <c r="B8" s="2"/>
      <c r="C8" s="2"/>
      <c r="D8" s="2"/>
      <c r="E8" s="2"/>
      <c r="F8" s="2"/>
      <c r="G8" s="2"/>
    </row>
    <row r="9" spans="1:7" ht="9" customHeight="1">
      <c r="A9" s="2"/>
      <c r="B9" s="2"/>
      <c r="C9" s="2"/>
      <c r="D9" s="2"/>
      <c r="E9" s="2"/>
      <c r="F9" s="2"/>
      <c r="G9" s="2"/>
    </row>
    <row r="10" spans="1:7" ht="27" customHeight="1">
      <c r="A10" s="583" t="s">
        <v>539</v>
      </c>
      <c r="B10" s="583"/>
      <c r="C10" s="583"/>
      <c r="D10" s="583"/>
      <c r="E10" s="583"/>
      <c r="F10" s="583"/>
      <c r="G10" s="583"/>
    </row>
    <row r="11" spans="1:7" ht="9" customHeight="1">
      <c r="A11" s="2"/>
      <c r="B11" s="2"/>
      <c r="C11" s="2"/>
      <c r="D11" s="2"/>
      <c r="E11" s="2"/>
      <c r="F11" s="2"/>
      <c r="G11" s="2"/>
    </row>
    <row r="12" spans="1:7" ht="12.75" customHeight="1">
      <c r="A12" s="2"/>
      <c r="B12" s="2"/>
      <c r="C12" s="2"/>
      <c r="D12" s="12" t="s">
        <v>540</v>
      </c>
      <c r="E12" s="2"/>
      <c r="F12" s="2"/>
      <c r="G12" s="2"/>
    </row>
    <row r="13" spans="1:7" ht="12.75" customHeight="1">
      <c r="A13" s="2"/>
      <c r="B13" s="2"/>
      <c r="C13" s="2"/>
      <c r="D13" s="12" t="s">
        <v>625</v>
      </c>
      <c r="E13" s="2"/>
      <c r="F13" s="2"/>
      <c r="G13" s="2"/>
    </row>
    <row r="14" spans="1:7" ht="12.75" customHeight="1">
      <c r="A14" s="1" t="s">
        <v>375</v>
      </c>
      <c r="B14" s="37"/>
      <c r="C14" s="2"/>
      <c r="D14" s="12" t="s">
        <v>543</v>
      </c>
      <c r="E14" s="2"/>
      <c r="F14" s="12" t="s">
        <v>377</v>
      </c>
      <c r="G14" s="2"/>
    </row>
    <row r="15" spans="1:7" ht="12.75" customHeight="1">
      <c r="A15" s="1" t="s">
        <v>378</v>
      </c>
      <c r="B15" s="37"/>
      <c r="C15" s="2"/>
      <c r="D15" s="12" t="s">
        <v>544</v>
      </c>
      <c r="E15" s="2"/>
      <c r="F15" s="12" t="s">
        <v>379</v>
      </c>
      <c r="G15" s="2"/>
    </row>
    <row r="16" spans="1:7" ht="15">
      <c r="A16" s="3" t="s">
        <v>380</v>
      </c>
      <c r="B16" s="134"/>
      <c r="C16" s="2"/>
      <c r="D16" s="11" t="s">
        <v>400</v>
      </c>
      <c r="E16" s="2" t="s">
        <v>500</v>
      </c>
      <c r="F16" s="11" t="s">
        <v>382</v>
      </c>
      <c r="G16" s="2"/>
    </row>
    <row r="17" spans="1:7" ht="7.5" customHeight="1">
      <c r="A17" s="2"/>
      <c r="C17" s="2"/>
      <c r="D17" s="2"/>
      <c r="E17" s="2"/>
      <c r="F17" s="135"/>
      <c r="G17" s="2"/>
    </row>
    <row r="18" spans="1:19" ht="12.75" customHeight="1">
      <c r="A18" s="2" t="s">
        <v>383</v>
      </c>
      <c r="C18" s="2"/>
      <c r="D18" s="262">
        <f>+'COS 1'!J363</f>
        <v>453083.8178615671</v>
      </c>
      <c r="E18" s="2"/>
      <c r="F18" s="135">
        <f>+'COS 1'!J364</f>
        <v>0.4525</v>
      </c>
      <c r="G18" s="135"/>
      <c r="H18" s="135"/>
      <c r="I18" s="135"/>
      <c r="J18" s="135"/>
      <c r="K18" s="135"/>
      <c r="M18" s="135"/>
      <c r="O18" s="135"/>
      <c r="Q18" s="135"/>
      <c r="S18" s="135"/>
    </row>
    <row r="19" spans="1:7" ht="12.75" customHeight="1">
      <c r="A19" s="2" t="s">
        <v>384</v>
      </c>
      <c r="C19" s="2"/>
      <c r="D19" s="259">
        <f>+'COS 1'!L363</f>
        <v>274292.8990147357</v>
      </c>
      <c r="E19" s="2"/>
      <c r="F19" s="135">
        <f>+'COS 1'!L364</f>
        <v>0.2741</v>
      </c>
      <c r="G19" s="2"/>
    </row>
    <row r="20" spans="1:7" ht="12.75" customHeight="1">
      <c r="A20" s="2" t="s">
        <v>385</v>
      </c>
      <c r="C20" s="2"/>
      <c r="D20" s="259">
        <f>+'COS 1'!N363</f>
        <v>31233.35200459764</v>
      </c>
      <c r="E20" s="2"/>
      <c r="F20" s="135">
        <f>+'COS 1'!N364</f>
        <v>0.0312</v>
      </c>
      <c r="G20" s="2"/>
    </row>
    <row r="21" spans="1:7" ht="12.75" customHeight="1">
      <c r="A21" s="2" t="s">
        <v>387</v>
      </c>
      <c r="C21" s="2"/>
      <c r="D21" s="259">
        <f>+'COS 1'!P363</f>
        <v>92298.55944948406</v>
      </c>
      <c r="E21" s="2"/>
      <c r="F21" s="135">
        <f>+'COS 1'!P364</f>
        <v>0.0922</v>
      </c>
      <c r="G21" s="2"/>
    </row>
    <row r="22" spans="1:7" ht="12.75" customHeight="1">
      <c r="A22" s="2" t="s">
        <v>508</v>
      </c>
      <c r="C22" s="2"/>
      <c r="D22" s="259">
        <f>+'COS 1'!R363</f>
        <v>25927.686439714067</v>
      </c>
      <c r="E22" s="2"/>
      <c r="F22" s="135">
        <f>+'COS 1'!R364</f>
        <v>0.0259</v>
      </c>
      <c r="G22" s="2"/>
    </row>
    <row r="23" spans="1:7" ht="12.75" customHeight="1">
      <c r="A23" s="2" t="s">
        <v>389</v>
      </c>
      <c r="C23" s="2"/>
      <c r="D23" s="259">
        <f>+'COS 1'!T363</f>
        <v>55759.54188000284</v>
      </c>
      <c r="E23" s="2"/>
      <c r="F23" s="135">
        <f>+'COS 1'!T364</f>
        <v>0.0557</v>
      </c>
      <c r="G23" s="2"/>
    </row>
    <row r="24" spans="1:7" ht="12.75" customHeight="1">
      <c r="A24" s="2" t="s">
        <v>390</v>
      </c>
      <c r="C24" s="2"/>
      <c r="D24" s="259">
        <f>+'COS 1'!V363</f>
        <v>68473.1178562333</v>
      </c>
      <c r="E24" s="2"/>
      <c r="F24" s="135">
        <f>+'COS 1'!V364</f>
        <v>0.0684</v>
      </c>
      <c r="G24" s="2"/>
    </row>
    <row r="25" spans="1:7" ht="8.25" customHeight="1">
      <c r="A25" s="2"/>
      <c r="C25" s="2"/>
      <c r="D25" s="260"/>
      <c r="E25" s="2"/>
      <c r="F25" s="7"/>
      <c r="G25" s="2"/>
    </row>
    <row r="26" spans="1:7" ht="15.75" thickBot="1">
      <c r="A26" s="2" t="s">
        <v>391</v>
      </c>
      <c r="C26" s="2"/>
      <c r="D26" s="261">
        <f>SUM(D18:D25)</f>
        <v>1001068.9745063348</v>
      </c>
      <c r="E26" s="2"/>
      <c r="F26" s="168">
        <f>SUM(F18:F25)</f>
        <v>1</v>
      </c>
      <c r="G26" s="2"/>
    </row>
    <row r="27" spans="1:8" ht="11.25" customHeight="1" thickTop="1">
      <c r="A27" s="2"/>
      <c r="B27" s="2"/>
      <c r="C27"/>
      <c r="D27"/>
      <c r="E27"/>
      <c r="F27"/>
      <c r="G27"/>
      <c r="H27"/>
    </row>
    <row r="28" spans="1:8" ht="15" customHeight="1" hidden="1">
      <c r="A28" s="2"/>
      <c r="B28" s="2"/>
      <c r="C28"/>
      <c r="D28"/>
      <c r="E28"/>
      <c r="F28"/>
      <c r="G28"/>
      <c r="H28"/>
    </row>
    <row r="29" spans="1:8" ht="15" customHeight="1" hidden="1">
      <c r="A29" s="136" t="s">
        <v>545</v>
      </c>
      <c r="B29" s="2"/>
      <c r="C29"/>
      <c r="D29"/>
      <c r="E29"/>
      <c r="F29"/>
      <c r="G29"/>
      <c r="H29"/>
    </row>
    <row r="30" spans="1:8" ht="15" customHeight="1" hidden="1">
      <c r="A30" s="136" t="s">
        <v>546</v>
      </c>
      <c r="B30" s="2"/>
      <c r="C30"/>
      <c r="D30"/>
      <c r="E30"/>
      <c r="F30"/>
      <c r="G30"/>
      <c r="H30"/>
    </row>
    <row r="31" spans="1:8" ht="15" customHeight="1" hidden="1">
      <c r="A31" s="2"/>
      <c r="B31" s="2"/>
      <c r="C31"/>
      <c r="D31"/>
      <c r="E31"/>
      <c r="F31"/>
      <c r="G31"/>
      <c r="H31"/>
    </row>
    <row r="32" spans="1:8" ht="15" customHeight="1" hidden="1">
      <c r="A32" s="2"/>
      <c r="B32" s="2" t="s">
        <v>547</v>
      </c>
      <c r="C32"/>
      <c r="D32"/>
      <c r="E32"/>
      <c r="F32"/>
      <c r="G32"/>
      <c r="H32"/>
    </row>
    <row r="33" spans="1:8" ht="15" customHeight="1" hidden="1">
      <c r="A33" s="2" t="s">
        <v>548</v>
      </c>
      <c r="B33" s="2"/>
      <c r="C33"/>
      <c r="D33"/>
      <c r="E33"/>
      <c r="F33"/>
      <c r="G33"/>
      <c r="H33"/>
    </row>
    <row r="34" spans="1:8" ht="15" customHeight="1" hidden="1">
      <c r="A34" s="2"/>
      <c r="B34" s="2"/>
      <c r="C34"/>
      <c r="D34"/>
      <c r="E34"/>
      <c r="F34"/>
      <c r="G34"/>
      <c r="H34"/>
    </row>
    <row r="35" spans="1:8" ht="12.75" customHeight="1" hidden="1">
      <c r="A35" s="2"/>
      <c r="B35" s="2"/>
      <c r="C35"/>
      <c r="D35" t="s">
        <v>540</v>
      </c>
      <c r="E35"/>
      <c r="F35"/>
      <c r="G35"/>
      <c r="H35"/>
    </row>
    <row r="36" spans="1:8" ht="12.75" customHeight="1" hidden="1">
      <c r="A36" s="2"/>
      <c r="B36" s="2"/>
      <c r="C36"/>
      <c r="D36" t="s">
        <v>541</v>
      </c>
      <c r="E36"/>
      <c r="F36"/>
      <c r="G36"/>
      <c r="H36"/>
    </row>
    <row r="37" spans="1:8" ht="12.75" customHeight="1" hidden="1">
      <c r="A37" s="2"/>
      <c r="B37" s="2"/>
      <c r="C37"/>
      <c r="D37" t="s">
        <v>542</v>
      </c>
      <c r="E37"/>
      <c r="F37"/>
      <c r="G37"/>
      <c r="H37"/>
    </row>
    <row r="38" spans="1:8" ht="12.75" customHeight="1" hidden="1">
      <c r="A38" s="1" t="s">
        <v>375</v>
      </c>
      <c r="B38" s="37"/>
      <c r="C38"/>
      <c r="D38" t="s">
        <v>549</v>
      </c>
      <c r="E38"/>
      <c r="F38" t="s">
        <v>377</v>
      </c>
      <c r="G38"/>
      <c r="H38"/>
    </row>
    <row r="39" spans="1:8" ht="12.75" customHeight="1" hidden="1">
      <c r="A39" s="1" t="s">
        <v>378</v>
      </c>
      <c r="B39" s="37"/>
      <c r="C39"/>
      <c r="D39" t="s">
        <v>544</v>
      </c>
      <c r="E39"/>
      <c r="F39" t="s">
        <v>379</v>
      </c>
      <c r="G39"/>
      <c r="H39"/>
    </row>
    <row r="40" spans="1:8" ht="15" customHeight="1" hidden="1">
      <c r="A40" s="3" t="s">
        <v>380</v>
      </c>
      <c r="B40" s="134"/>
      <c r="C40"/>
      <c r="D40" t="s">
        <v>400</v>
      </c>
      <c r="E40" t="s">
        <v>500</v>
      </c>
      <c r="F40" t="s">
        <v>382</v>
      </c>
      <c r="G40"/>
      <c r="H40"/>
    </row>
    <row r="41" spans="1:8" ht="12.75" customHeight="1" hidden="1">
      <c r="A41" s="2"/>
      <c r="C41"/>
      <c r="D41"/>
      <c r="E41"/>
      <c r="F41"/>
      <c r="G41"/>
      <c r="H41"/>
    </row>
    <row r="42" spans="1:8" ht="12.75" customHeight="1" hidden="1">
      <c r="A42" s="2" t="s">
        <v>383</v>
      </c>
      <c r="C42"/>
      <c r="D42">
        <v>3511291</v>
      </c>
      <c r="E42"/>
      <c r="F42">
        <f aca="true" t="shared" si="0" ref="F42:F48">ROUND(D42/D$50,4)</f>
        <v>0.5907</v>
      </c>
      <c r="G42"/>
      <c r="H42"/>
    </row>
    <row r="43" spans="1:8" ht="12.75" customHeight="1" hidden="1">
      <c r="A43" s="2" t="s">
        <v>384</v>
      </c>
      <c r="C43"/>
      <c r="D43">
        <v>941329</v>
      </c>
      <c r="E43"/>
      <c r="F43">
        <f t="shared" si="0"/>
        <v>0.1583</v>
      </c>
      <c r="G43"/>
      <c r="H43"/>
    </row>
    <row r="44" spans="1:8" ht="12.75" customHeight="1" hidden="1">
      <c r="A44" s="2" t="s">
        <v>385</v>
      </c>
      <c r="C44"/>
      <c r="D44">
        <v>191461</v>
      </c>
      <c r="E44"/>
      <c r="F44">
        <f t="shared" si="0"/>
        <v>0.0322</v>
      </c>
      <c r="G44"/>
      <c r="H44"/>
    </row>
    <row r="45" spans="1:8" ht="12.75" customHeight="1" hidden="1">
      <c r="A45" s="2" t="s">
        <v>550</v>
      </c>
      <c r="C45"/>
      <c r="D45">
        <v>42532</v>
      </c>
      <c r="E45"/>
      <c r="F45">
        <f t="shared" si="0"/>
        <v>0.0072</v>
      </c>
      <c r="G45"/>
      <c r="H45"/>
    </row>
    <row r="46" spans="1:8" ht="12.75" customHeight="1" hidden="1">
      <c r="A46" s="2" t="s">
        <v>388</v>
      </c>
      <c r="C46"/>
      <c r="D46">
        <v>62932</v>
      </c>
      <c r="E46"/>
      <c r="F46">
        <f t="shared" si="0"/>
        <v>0.0106</v>
      </c>
      <c r="G46"/>
      <c r="H46"/>
    </row>
    <row r="47" spans="1:8" ht="12.75" customHeight="1" hidden="1">
      <c r="A47" s="2" t="s">
        <v>389</v>
      </c>
      <c r="C47"/>
      <c r="D47">
        <v>229566</v>
      </c>
      <c r="E47"/>
      <c r="F47">
        <f t="shared" si="0"/>
        <v>0.0386</v>
      </c>
      <c r="G47"/>
      <c r="H47"/>
    </row>
    <row r="48" spans="1:8" ht="12.75" customHeight="1" hidden="1">
      <c r="A48" s="2" t="s">
        <v>390</v>
      </c>
      <c r="C48"/>
      <c r="D48">
        <v>965510</v>
      </c>
      <c r="E48"/>
      <c r="F48">
        <f t="shared" si="0"/>
        <v>0.1624</v>
      </c>
      <c r="G48"/>
      <c r="H48"/>
    </row>
    <row r="49" spans="1:8" ht="15" customHeight="1" hidden="1">
      <c r="A49" s="2"/>
      <c r="C49"/>
      <c r="D49"/>
      <c r="E49"/>
      <c r="F49"/>
      <c r="G49"/>
      <c r="H49"/>
    </row>
    <row r="50" spans="1:8" ht="15" customHeight="1" hidden="1">
      <c r="A50" s="2" t="s">
        <v>391</v>
      </c>
      <c r="C50"/>
      <c r="D50">
        <f>SUM(D42:D49)</f>
        <v>5944621</v>
      </c>
      <c r="E50"/>
      <c r="F50">
        <f>SUM(F42:F49)</f>
        <v>1</v>
      </c>
      <c r="G50"/>
      <c r="H50"/>
    </row>
    <row r="51" spans="1:8" ht="15">
      <c r="A51" s="2"/>
      <c r="B51" s="2"/>
      <c r="C51"/>
      <c r="D51"/>
      <c r="E51"/>
      <c r="F51"/>
      <c r="G51"/>
      <c r="H51"/>
    </row>
    <row r="52" spans="1:7" ht="15">
      <c r="A52" s="2" t="s">
        <v>325</v>
      </c>
      <c r="B52" s="2"/>
      <c r="C52" s="2"/>
      <c r="D52" s="2"/>
      <c r="E52" s="2"/>
      <c r="F52" s="2"/>
      <c r="G52" s="2"/>
    </row>
    <row r="53" spans="1:7" ht="15">
      <c r="A53" s="2" t="s">
        <v>355</v>
      </c>
      <c r="B53" s="2"/>
      <c r="C53" s="2"/>
      <c r="D53" s="2"/>
      <c r="E53" s="2"/>
      <c r="F53" s="2"/>
      <c r="G53" s="2"/>
    </row>
    <row r="54" spans="1:7" ht="15">
      <c r="A54" s="2"/>
      <c r="B54" s="2"/>
      <c r="C54" s="2"/>
      <c r="D54" s="2"/>
      <c r="E54" s="2"/>
      <c r="F54" s="2"/>
      <c r="G54" s="2"/>
    </row>
    <row r="55" spans="1:7" ht="27" customHeight="1">
      <c r="A55" s="583" t="s">
        <v>551</v>
      </c>
      <c r="B55" s="583"/>
      <c r="C55" s="583"/>
      <c r="D55" s="583"/>
      <c r="E55" s="583"/>
      <c r="F55" s="583"/>
      <c r="G55" s="583"/>
    </row>
    <row r="56" spans="1:7" ht="9.75" customHeight="1">
      <c r="A56" s="2"/>
      <c r="B56" s="2"/>
      <c r="C56" s="2"/>
      <c r="D56" s="2"/>
      <c r="E56" s="2"/>
      <c r="F56" s="2"/>
      <c r="G56" s="2"/>
    </row>
    <row r="57" spans="1:7" ht="15">
      <c r="A57" s="2"/>
      <c r="B57" s="2"/>
      <c r="C57" s="2"/>
      <c r="D57" s="12" t="s">
        <v>540</v>
      </c>
      <c r="E57" s="2"/>
      <c r="F57" s="2"/>
      <c r="G57" s="2"/>
    </row>
    <row r="58" spans="1:7" ht="15">
      <c r="A58" s="2"/>
      <c r="B58" s="2"/>
      <c r="C58" s="2"/>
      <c r="D58" s="12" t="s">
        <v>625</v>
      </c>
      <c r="E58" s="2"/>
      <c r="F58" s="2"/>
      <c r="G58" s="2"/>
    </row>
    <row r="59" spans="1:7" ht="15">
      <c r="A59" s="1" t="s">
        <v>375</v>
      </c>
      <c r="B59" s="37"/>
      <c r="C59" s="2"/>
      <c r="D59" s="12" t="s">
        <v>549</v>
      </c>
      <c r="E59" s="2"/>
      <c r="F59" s="12" t="s">
        <v>377</v>
      </c>
      <c r="G59" s="2"/>
    </row>
    <row r="60" spans="1:7" ht="15">
      <c r="A60" s="1" t="s">
        <v>378</v>
      </c>
      <c r="B60" s="37"/>
      <c r="C60" s="2"/>
      <c r="D60" s="12" t="s">
        <v>544</v>
      </c>
      <c r="E60" s="2"/>
      <c r="F60" s="12" t="s">
        <v>379</v>
      </c>
      <c r="G60" s="2"/>
    </row>
    <row r="61" spans="1:7" ht="15">
      <c r="A61" s="3" t="s">
        <v>380</v>
      </c>
      <c r="B61" s="134"/>
      <c r="C61" s="2"/>
      <c r="D61" s="11" t="s">
        <v>400</v>
      </c>
      <c r="E61" s="2" t="s">
        <v>500</v>
      </c>
      <c r="F61" s="11" t="s">
        <v>382</v>
      </c>
      <c r="G61" s="2"/>
    </row>
    <row r="62" spans="1:7" ht="10.5" customHeight="1">
      <c r="A62" s="2"/>
      <c r="C62" s="2"/>
      <c r="D62" s="2"/>
      <c r="E62" s="2"/>
      <c r="F62" s="135"/>
      <c r="G62" s="2"/>
    </row>
    <row r="63" spans="1:7" ht="15">
      <c r="A63" s="2" t="s">
        <v>383</v>
      </c>
      <c r="C63" s="2"/>
      <c r="D63" s="262">
        <f>+'COS 1'!J365</f>
        <v>857629.365806718</v>
      </c>
      <c r="E63" s="2"/>
      <c r="F63" s="135">
        <f>+'COS 1'!J366</f>
        <v>0.546</v>
      </c>
      <c r="G63" s="2"/>
    </row>
    <row r="64" spans="1:7" ht="15">
      <c r="A64" s="2" t="s">
        <v>384</v>
      </c>
      <c r="C64" s="2"/>
      <c r="D64" s="259">
        <f>+'COS 1'!L365</f>
        <v>357680.6425323913</v>
      </c>
      <c r="E64" s="2"/>
      <c r="F64" s="135">
        <f>+'COS 1'!L366</f>
        <v>0.2277</v>
      </c>
      <c r="G64" s="2"/>
    </row>
    <row r="65" spans="1:7" ht="15">
      <c r="A65" s="2" t="s">
        <v>385</v>
      </c>
      <c r="C65" s="2"/>
      <c r="D65" s="259">
        <f>+'COS 1'!N365</f>
        <v>35413.00408367562</v>
      </c>
      <c r="E65" s="2"/>
      <c r="F65" s="135">
        <f>+'COS 1'!N366</f>
        <v>0.0225</v>
      </c>
      <c r="G65" s="2"/>
    </row>
    <row r="66" spans="1:7" ht="15">
      <c r="A66" s="2" t="s">
        <v>387</v>
      </c>
      <c r="C66" s="2"/>
      <c r="D66" s="259">
        <f>+'COS 1'!P365</f>
        <v>109292.96575345837</v>
      </c>
      <c r="E66" s="2"/>
      <c r="F66" s="135">
        <f>+'COS 1'!P366</f>
        <v>0.0696</v>
      </c>
      <c r="G66" s="2"/>
    </row>
    <row r="67" spans="1:7" ht="15">
      <c r="A67" s="2" t="s">
        <v>508</v>
      </c>
      <c r="C67" s="2"/>
      <c r="D67" s="259">
        <f>+'COS 1'!R365</f>
        <v>29052.847740410525</v>
      </c>
      <c r="E67" s="2"/>
      <c r="F67" s="135">
        <f>+'COS 1'!R366</f>
        <v>0.0185</v>
      </c>
      <c r="G67" s="2"/>
    </row>
    <row r="68" spans="1:7" ht="15">
      <c r="A68" s="2" t="s">
        <v>389</v>
      </c>
      <c r="C68" s="2"/>
      <c r="D68" s="259">
        <f>+'COS 1'!T365</f>
        <v>89934.99288652297</v>
      </c>
      <c r="E68" s="2"/>
      <c r="F68" s="135">
        <f>+'COS 1'!T366</f>
        <v>0.0573</v>
      </c>
      <c r="G68" s="2"/>
    </row>
    <row r="69" spans="1:7" ht="15">
      <c r="A69" s="2" t="s">
        <v>390</v>
      </c>
      <c r="C69" s="2"/>
      <c r="D69" s="259">
        <f>+'COS 1'!V365</f>
        <v>91804.4075279118</v>
      </c>
      <c r="E69" s="2"/>
      <c r="F69" s="135">
        <f>+'COS 1'!V366</f>
        <v>0.0584</v>
      </c>
      <c r="G69" s="2"/>
    </row>
    <row r="70" spans="1:7" ht="7.5" customHeight="1">
      <c r="A70" s="2"/>
      <c r="C70" s="2"/>
      <c r="D70" s="6"/>
      <c r="E70" s="2"/>
      <c r="F70" s="7"/>
      <c r="G70" s="2"/>
    </row>
    <row r="71" spans="1:7" ht="15.75" thickBot="1">
      <c r="A71" s="2" t="s">
        <v>391</v>
      </c>
      <c r="C71" s="2"/>
      <c r="D71" s="230">
        <f>SUM(D63:D70)</f>
        <v>1570808.2263310887</v>
      </c>
      <c r="E71" s="2"/>
      <c r="F71" s="168">
        <f>SUM(F63:F70)</f>
        <v>1</v>
      </c>
      <c r="G71" s="2"/>
    </row>
    <row r="72" spans="1:7" ht="15.75" thickTop="1">
      <c r="A72" s="2"/>
      <c r="B72" s="2"/>
      <c r="C72" s="2"/>
      <c r="D72" s="170"/>
      <c r="E72" s="14"/>
      <c r="F72" s="165"/>
      <c r="G72" s="2"/>
    </row>
  </sheetData>
  <mergeCells count="2">
    <mergeCell ref="A55:G55"/>
    <mergeCell ref="A10:G10"/>
  </mergeCells>
  <printOptions horizontalCentered="1"/>
  <pageMargins left="1" right="1" top="1" bottom="0.5" header="0.5" footer="0.5"/>
  <pageSetup fitToHeight="0"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8.88671875" defaultRowHeight="12.75"/>
  <cols>
    <col min="1" max="1" width="7.77734375" style="38" customWidth="1"/>
    <col min="2" max="2" width="8.77734375" style="38" customWidth="1"/>
    <col min="3" max="3" width="11.10546875" style="38" customWidth="1"/>
    <col min="4" max="4" width="9.77734375" style="38" customWidth="1"/>
    <col min="5" max="5" width="11.10546875" style="38" customWidth="1"/>
    <col min="6" max="6" width="9.77734375" style="38" customWidth="1"/>
    <col min="7" max="7" width="7.77734375" style="38" customWidth="1"/>
    <col min="8" max="16384" width="9.77734375" style="38" customWidth="1"/>
  </cols>
  <sheetData>
    <row r="1" spans="1:9" ht="15">
      <c r="A1" s="37" t="s">
        <v>8</v>
      </c>
      <c r="B1" s="37"/>
      <c r="C1" s="37"/>
      <c r="D1" s="37"/>
      <c r="E1" s="37"/>
      <c r="F1" s="37"/>
      <c r="G1" s="37"/>
      <c r="I1" s="2"/>
    </row>
    <row r="2" spans="1:9" ht="15">
      <c r="A2" s="196"/>
      <c r="B2" s="37"/>
      <c r="C2" s="37"/>
      <c r="D2" s="37"/>
      <c r="E2" s="37"/>
      <c r="F2" s="37"/>
      <c r="G2" s="37"/>
      <c r="I2" s="2"/>
    </row>
    <row r="3" spans="1:7" ht="15">
      <c r="A3" s="1"/>
      <c r="B3" s="1"/>
      <c r="C3" s="37"/>
      <c r="D3" s="37"/>
      <c r="E3" s="37"/>
      <c r="F3" s="37"/>
      <c r="G3" s="37"/>
    </row>
    <row r="4" spans="1:7" ht="15">
      <c r="A4" s="1" t="s">
        <v>407</v>
      </c>
      <c r="B4" s="1"/>
      <c r="C4" s="1"/>
      <c r="D4" s="1"/>
      <c r="E4" s="1"/>
      <c r="F4" s="1"/>
      <c r="G4" s="1"/>
    </row>
    <row r="5" spans="1:2" ht="15">
      <c r="A5" s="2"/>
      <c r="B5" s="2"/>
    </row>
    <row r="6" spans="1:2" ht="15">
      <c r="A6" s="2"/>
      <c r="B6" s="2"/>
    </row>
    <row r="7" spans="1:2" ht="15">
      <c r="A7" s="2" t="s">
        <v>326</v>
      </c>
      <c r="B7" s="2"/>
    </row>
    <row r="8" spans="1:2" ht="15">
      <c r="A8" s="2"/>
      <c r="B8" s="2"/>
    </row>
    <row r="9" spans="1:7" ht="15" customHeight="1">
      <c r="A9" s="583" t="s">
        <v>535</v>
      </c>
      <c r="B9" s="583"/>
      <c r="C9" s="583"/>
      <c r="D9" s="583"/>
      <c r="E9" s="583"/>
      <c r="F9" s="583"/>
      <c r="G9" s="128"/>
    </row>
    <row r="10" spans="1:2" ht="15">
      <c r="A10" s="2"/>
      <c r="B10" s="2"/>
    </row>
    <row r="11" spans="1:6" ht="15">
      <c r="A11" s="1" t="s">
        <v>425</v>
      </c>
      <c r="B11" s="1"/>
      <c r="D11" s="12" t="s">
        <v>512</v>
      </c>
      <c r="E11" s="12"/>
      <c r="F11" s="12" t="s">
        <v>377</v>
      </c>
    </row>
    <row r="12" spans="1:6" ht="15">
      <c r="A12" s="1" t="s">
        <v>378</v>
      </c>
      <c r="B12" s="1"/>
      <c r="D12" s="12" t="s">
        <v>536</v>
      </c>
      <c r="E12" s="12"/>
      <c r="F12" s="12" t="s">
        <v>379</v>
      </c>
    </row>
    <row r="13" spans="1:6" ht="15">
      <c r="A13" s="3" t="s">
        <v>380</v>
      </c>
      <c r="B13" s="3"/>
      <c r="D13" s="138" t="s">
        <v>400</v>
      </c>
      <c r="E13" s="129"/>
      <c r="F13" s="138" t="s">
        <v>382</v>
      </c>
    </row>
    <row r="14" spans="1:6" ht="12.75" customHeight="1">
      <c r="A14" s="2"/>
      <c r="B14" s="2"/>
      <c r="D14" s="2"/>
      <c r="E14" s="2"/>
      <c r="F14" s="5"/>
    </row>
    <row r="15" spans="1:6" ht="12.75" customHeight="1">
      <c r="A15" s="2" t="s">
        <v>383</v>
      </c>
      <c r="B15" s="2"/>
      <c r="D15" s="10">
        <f>+'Meters &amp; Services'!F27</f>
        <v>111111</v>
      </c>
      <c r="E15" s="10"/>
      <c r="F15" s="5">
        <f>ROUND(D15/$D$23,4)-0.0001</f>
        <v>0.8983</v>
      </c>
    </row>
    <row r="16" spans="1:6" ht="12.75" customHeight="1">
      <c r="A16" s="2" t="s">
        <v>384</v>
      </c>
      <c r="B16" s="2"/>
      <c r="D16" s="10">
        <f>+'Meters &amp; Services'!J27</f>
        <v>9058</v>
      </c>
      <c r="E16" s="10"/>
      <c r="F16" s="5">
        <f aca="true" t="shared" si="0" ref="F16:F21">ROUND(D16/$D$23,4)</f>
        <v>0.0732</v>
      </c>
    </row>
    <row r="17" spans="1:6" ht="12.75" customHeight="1">
      <c r="A17" s="2" t="s">
        <v>385</v>
      </c>
      <c r="B17" s="2"/>
      <c r="D17" s="10">
        <f>'Meters &amp; Services'!N27</f>
        <v>45</v>
      </c>
      <c r="E17" s="10"/>
      <c r="F17" s="5">
        <f t="shared" si="0"/>
        <v>0.0004</v>
      </c>
    </row>
    <row r="18" spans="1:6" ht="12.75" customHeight="1">
      <c r="A18" s="2" t="s">
        <v>387</v>
      </c>
      <c r="B18" s="2"/>
      <c r="D18" s="10">
        <f>'Meters &amp; Services'!R27</f>
        <v>750</v>
      </c>
      <c r="E18" s="10"/>
      <c r="F18" s="5">
        <f t="shared" si="0"/>
        <v>0.0061</v>
      </c>
    </row>
    <row r="19" spans="1:8" ht="12.75" customHeight="1">
      <c r="A19" s="2" t="s">
        <v>508</v>
      </c>
      <c r="B19" s="2"/>
      <c r="D19" s="10">
        <f>'Meters &amp; Services'!V27</f>
        <v>23</v>
      </c>
      <c r="E19" s="10"/>
      <c r="F19" s="5">
        <f t="shared" si="0"/>
        <v>0.0002</v>
      </c>
      <c r="H19" s="2"/>
    </row>
    <row r="20" spans="1:8" ht="12.75" customHeight="1">
      <c r="A20" s="2" t="s">
        <v>389</v>
      </c>
      <c r="B20" s="2"/>
      <c r="D20" s="10">
        <f>+Fire!K26</f>
        <v>2658.0769230769233</v>
      </c>
      <c r="E20" s="10"/>
      <c r="F20" s="5">
        <f t="shared" si="0"/>
        <v>0.0215</v>
      </c>
      <c r="H20" s="2"/>
    </row>
    <row r="21" spans="1:9" ht="12.75" customHeight="1">
      <c r="A21" s="2" t="s">
        <v>390</v>
      </c>
      <c r="B21" s="2"/>
      <c r="D21" s="130">
        <v>38</v>
      </c>
      <c r="E21" s="130"/>
      <c r="F21" s="4">
        <f t="shared" si="0"/>
        <v>0.0003</v>
      </c>
      <c r="G21" s="131"/>
      <c r="H21" s="132"/>
      <c r="I21" s="131"/>
    </row>
    <row r="22" spans="1:8" ht="15">
      <c r="A22" s="2"/>
      <c r="B22" s="2"/>
      <c r="D22" s="6"/>
      <c r="E22" s="10"/>
      <c r="F22" s="7"/>
      <c r="H22" s="2"/>
    </row>
    <row r="23" spans="1:8" ht="15.75" thickBot="1">
      <c r="A23" s="2" t="s">
        <v>391</v>
      </c>
      <c r="B23" s="2"/>
      <c r="D23" s="10">
        <f>SUM(D15:D22)</f>
        <v>123683.07692307692</v>
      </c>
      <c r="E23" s="10"/>
      <c r="F23" s="166">
        <f>SUM(F15:F22)</f>
        <v>0.9999999999999999</v>
      </c>
      <c r="H23" s="2"/>
    </row>
    <row r="24" spans="1:8" ht="15.75" thickTop="1">
      <c r="A24" s="2"/>
      <c r="B24" s="2"/>
      <c r="D24" s="8"/>
      <c r="E24" s="10"/>
      <c r="F24" s="165"/>
      <c r="H24" s="2"/>
    </row>
    <row r="25" spans="1:8" ht="15">
      <c r="A25" s="2"/>
      <c r="B25" s="2"/>
      <c r="D25" s="2"/>
      <c r="E25" s="2"/>
      <c r="F25" s="2"/>
      <c r="H25" s="2"/>
    </row>
    <row r="26" spans="1:8" ht="15">
      <c r="A26" s="2"/>
      <c r="B26" s="2"/>
      <c r="D26" s="10"/>
      <c r="E26" s="10"/>
      <c r="F26" s="2"/>
      <c r="H26" s="2"/>
    </row>
    <row r="27" spans="1:8" ht="15">
      <c r="A27" s="2" t="s">
        <v>327</v>
      </c>
      <c r="B27" s="2"/>
      <c r="D27" s="2"/>
      <c r="E27" s="2"/>
      <c r="F27" s="2"/>
      <c r="H27" s="2"/>
    </row>
    <row r="28" spans="1:8" ht="15">
      <c r="A28" s="2"/>
      <c r="B28" s="2"/>
      <c r="D28" s="2"/>
      <c r="E28" s="2"/>
      <c r="F28" s="2"/>
      <c r="H28" s="2"/>
    </row>
    <row r="29" spans="1:8" ht="15">
      <c r="A29" s="2" t="s">
        <v>537</v>
      </c>
      <c r="B29" s="2"/>
      <c r="D29" s="2"/>
      <c r="E29" s="2"/>
      <c r="F29" s="2"/>
      <c r="H29" s="2"/>
    </row>
    <row r="30" spans="1:8" ht="15">
      <c r="A30" s="2"/>
      <c r="B30" s="2"/>
      <c r="D30" s="2"/>
      <c r="E30" s="2"/>
      <c r="F30" s="2"/>
      <c r="H30" s="2"/>
    </row>
    <row r="31" spans="1:8" ht="15">
      <c r="A31" s="1" t="s">
        <v>425</v>
      </c>
      <c r="B31" s="1"/>
      <c r="D31" s="12" t="s">
        <v>538</v>
      </c>
      <c r="E31" s="12"/>
      <c r="F31" s="12" t="s">
        <v>377</v>
      </c>
      <c r="H31" s="2"/>
    </row>
    <row r="32" spans="1:8" ht="15">
      <c r="A32" s="1" t="s">
        <v>378</v>
      </c>
      <c r="B32" s="1"/>
      <c r="D32" s="12" t="s">
        <v>536</v>
      </c>
      <c r="E32" s="12"/>
      <c r="F32" s="12" t="s">
        <v>379</v>
      </c>
      <c r="H32" s="2"/>
    </row>
    <row r="33" spans="1:8" ht="15">
      <c r="A33" s="3" t="s">
        <v>380</v>
      </c>
      <c r="B33" s="3"/>
      <c r="D33" s="138" t="s">
        <v>400</v>
      </c>
      <c r="E33" s="129"/>
      <c r="F33" s="138" t="s">
        <v>382</v>
      </c>
      <c r="H33" s="2"/>
    </row>
    <row r="34" spans="1:8" ht="12.75" customHeight="1">
      <c r="A34" s="2"/>
      <c r="B34" s="2"/>
      <c r="D34" s="2"/>
      <c r="E34" s="2"/>
      <c r="F34" s="2"/>
      <c r="H34" s="2"/>
    </row>
    <row r="35" spans="1:8" ht="12.75" customHeight="1">
      <c r="A35" s="2" t="s">
        <v>383</v>
      </c>
      <c r="B35" s="2"/>
      <c r="D35" s="10">
        <f>D15</f>
        <v>111111</v>
      </c>
      <c r="E35" s="10"/>
      <c r="F35" s="5">
        <f>ROUND(D35/$D$42,4)-0.0001</f>
        <v>0.9072</v>
      </c>
      <c r="H35" s="2"/>
    </row>
    <row r="36" spans="1:8" ht="12.75" customHeight="1">
      <c r="A36" s="2" t="s">
        <v>384</v>
      </c>
      <c r="B36" s="2"/>
      <c r="D36" s="10">
        <f>D16</f>
        <v>9058</v>
      </c>
      <c r="E36" s="10"/>
      <c r="F36" s="5">
        <f>ROUND(D36/$D$42,4)</f>
        <v>0.074</v>
      </c>
      <c r="H36" s="2"/>
    </row>
    <row r="37" spans="1:8" ht="12.75" customHeight="1">
      <c r="A37" s="2" t="s">
        <v>385</v>
      </c>
      <c r="B37" s="2"/>
      <c r="D37" s="10">
        <f>D17</f>
        <v>45</v>
      </c>
      <c r="E37" s="10"/>
      <c r="F37" s="5">
        <f>ROUND(D37/$D$42,4)</f>
        <v>0.0004</v>
      </c>
      <c r="H37" s="2"/>
    </row>
    <row r="38" spans="1:8" ht="12.75" customHeight="1">
      <c r="A38" s="2" t="s">
        <v>387</v>
      </c>
      <c r="B38" s="2"/>
      <c r="D38" s="10">
        <f>D18</f>
        <v>750</v>
      </c>
      <c r="E38" s="10"/>
      <c r="F38" s="5">
        <f>ROUND(D38/$D$42,4)</f>
        <v>0.0061</v>
      </c>
      <c r="H38" s="2"/>
    </row>
    <row r="39" spans="1:8" ht="12.75" customHeight="1">
      <c r="A39" s="2" t="s">
        <v>508</v>
      </c>
      <c r="B39" s="2"/>
      <c r="D39" s="10">
        <f>D19</f>
        <v>23</v>
      </c>
      <c r="E39" s="10"/>
      <c r="F39" s="5">
        <f>ROUND(D39/$D$42,4)</f>
        <v>0.0002</v>
      </c>
      <c r="H39" s="2"/>
    </row>
    <row r="40" spans="1:8" ht="12.75" customHeight="1">
      <c r="A40" s="2" t="s">
        <v>389</v>
      </c>
      <c r="B40" s="2"/>
      <c r="D40" s="10">
        <f>+SUM(Fire!K15:K23)</f>
        <v>1478.3076923076924</v>
      </c>
      <c r="E40" s="10"/>
      <c r="F40" s="5">
        <f>ROUND(D40/$D$42,4)</f>
        <v>0.0121</v>
      </c>
      <c r="H40" s="2"/>
    </row>
    <row r="41" spans="1:8" ht="15">
      <c r="A41" s="2"/>
      <c r="B41" s="2"/>
      <c r="D41" s="6"/>
      <c r="E41" s="10"/>
      <c r="F41" s="7"/>
      <c r="H41" s="2"/>
    </row>
    <row r="42" spans="1:8" ht="15.75" thickBot="1">
      <c r="A42" s="2" t="s">
        <v>391</v>
      </c>
      <c r="B42" s="2"/>
      <c r="D42" s="167">
        <f>SUM(D35:D41)</f>
        <v>122465.30769230769</v>
      </c>
      <c r="E42" s="10"/>
      <c r="F42" s="5">
        <f>SUM(F35:F41)</f>
        <v>0.9999999999999999</v>
      </c>
      <c r="H42" s="2"/>
    </row>
    <row r="43" spans="4:6" ht="15.75" thickTop="1">
      <c r="D43" s="189"/>
      <c r="F43" s="15"/>
    </row>
  </sheetData>
  <mergeCells count="1">
    <mergeCell ref="A9:F9"/>
  </mergeCells>
  <printOptions horizontalCentered="1"/>
  <pageMargins left="1" right="1" top="1" bottom="0.5" header="0.5" footer="0.5"/>
  <pageSetup fitToHeight="0"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W162"/>
  <sheetViews>
    <sheetView workbookViewId="0" topLeftCell="A1">
      <selection activeCell="A1" sqref="A1"/>
    </sheetView>
  </sheetViews>
  <sheetFormatPr defaultColWidth="8.88671875" defaultRowHeight="12.75"/>
  <cols>
    <col min="1" max="1" width="7.77734375" style="38" customWidth="1"/>
    <col min="2" max="2" width="10.4453125" style="38" customWidth="1"/>
    <col min="3" max="3" width="12.77734375" style="38" customWidth="1"/>
    <col min="4" max="4" width="11.77734375" style="38" customWidth="1"/>
    <col min="5" max="5" width="12.99609375" style="38" customWidth="1"/>
    <col min="6" max="6" width="11.77734375" style="38" customWidth="1"/>
    <col min="7" max="7" width="9.77734375" style="38" customWidth="1"/>
    <col min="8" max="9" width="7.77734375" style="38" customWidth="1"/>
    <col min="10" max="10" width="14.77734375" style="38" customWidth="1"/>
    <col min="11" max="11" width="10.77734375" style="38" customWidth="1"/>
    <col min="12" max="12" width="14.77734375" style="38" customWidth="1"/>
    <col min="13" max="13" width="8.77734375" style="38" customWidth="1"/>
    <col min="14" max="14" width="6.77734375" style="38" customWidth="1"/>
    <col min="15" max="15" width="9.77734375" style="38" customWidth="1"/>
    <col min="16" max="17" width="7.77734375" style="38" customWidth="1"/>
    <col min="18" max="18" width="14.77734375" style="38" customWidth="1"/>
    <col min="19" max="19" width="10.77734375" style="38" customWidth="1"/>
    <col min="20" max="20" width="14.77734375" style="38" customWidth="1"/>
    <col min="21" max="21" width="8.77734375" style="38" customWidth="1"/>
    <col min="22" max="22" width="5.77734375" style="38" customWidth="1"/>
    <col min="23" max="16384" width="9.77734375" style="38" customWidth="1"/>
  </cols>
  <sheetData>
    <row r="1" spans="1:23" ht="15">
      <c r="A1" s="37" t="s">
        <v>8</v>
      </c>
      <c r="B1" s="1"/>
      <c r="C1" s="1"/>
      <c r="D1" s="1"/>
      <c r="E1" s="1"/>
      <c r="F1" s="1"/>
      <c r="G1" s="2"/>
      <c r="H1" s="2"/>
      <c r="I1" s="2"/>
      <c r="J1" s="2"/>
      <c r="K1" s="2"/>
      <c r="L1" s="2"/>
      <c r="M1" s="2"/>
      <c r="N1" s="2"/>
      <c r="O1" s="2"/>
      <c r="P1" s="2"/>
      <c r="Q1" s="2"/>
      <c r="R1" s="2"/>
      <c r="S1" s="2"/>
      <c r="T1" s="2"/>
      <c r="U1" s="2"/>
      <c r="V1" s="2"/>
      <c r="W1" s="2"/>
    </row>
    <row r="2" spans="1:23" ht="15">
      <c r="A2" s="196"/>
      <c r="B2" s="1"/>
      <c r="C2" s="1"/>
      <c r="D2" s="1"/>
      <c r="E2" s="1"/>
      <c r="F2" s="1"/>
      <c r="G2" s="2"/>
      <c r="H2" s="2"/>
      <c r="I2" s="2"/>
      <c r="J2" s="2"/>
      <c r="K2" s="2"/>
      <c r="L2" s="2"/>
      <c r="M2" s="2"/>
      <c r="N2" s="2"/>
      <c r="O2" s="2"/>
      <c r="P2" s="2"/>
      <c r="Q2" s="2"/>
      <c r="R2" s="2"/>
      <c r="S2" s="2"/>
      <c r="T2" s="2"/>
      <c r="U2" s="2"/>
      <c r="V2" s="2"/>
      <c r="W2" s="2"/>
    </row>
    <row r="3" spans="1:23" ht="15">
      <c r="A3" s="1"/>
      <c r="B3" s="1"/>
      <c r="C3" s="1"/>
      <c r="D3" s="1"/>
      <c r="E3" s="1"/>
      <c r="F3" s="1"/>
      <c r="G3" s="2"/>
      <c r="H3" s="2"/>
      <c r="I3" s="2"/>
      <c r="J3" s="2"/>
      <c r="K3" s="2"/>
      <c r="L3" s="2"/>
      <c r="M3" s="2"/>
      <c r="N3" s="2"/>
      <c r="O3" s="2"/>
      <c r="P3" s="2"/>
      <c r="Q3" s="2"/>
      <c r="R3" s="2"/>
      <c r="S3" s="2"/>
      <c r="T3" s="2"/>
      <c r="U3" s="2"/>
      <c r="V3" s="2"/>
      <c r="W3" s="2"/>
    </row>
    <row r="4" spans="1:23" ht="15">
      <c r="A4" s="1" t="s">
        <v>407</v>
      </c>
      <c r="B4" s="1"/>
      <c r="C4" s="1"/>
      <c r="D4" s="1"/>
      <c r="E4" s="1"/>
      <c r="F4" s="1"/>
      <c r="G4" s="2"/>
      <c r="H4" s="2"/>
      <c r="I4" s="2"/>
      <c r="J4" s="2"/>
      <c r="K4" s="2"/>
      <c r="L4" s="2"/>
      <c r="M4" s="2"/>
      <c r="N4" s="2"/>
      <c r="O4" s="2"/>
      <c r="P4" s="2"/>
      <c r="Q4" s="2"/>
      <c r="R4" s="2"/>
      <c r="S4" s="2"/>
      <c r="T4" s="2"/>
      <c r="U4" s="2"/>
      <c r="V4" s="2"/>
      <c r="W4" s="2"/>
    </row>
    <row r="5" spans="1:23" ht="15">
      <c r="A5" s="2"/>
      <c r="B5" s="2"/>
      <c r="C5" s="2"/>
      <c r="D5" s="2"/>
      <c r="E5" s="2"/>
      <c r="F5" s="2"/>
      <c r="G5" s="2"/>
      <c r="H5" s="2"/>
      <c r="I5" s="2"/>
      <c r="J5" s="2"/>
      <c r="K5" s="2"/>
      <c r="L5" s="2"/>
      <c r="M5" s="2"/>
      <c r="N5" s="2"/>
      <c r="O5" s="2"/>
      <c r="P5" s="2"/>
      <c r="Q5" s="2"/>
      <c r="R5" s="2"/>
      <c r="S5" s="2"/>
      <c r="T5" s="2"/>
      <c r="U5" s="2"/>
      <c r="V5" s="2"/>
      <c r="W5" s="2"/>
    </row>
    <row r="6" spans="1:23" ht="15">
      <c r="A6" s="2"/>
      <c r="B6" s="2"/>
      <c r="C6" s="2"/>
      <c r="D6" s="2"/>
      <c r="E6" s="2"/>
      <c r="F6" s="2"/>
      <c r="G6" s="2"/>
      <c r="H6" s="2"/>
      <c r="I6" s="2"/>
      <c r="J6" s="2"/>
      <c r="K6" s="2"/>
      <c r="L6" s="2"/>
      <c r="M6" s="2"/>
      <c r="N6" s="2"/>
      <c r="O6" s="2"/>
      <c r="P6" s="2"/>
      <c r="Q6" s="2"/>
      <c r="R6" s="2"/>
      <c r="S6" s="2"/>
      <c r="T6" s="2"/>
      <c r="U6" s="2"/>
      <c r="V6" s="2"/>
      <c r="W6" s="2"/>
    </row>
    <row r="7" spans="1:23" ht="15">
      <c r="A7" s="2" t="s">
        <v>3</v>
      </c>
      <c r="B7" s="2"/>
      <c r="C7" s="2"/>
      <c r="D7" s="2"/>
      <c r="E7" s="2"/>
      <c r="F7" s="2"/>
      <c r="G7" s="2"/>
      <c r="H7" s="2"/>
      <c r="I7" s="2"/>
      <c r="J7" s="2"/>
      <c r="K7" s="2"/>
      <c r="L7" s="2"/>
      <c r="M7" s="2"/>
      <c r="N7" s="2"/>
      <c r="O7" s="2"/>
      <c r="P7" s="2"/>
      <c r="Q7" s="2"/>
      <c r="R7" s="2"/>
      <c r="S7" s="2"/>
      <c r="T7" s="2"/>
      <c r="U7" s="2"/>
      <c r="V7" s="2"/>
      <c r="W7" s="2"/>
    </row>
    <row r="8" spans="1:23" ht="15">
      <c r="A8" s="2"/>
      <c r="B8" s="2"/>
      <c r="C8" s="2"/>
      <c r="D8" s="2"/>
      <c r="E8" s="2"/>
      <c r="F8" s="2"/>
      <c r="G8" s="2"/>
      <c r="H8" s="2"/>
      <c r="I8" s="2"/>
      <c r="J8" s="2"/>
      <c r="K8" s="2"/>
      <c r="L8" s="2"/>
      <c r="M8" s="2"/>
      <c r="N8" s="2"/>
      <c r="O8" s="2"/>
      <c r="P8" s="2"/>
      <c r="Q8" s="2"/>
      <c r="R8" s="2"/>
      <c r="S8" s="2"/>
      <c r="T8" s="2"/>
      <c r="U8" s="2"/>
      <c r="V8" s="2"/>
      <c r="W8" s="2"/>
    </row>
    <row r="9" spans="1:23" ht="15">
      <c r="A9" s="2"/>
      <c r="B9" s="2"/>
      <c r="C9" s="2"/>
      <c r="D9" s="2"/>
      <c r="E9" s="2"/>
      <c r="F9" s="2"/>
      <c r="G9" s="2"/>
      <c r="H9" s="2"/>
      <c r="I9" s="2"/>
      <c r="J9" s="2"/>
      <c r="K9" s="2"/>
      <c r="L9" s="2"/>
      <c r="M9" s="2"/>
      <c r="N9" s="2"/>
      <c r="O9" s="2"/>
      <c r="P9" s="2"/>
      <c r="Q9" s="2"/>
      <c r="R9" s="2"/>
      <c r="S9" s="2"/>
      <c r="T9" s="2"/>
      <c r="U9" s="2"/>
      <c r="V9" s="2"/>
      <c r="W9" s="2"/>
    </row>
    <row r="10" spans="1:23" ht="29.25" customHeight="1">
      <c r="A10" s="583" t="s">
        <v>626</v>
      </c>
      <c r="B10" s="583"/>
      <c r="C10" s="583"/>
      <c r="D10" s="583"/>
      <c r="E10" s="583"/>
      <c r="F10" s="583"/>
      <c r="G10" s="2"/>
      <c r="H10" s="2"/>
      <c r="I10" s="2"/>
      <c r="J10" s="2"/>
      <c r="K10" s="2"/>
      <c r="L10" s="2"/>
      <c r="M10" s="2"/>
      <c r="N10" s="2"/>
      <c r="O10" s="2"/>
      <c r="P10" s="2"/>
      <c r="Q10" s="2"/>
      <c r="R10" s="2"/>
      <c r="S10" s="2"/>
      <c r="T10" s="2"/>
      <c r="U10" s="2"/>
      <c r="V10" s="2"/>
      <c r="W10" s="2"/>
    </row>
    <row r="11" spans="1:23" ht="15">
      <c r="A11" s="2"/>
      <c r="B11" s="2"/>
      <c r="C11" s="2"/>
      <c r="D11" s="2"/>
      <c r="E11" s="2"/>
      <c r="F11" s="2"/>
      <c r="G11" s="2"/>
      <c r="H11" s="2"/>
      <c r="I11" s="2"/>
      <c r="J11" s="2"/>
      <c r="K11" s="2"/>
      <c r="L11" s="2"/>
      <c r="M11" s="2"/>
      <c r="N11" s="2"/>
      <c r="O11" s="2"/>
      <c r="P11" s="2"/>
      <c r="Q11" s="2"/>
      <c r="R11" s="2"/>
      <c r="S11" s="2"/>
      <c r="T11" s="2"/>
      <c r="U11" s="2"/>
      <c r="V11" s="2"/>
      <c r="W11" s="2"/>
    </row>
    <row r="12" spans="1:23" ht="15">
      <c r="A12" s="2"/>
      <c r="B12" s="2"/>
      <c r="C12" s="2"/>
      <c r="D12" s="2"/>
      <c r="E12" s="2"/>
      <c r="F12" s="2"/>
      <c r="G12" s="2"/>
      <c r="H12" s="2"/>
      <c r="I12" s="2"/>
      <c r="J12" s="2"/>
      <c r="K12" s="2"/>
      <c r="L12" s="2"/>
      <c r="M12" s="2"/>
      <c r="N12" s="2"/>
      <c r="O12" s="2"/>
      <c r="P12" s="2"/>
      <c r="Q12" s="2"/>
      <c r="R12" s="2"/>
      <c r="S12" s="2"/>
      <c r="T12" s="2"/>
      <c r="U12" s="2"/>
      <c r="V12" s="2"/>
      <c r="W12" s="2"/>
    </row>
    <row r="13" spans="1:23" ht="15">
      <c r="A13" s="2"/>
      <c r="B13" s="2"/>
      <c r="C13" s="2"/>
      <c r="D13" s="12" t="s">
        <v>553</v>
      </c>
      <c r="E13" s="12"/>
      <c r="F13" s="12"/>
      <c r="G13" s="2"/>
      <c r="H13" s="2"/>
      <c r="I13" s="2"/>
      <c r="J13" s="2"/>
      <c r="K13" s="2"/>
      <c r="L13" s="2"/>
      <c r="M13" s="2"/>
      <c r="N13" s="2"/>
      <c r="O13" s="2"/>
      <c r="P13" s="2"/>
      <c r="Q13" s="2"/>
      <c r="R13" s="2"/>
      <c r="S13" s="2"/>
      <c r="T13" s="2"/>
      <c r="U13" s="2"/>
      <c r="V13" s="2"/>
      <c r="W13" s="2"/>
    </row>
    <row r="14" spans="1:23" ht="15">
      <c r="A14" s="1" t="s">
        <v>375</v>
      </c>
      <c r="B14" s="37"/>
      <c r="C14" s="2"/>
      <c r="D14" s="12" t="s">
        <v>549</v>
      </c>
      <c r="E14" s="12"/>
      <c r="F14" s="12" t="s">
        <v>377</v>
      </c>
      <c r="G14" s="2"/>
      <c r="H14" s="2"/>
      <c r="I14" s="2"/>
      <c r="J14" s="2"/>
      <c r="K14" s="2"/>
      <c r="L14" s="2"/>
      <c r="M14" s="2"/>
      <c r="N14" s="2"/>
      <c r="O14" s="2"/>
      <c r="P14" s="2"/>
      <c r="Q14" s="2"/>
      <c r="R14" s="2"/>
      <c r="S14" s="2"/>
      <c r="T14" s="2"/>
      <c r="U14" s="2"/>
      <c r="V14" s="2"/>
      <c r="W14" s="2"/>
    </row>
    <row r="15" spans="1:23" ht="15">
      <c r="A15" s="1" t="s">
        <v>378</v>
      </c>
      <c r="B15" s="37"/>
      <c r="C15" s="2"/>
      <c r="D15" s="12" t="s">
        <v>544</v>
      </c>
      <c r="E15" s="12"/>
      <c r="F15" s="12" t="s">
        <v>379</v>
      </c>
      <c r="G15" s="2"/>
      <c r="H15" s="2"/>
      <c r="I15" s="2"/>
      <c r="J15" s="2"/>
      <c r="K15" s="2"/>
      <c r="L15" s="2"/>
      <c r="M15" s="2"/>
      <c r="N15" s="2"/>
      <c r="O15" s="2"/>
      <c r="P15" s="2"/>
      <c r="Q15" s="2"/>
      <c r="R15" s="2"/>
      <c r="S15" s="2"/>
      <c r="T15" s="2"/>
      <c r="U15" s="2"/>
      <c r="V15" s="2"/>
      <c r="W15" s="2"/>
    </row>
    <row r="16" spans="1:23" ht="15">
      <c r="A16" s="3" t="s">
        <v>380</v>
      </c>
      <c r="B16" s="134"/>
      <c r="C16" s="2"/>
      <c r="D16" s="11" t="s">
        <v>400</v>
      </c>
      <c r="E16" s="12" t="s">
        <v>500</v>
      </c>
      <c r="F16" s="11" t="s">
        <v>382</v>
      </c>
      <c r="G16" s="2"/>
      <c r="H16" s="2"/>
      <c r="I16" s="2"/>
      <c r="J16" s="2"/>
      <c r="K16" s="2"/>
      <c r="L16" s="2"/>
      <c r="M16" s="2"/>
      <c r="N16" s="2"/>
      <c r="O16" s="2"/>
      <c r="P16" s="2"/>
      <c r="Q16" s="2"/>
      <c r="R16" s="2"/>
      <c r="S16" s="2"/>
      <c r="T16" s="2"/>
      <c r="U16" s="2"/>
      <c r="V16" s="2"/>
      <c r="W16" s="2"/>
    </row>
    <row r="17" spans="1:23" ht="12.75" customHeight="1">
      <c r="A17" s="2"/>
      <c r="C17" s="2"/>
      <c r="D17" s="2"/>
      <c r="E17" s="2"/>
      <c r="F17" s="135"/>
      <c r="G17" s="2"/>
      <c r="H17" s="2"/>
      <c r="I17" s="2"/>
      <c r="J17" s="2"/>
      <c r="K17" s="2"/>
      <c r="L17" s="2"/>
      <c r="M17" s="2"/>
      <c r="N17" s="2"/>
      <c r="O17" s="2"/>
      <c r="P17" s="2"/>
      <c r="Q17" s="2"/>
      <c r="R17" s="2"/>
      <c r="S17" s="2"/>
      <c r="T17" s="2"/>
      <c r="U17" s="2"/>
      <c r="V17" s="2"/>
      <c r="W17" s="2"/>
    </row>
    <row r="18" spans="1:23" ht="12.75" customHeight="1">
      <c r="A18" s="2" t="s">
        <v>383</v>
      </c>
      <c r="C18" s="2"/>
      <c r="D18" s="229">
        <f>+'COS 1'!J367</f>
        <v>6224289.948788533</v>
      </c>
      <c r="E18" s="2"/>
      <c r="F18" s="177">
        <f>+'COS 1'!J368</f>
        <v>0.6011</v>
      </c>
      <c r="G18" s="2"/>
      <c r="H18" s="2"/>
      <c r="I18" s="2"/>
      <c r="J18" s="2"/>
      <c r="K18" s="2"/>
      <c r="L18" s="2"/>
      <c r="M18" s="2"/>
      <c r="N18" s="2"/>
      <c r="O18" s="2"/>
      <c r="P18" s="2"/>
      <c r="Q18" s="2"/>
      <c r="R18" s="2"/>
      <c r="S18" s="2"/>
      <c r="T18" s="2"/>
      <c r="U18" s="2"/>
      <c r="V18" s="2"/>
      <c r="W18" s="2"/>
    </row>
    <row r="19" spans="1:23" ht="12.75" customHeight="1">
      <c r="A19" s="2" t="s">
        <v>384</v>
      </c>
      <c r="C19" s="2"/>
      <c r="D19" s="10">
        <f>+'COS 1'!L367</f>
        <v>2332850.527660305</v>
      </c>
      <c r="E19" s="2"/>
      <c r="F19" s="135">
        <f>+'COS 1'!L368</f>
        <v>0.2253</v>
      </c>
      <c r="G19" s="2"/>
      <c r="H19" s="2"/>
      <c r="I19" s="2"/>
      <c r="J19" s="2"/>
      <c r="K19" s="2"/>
      <c r="L19" s="2"/>
      <c r="M19" s="2"/>
      <c r="N19" s="2"/>
      <c r="O19" s="2"/>
      <c r="P19" s="2"/>
      <c r="Q19" s="2"/>
      <c r="R19" s="2"/>
      <c r="S19" s="2"/>
      <c r="T19" s="2"/>
      <c r="U19" s="2"/>
      <c r="V19" s="2"/>
      <c r="W19" s="2"/>
    </row>
    <row r="20" spans="1:23" ht="12.75" customHeight="1">
      <c r="A20" s="2" t="s">
        <v>385</v>
      </c>
      <c r="C20" s="2"/>
      <c r="D20" s="10">
        <f>+'COS 1'!N367</f>
        <v>245971.31352727656</v>
      </c>
      <c r="E20" s="2"/>
      <c r="F20" s="135">
        <f>+'COS 1'!N368</f>
        <v>0.0238</v>
      </c>
      <c r="G20" s="2"/>
      <c r="H20" s="2"/>
      <c r="I20" s="2"/>
      <c r="J20" s="2"/>
      <c r="K20" s="2"/>
      <c r="L20" s="2"/>
      <c r="M20" s="2"/>
      <c r="N20" s="2"/>
      <c r="O20" s="2"/>
      <c r="P20" s="2"/>
      <c r="Q20" s="2"/>
      <c r="R20" s="2"/>
      <c r="S20" s="2"/>
      <c r="T20" s="2"/>
      <c r="U20" s="2"/>
      <c r="V20" s="2"/>
      <c r="W20" s="2"/>
    </row>
    <row r="21" spans="1:23" ht="12.75" customHeight="1">
      <c r="A21" s="2" t="s">
        <v>387</v>
      </c>
      <c r="C21" s="2"/>
      <c r="D21" s="10">
        <f>+'COS 1'!P367</f>
        <v>754973.9076386334</v>
      </c>
      <c r="E21" s="2"/>
      <c r="F21" s="135">
        <f>+'COS 1'!P368</f>
        <v>0.0729</v>
      </c>
      <c r="G21" s="2"/>
      <c r="H21" s="2"/>
      <c r="I21" s="2"/>
      <c r="J21" s="2"/>
      <c r="K21" s="2"/>
      <c r="L21" s="2"/>
      <c r="M21" s="2"/>
      <c r="N21" s="2"/>
      <c r="O21" s="2"/>
      <c r="P21" s="2"/>
      <c r="Q21" s="2"/>
      <c r="R21" s="2"/>
      <c r="S21" s="2"/>
      <c r="T21" s="2"/>
      <c r="U21" s="2"/>
      <c r="V21" s="2"/>
      <c r="W21" s="2"/>
    </row>
    <row r="22" spans="1:23" ht="12.75" customHeight="1">
      <c r="A22" s="2" t="s">
        <v>508</v>
      </c>
      <c r="C22" s="2"/>
      <c r="D22" s="10">
        <f>+'COS 1'!R367</f>
        <v>213109.7265647985</v>
      </c>
      <c r="E22" s="2"/>
      <c r="F22" s="135">
        <f>+'COS 1'!R368</f>
        <v>0.0206</v>
      </c>
      <c r="G22" s="2"/>
      <c r="H22" s="2"/>
      <c r="I22" s="2"/>
      <c r="J22" s="2"/>
      <c r="K22" s="2"/>
      <c r="L22" s="2"/>
      <c r="M22" s="2"/>
      <c r="N22" s="2"/>
      <c r="O22" s="2"/>
      <c r="P22" s="2"/>
      <c r="Q22" s="2"/>
      <c r="R22" s="2"/>
      <c r="S22" s="2"/>
      <c r="T22" s="2"/>
      <c r="U22" s="2"/>
      <c r="V22" s="2"/>
      <c r="W22" s="2"/>
    </row>
    <row r="23" spans="1:23" ht="12.75" customHeight="1">
      <c r="A23" s="2" t="s">
        <v>389</v>
      </c>
      <c r="C23" s="2"/>
      <c r="D23" s="10">
        <f>+'COS 1'!T367</f>
        <v>304964.6541452476</v>
      </c>
      <c r="E23" s="2"/>
      <c r="F23" s="135">
        <f>+'COS 1'!T368</f>
        <v>0.0295</v>
      </c>
      <c r="G23" s="2"/>
      <c r="H23" s="2"/>
      <c r="I23" s="2"/>
      <c r="J23" s="2"/>
      <c r="K23" s="2"/>
      <c r="L23" s="2"/>
      <c r="M23" s="2"/>
      <c r="N23" s="2"/>
      <c r="O23" s="2"/>
      <c r="P23" s="2"/>
      <c r="Q23" s="2"/>
      <c r="R23" s="2"/>
      <c r="S23" s="2"/>
      <c r="T23" s="2"/>
      <c r="U23" s="2"/>
      <c r="V23" s="2"/>
      <c r="W23" s="2"/>
    </row>
    <row r="24" spans="1:23" ht="12.75" customHeight="1">
      <c r="A24" s="2" t="s">
        <v>390</v>
      </c>
      <c r="C24" s="2"/>
      <c r="D24" s="10">
        <f>+'COS 1'!V367</f>
        <v>277312.56044496514</v>
      </c>
      <c r="E24" s="2"/>
      <c r="F24" s="135">
        <f>+'COS 1'!V368</f>
        <v>0.0268</v>
      </c>
      <c r="G24" s="2"/>
      <c r="H24" s="2"/>
      <c r="I24" s="2"/>
      <c r="J24" s="2"/>
      <c r="K24" s="2"/>
      <c r="L24" s="2"/>
      <c r="M24" s="2"/>
      <c r="N24" s="2"/>
      <c r="O24" s="2"/>
      <c r="P24" s="2"/>
      <c r="Q24" s="2"/>
      <c r="R24" s="2"/>
      <c r="S24" s="2"/>
      <c r="T24" s="2"/>
      <c r="U24" s="2"/>
      <c r="V24" s="2"/>
      <c r="W24" s="2"/>
    </row>
    <row r="25" spans="1:23" ht="15">
      <c r="A25" s="2"/>
      <c r="C25" s="2"/>
      <c r="D25" s="6"/>
      <c r="E25" s="2"/>
      <c r="F25" s="7"/>
      <c r="G25" s="2"/>
      <c r="H25" s="2"/>
      <c r="I25" s="2"/>
      <c r="J25" s="2"/>
      <c r="K25" s="2"/>
      <c r="L25" s="2"/>
      <c r="M25" s="2"/>
      <c r="N25" s="2"/>
      <c r="O25" s="2"/>
      <c r="P25" s="2"/>
      <c r="Q25" s="2"/>
      <c r="R25" s="2"/>
      <c r="S25" s="2"/>
      <c r="T25" s="2"/>
      <c r="U25" s="2"/>
      <c r="V25" s="2"/>
      <c r="W25" s="2"/>
    </row>
    <row r="26" spans="1:23" ht="15.75" thickBot="1">
      <c r="A26" s="2" t="s">
        <v>391</v>
      </c>
      <c r="C26" s="2"/>
      <c r="D26" s="230">
        <f>SUM(D18:D25)</f>
        <v>10353472.63876976</v>
      </c>
      <c r="E26" s="2"/>
      <c r="F26" s="135">
        <f>SUM(F18:F25)</f>
        <v>1</v>
      </c>
      <c r="G26" s="2"/>
      <c r="H26" s="2"/>
      <c r="I26" s="2"/>
      <c r="J26" s="2"/>
      <c r="K26" s="2"/>
      <c r="L26" s="2"/>
      <c r="M26" s="2"/>
      <c r="N26" s="2"/>
      <c r="O26" s="2"/>
      <c r="P26" s="2"/>
      <c r="Q26" s="2"/>
      <c r="R26" s="2"/>
      <c r="S26" s="2"/>
      <c r="T26" s="2"/>
      <c r="U26" s="2"/>
      <c r="V26" s="2"/>
      <c r="W26" s="2"/>
    </row>
    <row r="27" spans="1:23" ht="15.75" thickTop="1">
      <c r="A27" s="2"/>
      <c r="B27" s="2"/>
      <c r="C27" s="2"/>
      <c r="D27" s="170"/>
      <c r="E27" s="14"/>
      <c r="F27" s="9"/>
      <c r="G27" s="2"/>
      <c r="H27" s="2"/>
      <c r="I27" s="2"/>
      <c r="J27" s="2"/>
      <c r="K27" s="2"/>
      <c r="L27" s="2"/>
      <c r="M27" s="2"/>
      <c r="N27" s="2"/>
      <c r="O27" s="2"/>
      <c r="P27" s="2"/>
      <c r="Q27" s="2"/>
      <c r="R27" s="2"/>
      <c r="S27" s="2"/>
      <c r="T27" s="2"/>
      <c r="U27" s="2"/>
      <c r="V27" s="2"/>
      <c r="W27" s="2"/>
    </row>
    <row r="28" spans="1:23" ht="15">
      <c r="A28" s="2" t="s">
        <v>2</v>
      </c>
      <c r="B28" s="2"/>
      <c r="C28" s="2"/>
      <c r="D28" s="2"/>
      <c r="E28" s="2"/>
      <c r="F28" s="2"/>
      <c r="G28" s="2"/>
      <c r="H28" s="2"/>
      <c r="I28" s="2"/>
      <c r="J28" s="2"/>
      <c r="K28" s="2"/>
      <c r="L28" s="2"/>
      <c r="M28" s="2"/>
      <c r="N28" s="2"/>
      <c r="O28" s="2"/>
      <c r="P28" s="2"/>
      <c r="Q28" s="2"/>
      <c r="R28" s="2"/>
      <c r="S28" s="2"/>
      <c r="T28" s="2"/>
      <c r="U28" s="2"/>
      <c r="V28" s="2"/>
      <c r="W28" s="2"/>
    </row>
    <row r="29" spans="1:23" ht="15">
      <c r="A29" s="2"/>
      <c r="B29" s="2"/>
      <c r="C29" s="2"/>
      <c r="D29" s="2"/>
      <c r="E29" s="2"/>
      <c r="F29" s="2"/>
      <c r="G29" s="2"/>
      <c r="H29" s="2"/>
      <c r="I29" s="2"/>
      <c r="J29" s="2"/>
      <c r="K29" s="2"/>
      <c r="L29" s="2"/>
      <c r="M29" s="2"/>
      <c r="N29" s="2"/>
      <c r="O29" s="2"/>
      <c r="P29" s="2"/>
      <c r="Q29" s="2"/>
      <c r="R29" s="2"/>
      <c r="S29" s="2"/>
      <c r="T29" s="2"/>
      <c r="U29" s="2"/>
      <c r="V29" s="2"/>
      <c r="W29" s="2"/>
    </row>
    <row r="30" spans="1:23" ht="15">
      <c r="A30" s="2"/>
      <c r="B30" s="2"/>
      <c r="C30" s="2"/>
      <c r="D30" s="2"/>
      <c r="E30" s="2"/>
      <c r="F30" s="2"/>
      <c r="G30" s="2"/>
      <c r="H30" s="2"/>
      <c r="I30" s="2"/>
      <c r="J30" s="2"/>
      <c r="K30" s="2"/>
      <c r="L30" s="2"/>
      <c r="M30" s="2"/>
      <c r="N30" s="2"/>
      <c r="O30" s="2"/>
      <c r="P30" s="2"/>
      <c r="Q30" s="2"/>
      <c r="R30" s="2"/>
      <c r="S30" s="2"/>
      <c r="T30" s="2"/>
      <c r="U30" s="2"/>
      <c r="V30" s="2"/>
      <c r="W30" s="2"/>
    </row>
    <row r="31" spans="1:23" ht="29.25" customHeight="1">
      <c r="A31" s="583" t="s">
        <v>735</v>
      </c>
      <c r="B31" s="583"/>
      <c r="C31" s="583"/>
      <c r="D31" s="583"/>
      <c r="E31" s="583"/>
      <c r="F31" s="583"/>
      <c r="G31" s="2"/>
      <c r="H31" s="2"/>
      <c r="I31" s="2"/>
      <c r="J31" s="2"/>
      <c r="K31" s="2"/>
      <c r="L31" s="2"/>
      <c r="M31" s="2"/>
      <c r="N31" s="2"/>
      <c r="O31" s="2"/>
      <c r="P31" s="2"/>
      <c r="Q31" s="2"/>
      <c r="R31" s="2"/>
      <c r="S31" s="2"/>
      <c r="T31" s="2"/>
      <c r="U31" s="2"/>
      <c r="V31" s="2"/>
      <c r="W31" s="2"/>
    </row>
    <row r="32" spans="1:23" ht="15">
      <c r="A32" s="2"/>
      <c r="B32" s="2"/>
      <c r="C32" s="2"/>
      <c r="D32" s="2"/>
      <c r="E32" s="2"/>
      <c r="F32" s="2"/>
      <c r="G32" s="2"/>
      <c r="H32" s="2"/>
      <c r="I32" s="2"/>
      <c r="J32" s="2"/>
      <c r="K32" s="2"/>
      <c r="L32" s="2"/>
      <c r="M32" s="2"/>
      <c r="N32" s="2"/>
      <c r="O32" s="2"/>
      <c r="P32" s="2"/>
      <c r="Q32" s="2"/>
      <c r="R32" s="2"/>
      <c r="S32" s="2"/>
      <c r="T32" s="2"/>
      <c r="U32" s="2"/>
      <c r="V32" s="2"/>
      <c r="W32" s="2"/>
    </row>
    <row r="33" spans="1:23" ht="15">
      <c r="A33" s="2"/>
      <c r="B33" s="2"/>
      <c r="C33" s="2"/>
      <c r="D33" s="2"/>
      <c r="E33" s="2"/>
      <c r="F33" s="2"/>
      <c r="G33" s="2"/>
      <c r="H33" s="2"/>
      <c r="I33" s="2"/>
      <c r="J33" s="2"/>
      <c r="K33" s="2"/>
      <c r="L33" s="2"/>
      <c r="M33" s="2"/>
      <c r="N33" s="2"/>
      <c r="O33" s="2"/>
      <c r="P33" s="2"/>
      <c r="Q33" s="2"/>
      <c r="R33" s="2"/>
      <c r="S33" s="2"/>
      <c r="T33" s="2"/>
      <c r="U33" s="2"/>
      <c r="V33" s="2"/>
      <c r="W33" s="2"/>
    </row>
    <row r="34" spans="1:23" ht="15">
      <c r="A34" s="2"/>
      <c r="B34" s="2"/>
      <c r="C34" s="2"/>
      <c r="D34" s="12" t="s">
        <v>553</v>
      </c>
      <c r="E34" s="12"/>
      <c r="F34" s="12"/>
      <c r="G34" s="2"/>
      <c r="H34" s="2"/>
      <c r="I34" s="2"/>
      <c r="J34" s="2"/>
      <c r="K34" s="2"/>
      <c r="L34" s="2"/>
      <c r="M34" s="2"/>
      <c r="N34" s="2"/>
      <c r="O34" s="2"/>
      <c r="P34" s="2"/>
      <c r="Q34" s="2"/>
      <c r="R34" s="2"/>
      <c r="S34" s="2"/>
      <c r="T34" s="2"/>
      <c r="U34" s="2"/>
      <c r="V34" s="2"/>
      <c r="W34" s="2"/>
    </row>
    <row r="35" spans="1:23" ht="15">
      <c r="A35" s="1" t="s">
        <v>375</v>
      </c>
      <c r="B35" s="37"/>
      <c r="C35" s="2"/>
      <c r="D35" s="12" t="s">
        <v>549</v>
      </c>
      <c r="E35" s="12"/>
      <c r="F35" s="12" t="s">
        <v>377</v>
      </c>
      <c r="G35" s="2"/>
      <c r="H35" s="2"/>
      <c r="I35" s="2"/>
      <c r="J35" s="2"/>
      <c r="K35" s="2"/>
      <c r="L35" s="2"/>
      <c r="M35" s="2"/>
      <c r="N35" s="2"/>
      <c r="O35" s="2"/>
      <c r="P35" s="2"/>
      <c r="Q35" s="2"/>
      <c r="R35" s="2"/>
      <c r="S35" s="2"/>
      <c r="T35" s="2"/>
      <c r="U35" s="2"/>
      <c r="V35" s="2"/>
      <c r="W35" s="2"/>
    </row>
    <row r="36" spans="1:23" ht="15">
      <c r="A36" s="1" t="s">
        <v>378</v>
      </c>
      <c r="B36" s="37"/>
      <c r="C36" s="2"/>
      <c r="D36" s="12" t="s">
        <v>544</v>
      </c>
      <c r="E36" s="12"/>
      <c r="F36" s="12" t="s">
        <v>379</v>
      </c>
      <c r="G36" s="2"/>
      <c r="H36" s="2"/>
      <c r="I36" s="2"/>
      <c r="J36" s="2"/>
      <c r="K36" s="2"/>
      <c r="L36" s="2"/>
      <c r="M36" s="2"/>
      <c r="N36" s="2"/>
      <c r="O36" s="2"/>
      <c r="P36" s="2"/>
      <c r="Q36" s="2"/>
      <c r="R36" s="2"/>
      <c r="S36" s="2"/>
      <c r="T36" s="2"/>
      <c r="U36" s="2"/>
      <c r="V36" s="2"/>
      <c r="W36" s="2"/>
    </row>
    <row r="37" spans="1:23" ht="15">
      <c r="A37" s="3" t="s">
        <v>380</v>
      </c>
      <c r="B37" s="134"/>
      <c r="C37" s="2"/>
      <c r="D37" s="11" t="s">
        <v>400</v>
      </c>
      <c r="E37" s="12" t="s">
        <v>500</v>
      </c>
      <c r="F37" s="11" t="s">
        <v>382</v>
      </c>
      <c r="G37" s="2"/>
      <c r="H37" s="2"/>
      <c r="I37" s="2"/>
      <c r="J37" s="2"/>
      <c r="K37" s="2"/>
      <c r="L37" s="2"/>
      <c r="M37" s="2"/>
      <c r="N37" s="2"/>
      <c r="O37" s="2"/>
      <c r="P37" s="2"/>
      <c r="Q37" s="2"/>
      <c r="R37" s="2"/>
      <c r="S37" s="2"/>
      <c r="T37" s="2"/>
      <c r="U37" s="2"/>
      <c r="V37" s="2"/>
      <c r="W37" s="2"/>
    </row>
    <row r="38" spans="1:23" ht="12.75" customHeight="1">
      <c r="A38" s="2"/>
      <c r="C38" s="2"/>
      <c r="D38" s="2"/>
      <c r="E38" s="2"/>
      <c r="F38" s="135"/>
      <c r="G38" s="2"/>
      <c r="H38" s="2"/>
      <c r="I38" s="2"/>
      <c r="J38" s="2"/>
      <c r="K38" s="2"/>
      <c r="L38" s="2"/>
      <c r="M38" s="2"/>
      <c r="N38" s="2"/>
      <c r="O38" s="2"/>
      <c r="P38" s="2"/>
      <c r="Q38" s="2"/>
      <c r="R38" s="2"/>
      <c r="S38" s="2"/>
      <c r="T38" s="2"/>
      <c r="U38" s="2"/>
      <c r="V38" s="2"/>
      <c r="W38" s="2"/>
    </row>
    <row r="39" spans="1:23" ht="12.75" customHeight="1">
      <c r="A39" s="2" t="s">
        <v>383</v>
      </c>
      <c r="C39" s="2"/>
      <c r="D39" s="229">
        <f>+'COS 1'!J369</f>
        <v>20994508.656741407</v>
      </c>
      <c r="E39" s="2"/>
      <c r="F39" s="177">
        <f>+'COS 1'!J370</f>
        <v>0.5886</v>
      </c>
      <c r="G39" s="2"/>
      <c r="H39" s="2"/>
      <c r="I39" s="2"/>
      <c r="J39" s="2"/>
      <c r="K39" s="2"/>
      <c r="L39" s="2"/>
      <c r="M39" s="2"/>
      <c r="N39" s="2"/>
      <c r="O39" s="2"/>
      <c r="P39" s="2"/>
      <c r="Q39" s="2"/>
      <c r="R39" s="2"/>
      <c r="S39" s="2"/>
      <c r="T39" s="2"/>
      <c r="U39" s="2"/>
      <c r="V39" s="2"/>
      <c r="W39" s="2"/>
    </row>
    <row r="40" spans="1:23" ht="12.75" customHeight="1">
      <c r="A40" s="2" t="s">
        <v>384</v>
      </c>
      <c r="C40" s="2"/>
      <c r="D40" s="10">
        <f>+'COS 1'!L369</f>
        <v>8418746.101119244</v>
      </c>
      <c r="E40" s="2"/>
      <c r="F40" s="135">
        <f>+'COS 1'!L370</f>
        <v>0.2362</v>
      </c>
      <c r="G40" s="2"/>
      <c r="H40" s="2"/>
      <c r="I40" s="2"/>
      <c r="J40" s="2"/>
      <c r="K40" s="2"/>
      <c r="L40" s="2"/>
      <c r="M40" s="2"/>
      <c r="N40" s="2"/>
      <c r="O40" s="2"/>
      <c r="P40" s="2"/>
      <c r="Q40" s="2"/>
      <c r="R40" s="2"/>
      <c r="S40" s="2"/>
      <c r="T40" s="2"/>
      <c r="U40" s="2"/>
      <c r="V40" s="2"/>
      <c r="W40" s="2"/>
    </row>
    <row r="41" spans="1:23" ht="12.75" customHeight="1">
      <c r="A41" s="2" t="s">
        <v>385</v>
      </c>
      <c r="C41" s="2"/>
      <c r="D41" s="10">
        <f>+'COS 1'!N369</f>
        <v>941853.5693783611</v>
      </c>
      <c r="E41" s="2"/>
      <c r="F41" s="135">
        <f>+'COS 1'!N370</f>
        <v>0.0264</v>
      </c>
      <c r="G41" s="2"/>
      <c r="H41" s="2"/>
      <c r="I41" s="2"/>
      <c r="J41" s="2"/>
      <c r="K41" s="2"/>
      <c r="L41" s="2"/>
      <c r="M41" s="2"/>
      <c r="N41" s="2"/>
      <c r="O41" s="2"/>
      <c r="P41" s="2"/>
      <c r="Q41" s="2"/>
      <c r="R41" s="2"/>
      <c r="S41" s="2"/>
      <c r="T41" s="2"/>
      <c r="U41" s="2"/>
      <c r="V41" s="2"/>
      <c r="W41" s="2"/>
    </row>
    <row r="42" spans="1:23" ht="12.75" customHeight="1">
      <c r="A42" s="2" t="s">
        <v>387</v>
      </c>
      <c r="C42" s="2"/>
      <c r="D42" s="10">
        <f>+'COS 1'!P369</f>
        <v>2871938.9422817067</v>
      </c>
      <c r="E42" s="2"/>
      <c r="F42" s="135">
        <f>+'COS 1'!P370</f>
        <v>0.0805</v>
      </c>
      <c r="G42" s="2"/>
      <c r="H42" s="2"/>
      <c r="I42" s="2"/>
      <c r="J42" s="2"/>
      <c r="K42" s="2"/>
      <c r="L42" s="2"/>
      <c r="M42" s="2"/>
      <c r="N42" s="2"/>
      <c r="O42" s="2"/>
      <c r="P42" s="2"/>
      <c r="Q42" s="2"/>
      <c r="R42" s="2"/>
      <c r="S42" s="2"/>
      <c r="T42" s="2"/>
      <c r="U42" s="2"/>
      <c r="V42" s="2"/>
      <c r="W42" s="2"/>
    </row>
    <row r="43" spans="1:23" ht="12.75" customHeight="1">
      <c r="A43" s="2" t="s">
        <v>508</v>
      </c>
      <c r="C43" s="2"/>
      <c r="D43" s="10">
        <f>+'COS 1'!R369</f>
        <v>826764.0821837469</v>
      </c>
      <c r="E43" s="2"/>
      <c r="F43" s="135">
        <f>+'COS 1'!R370</f>
        <v>0.0232</v>
      </c>
      <c r="G43" s="2"/>
      <c r="H43" s="2"/>
      <c r="I43" s="2"/>
      <c r="J43" s="2"/>
      <c r="K43" s="2"/>
      <c r="L43" s="2"/>
      <c r="M43" s="2"/>
      <c r="N43" s="2"/>
      <c r="O43" s="2"/>
      <c r="P43" s="2"/>
      <c r="Q43" s="2"/>
      <c r="R43" s="2"/>
      <c r="S43" s="2"/>
      <c r="T43" s="2"/>
      <c r="U43" s="2"/>
      <c r="V43" s="2"/>
      <c r="W43" s="2"/>
    </row>
    <row r="44" spans="1:23" ht="12.75" customHeight="1">
      <c r="A44" s="2" t="s">
        <v>389</v>
      </c>
      <c r="C44" s="2"/>
      <c r="D44" s="10">
        <f>+'COS 1'!T369</f>
        <v>847310.4411782401</v>
      </c>
      <c r="E44" s="2"/>
      <c r="F44" s="135">
        <f>+'COS 1'!T370</f>
        <v>0.0238</v>
      </c>
      <c r="G44" s="2"/>
      <c r="H44" s="2"/>
      <c r="I44" s="2"/>
      <c r="J44" s="2"/>
      <c r="K44" s="2"/>
      <c r="L44" s="2"/>
      <c r="M44" s="2"/>
      <c r="N44" s="2"/>
      <c r="O44" s="2"/>
      <c r="P44" s="2"/>
      <c r="Q44" s="2"/>
      <c r="R44" s="2"/>
      <c r="S44" s="2"/>
      <c r="T44" s="2"/>
      <c r="U44" s="2"/>
      <c r="V44" s="2"/>
      <c r="W44" s="2"/>
    </row>
    <row r="45" spans="1:23" ht="12.75" customHeight="1">
      <c r="A45" s="2" t="s">
        <v>390</v>
      </c>
      <c r="C45" s="2"/>
      <c r="D45" s="10">
        <f>+'COS 1'!V369</f>
        <v>760789.6039269231</v>
      </c>
      <c r="E45" s="2"/>
      <c r="F45" s="135">
        <f>+'COS 1'!V370</f>
        <v>0.0213</v>
      </c>
      <c r="G45" s="2"/>
      <c r="H45" s="2"/>
      <c r="I45" s="2"/>
      <c r="J45" s="2"/>
      <c r="K45" s="2"/>
      <c r="L45" s="2"/>
      <c r="M45" s="2"/>
      <c r="N45" s="2"/>
      <c r="O45" s="2"/>
      <c r="P45" s="2"/>
      <c r="Q45" s="2"/>
      <c r="R45" s="2"/>
      <c r="S45" s="2"/>
      <c r="T45" s="2"/>
      <c r="U45" s="2"/>
      <c r="V45" s="2"/>
      <c r="W45" s="2"/>
    </row>
    <row r="46" spans="1:23" ht="15">
      <c r="A46" s="2"/>
      <c r="C46" s="2"/>
      <c r="D46" s="6"/>
      <c r="E46" s="2"/>
      <c r="F46" s="7"/>
      <c r="G46" s="2"/>
      <c r="H46" s="2"/>
      <c r="I46" s="2"/>
      <c r="J46" s="2"/>
      <c r="K46" s="2"/>
      <c r="L46" s="2"/>
      <c r="M46" s="2"/>
      <c r="N46" s="2"/>
      <c r="O46" s="2"/>
      <c r="P46" s="2"/>
      <c r="Q46" s="2"/>
      <c r="R46" s="2"/>
      <c r="S46" s="2"/>
      <c r="T46" s="2"/>
      <c r="U46" s="2"/>
      <c r="V46" s="2"/>
      <c r="W46" s="2"/>
    </row>
    <row r="47" spans="1:23" ht="15.75" thickBot="1">
      <c r="A47" s="2" t="s">
        <v>391</v>
      </c>
      <c r="C47" s="2"/>
      <c r="D47" s="230">
        <f>SUM(D39:D46)</f>
        <v>35661911.39680964</v>
      </c>
      <c r="E47" s="2"/>
      <c r="F47" s="135">
        <f>SUM(F39:F46)</f>
        <v>1</v>
      </c>
      <c r="G47" s="2"/>
      <c r="H47" s="2"/>
      <c r="I47" s="2"/>
      <c r="J47" s="2"/>
      <c r="K47" s="2"/>
      <c r="L47" s="2"/>
      <c r="M47" s="2"/>
      <c r="N47" s="2"/>
      <c r="O47" s="2"/>
      <c r="P47" s="2"/>
      <c r="Q47" s="2"/>
      <c r="R47" s="2"/>
      <c r="S47" s="2"/>
      <c r="T47" s="2"/>
      <c r="U47" s="2"/>
      <c r="V47" s="2"/>
      <c r="W47" s="2"/>
    </row>
    <row r="48" spans="1:23" ht="15.75" thickTop="1">
      <c r="A48" s="2"/>
      <c r="B48" s="2"/>
      <c r="C48" s="2"/>
      <c r="D48" s="2"/>
      <c r="E48" s="2"/>
      <c r="F48" s="2"/>
      <c r="G48" s="2"/>
      <c r="H48" s="2"/>
      <c r="I48" s="2"/>
      <c r="J48" s="2"/>
      <c r="K48" s="2"/>
      <c r="L48" s="2"/>
      <c r="M48" s="2"/>
      <c r="N48" s="2"/>
      <c r="O48" s="2"/>
      <c r="P48" s="2"/>
      <c r="Q48" s="2"/>
      <c r="R48" s="2"/>
      <c r="S48" s="2"/>
      <c r="T48" s="2"/>
      <c r="U48" s="2"/>
      <c r="V48" s="2"/>
      <c r="W48" s="2"/>
    </row>
    <row r="49" spans="1:23" ht="15">
      <c r="A49" s="2"/>
      <c r="B49" s="2"/>
      <c r="C49" s="2"/>
      <c r="D49" s="2"/>
      <c r="E49" s="2"/>
      <c r="F49" s="2"/>
      <c r="G49" s="2"/>
      <c r="H49" s="2"/>
      <c r="I49" s="2"/>
      <c r="J49" s="2"/>
      <c r="K49" s="2"/>
      <c r="L49" s="2"/>
      <c r="M49" s="2"/>
      <c r="N49" s="2"/>
      <c r="O49" s="2"/>
      <c r="P49" s="2"/>
      <c r="Q49" s="2"/>
      <c r="R49" s="2"/>
      <c r="S49" s="2"/>
      <c r="T49" s="2"/>
      <c r="U49" s="2"/>
      <c r="V49" s="2"/>
      <c r="W49" s="2"/>
    </row>
    <row r="50" spans="1:23" ht="15">
      <c r="A50" s="37" t="s">
        <v>8</v>
      </c>
      <c r="B50" s="1"/>
      <c r="C50" s="37"/>
      <c r="D50" s="1"/>
      <c r="E50" s="1"/>
      <c r="F50" s="1"/>
      <c r="G50" s="2"/>
      <c r="H50" s="2"/>
      <c r="I50" s="2"/>
      <c r="J50" s="2"/>
      <c r="K50" s="2"/>
      <c r="L50" s="2"/>
      <c r="M50" s="2"/>
      <c r="N50" s="2"/>
      <c r="O50" s="2"/>
      <c r="P50" s="2"/>
      <c r="Q50" s="2"/>
      <c r="R50" s="2"/>
      <c r="S50" s="2"/>
      <c r="T50" s="2"/>
      <c r="U50" s="2"/>
      <c r="V50" s="2"/>
      <c r="W50" s="2"/>
    </row>
    <row r="51" spans="1:23" ht="15">
      <c r="A51" s="196"/>
      <c r="B51" s="1"/>
      <c r="C51" s="37"/>
      <c r="D51" s="1"/>
      <c r="E51" s="1"/>
      <c r="F51" s="1"/>
      <c r="G51" s="2"/>
      <c r="H51" s="2"/>
      <c r="I51" s="2"/>
      <c r="J51" s="2"/>
      <c r="K51" s="2"/>
      <c r="L51" s="2"/>
      <c r="M51" s="2"/>
      <c r="N51" s="2"/>
      <c r="O51" s="2"/>
      <c r="P51" s="2"/>
      <c r="Q51" s="2"/>
      <c r="R51" s="2"/>
      <c r="S51" s="2"/>
      <c r="T51" s="2"/>
      <c r="U51" s="2"/>
      <c r="V51" s="2"/>
      <c r="W51" s="2"/>
    </row>
    <row r="52" spans="1:23" ht="15">
      <c r="A52" s="1"/>
      <c r="B52" s="1"/>
      <c r="C52" s="1"/>
      <c r="D52" s="1"/>
      <c r="E52" s="1"/>
      <c r="F52" s="1"/>
      <c r="G52" s="2"/>
      <c r="H52" s="2"/>
      <c r="I52" s="2"/>
      <c r="J52" s="2"/>
      <c r="K52" s="2"/>
      <c r="L52" s="2"/>
      <c r="M52" s="2"/>
      <c r="N52" s="2"/>
      <c r="O52" s="2"/>
      <c r="P52" s="2"/>
      <c r="Q52" s="2"/>
      <c r="R52" s="2"/>
      <c r="S52" s="2"/>
      <c r="T52" s="2"/>
      <c r="U52" s="2"/>
      <c r="V52" s="2"/>
      <c r="W52" s="2"/>
    </row>
    <row r="53" spans="1:23" ht="15">
      <c r="A53" s="1" t="s">
        <v>407</v>
      </c>
      <c r="B53" s="1"/>
      <c r="C53" s="1"/>
      <c r="D53" s="1"/>
      <c r="E53" s="1"/>
      <c r="F53" s="1"/>
      <c r="G53" s="2"/>
      <c r="H53" s="2"/>
      <c r="I53" s="2"/>
      <c r="J53" s="2"/>
      <c r="K53" s="2"/>
      <c r="L53" s="2"/>
      <c r="M53" s="2"/>
      <c r="N53" s="2"/>
      <c r="O53" s="2"/>
      <c r="P53" s="2"/>
      <c r="Q53" s="2"/>
      <c r="R53" s="2"/>
      <c r="S53" s="2"/>
      <c r="T53" s="2"/>
      <c r="U53" s="2"/>
      <c r="V53" s="2"/>
      <c r="W53" s="2"/>
    </row>
    <row r="54" spans="1:23" ht="15">
      <c r="A54" s="2"/>
      <c r="B54" s="2"/>
      <c r="C54" s="2"/>
      <c r="D54" s="2"/>
      <c r="E54" s="2"/>
      <c r="F54" s="2"/>
      <c r="G54" s="2"/>
      <c r="H54" s="2"/>
      <c r="I54" s="2"/>
      <c r="J54" s="2"/>
      <c r="K54" s="2"/>
      <c r="L54" s="2"/>
      <c r="M54" s="2"/>
      <c r="N54" s="2"/>
      <c r="O54" s="135"/>
      <c r="P54" s="2"/>
      <c r="Q54" s="2"/>
      <c r="R54" s="2"/>
      <c r="S54" s="2"/>
      <c r="T54" s="2"/>
      <c r="U54" s="2"/>
      <c r="V54" s="2"/>
      <c r="W54" s="2"/>
    </row>
    <row r="55" spans="1:23" ht="15">
      <c r="A55" s="2"/>
      <c r="B55" s="2"/>
      <c r="C55" s="2"/>
      <c r="D55" s="2"/>
      <c r="E55" s="2"/>
      <c r="F55" s="2"/>
      <c r="G55" s="2"/>
      <c r="H55" s="2"/>
      <c r="I55" s="2"/>
      <c r="J55" s="2"/>
      <c r="K55" s="2"/>
      <c r="L55" s="2"/>
      <c r="M55" s="2"/>
      <c r="N55" s="2"/>
      <c r="O55" s="135"/>
      <c r="P55" s="2"/>
      <c r="Q55" s="2"/>
      <c r="R55" s="2"/>
      <c r="S55" s="2"/>
      <c r="T55" s="2"/>
      <c r="U55" s="2"/>
      <c r="V55" s="2"/>
      <c r="W55" s="2"/>
    </row>
    <row r="56" spans="1:23" ht="15">
      <c r="A56" s="2" t="s">
        <v>554</v>
      </c>
      <c r="B56" s="2"/>
      <c r="C56" s="2"/>
      <c r="D56" s="2"/>
      <c r="E56" s="2"/>
      <c r="F56" s="2"/>
      <c r="G56" s="2"/>
      <c r="O56" s="135"/>
      <c r="P56" s="2"/>
      <c r="Q56" s="2"/>
      <c r="R56" s="2"/>
      <c r="S56" s="2"/>
      <c r="T56" s="2"/>
      <c r="U56" s="2"/>
      <c r="V56" s="2"/>
      <c r="W56" s="2"/>
    </row>
    <row r="57" spans="1:23" ht="15">
      <c r="A57" s="2"/>
      <c r="B57" s="2"/>
      <c r="C57" s="2"/>
      <c r="D57" s="2"/>
      <c r="E57" s="2"/>
      <c r="F57" s="2"/>
      <c r="G57" s="2"/>
      <c r="O57" s="135"/>
      <c r="P57" s="2"/>
      <c r="Q57" s="2"/>
      <c r="R57" s="2"/>
      <c r="S57" s="2"/>
      <c r="T57" s="2"/>
      <c r="U57" s="2"/>
      <c r="V57" s="2"/>
      <c r="W57" s="2"/>
    </row>
    <row r="58" spans="1:23" ht="14.25" customHeight="1">
      <c r="A58" s="583" t="s">
        <v>349</v>
      </c>
      <c r="B58" s="583"/>
      <c r="C58" s="583"/>
      <c r="D58" s="583"/>
      <c r="E58" s="583"/>
      <c r="F58" s="583"/>
      <c r="G58" s="2"/>
      <c r="O58" s="135"/>
      <c r="P58" s="2"/>
      <c r="Q58" s="2"/>
      <c r="R58" s="2"/>
      <c r="S58" s="2"/>
      <c r="T58" s="2"/>
      <c r="U58" s="2"/>
      <c r="V58" s="2"/>
      <c r="W58" s="2"/>
    </row>
    <row r="59" spans="1:23" ht="15">
      <c r="A59" s="2"/>
      <c r="B59" s="2"/>
      <c r="C59" s="2"/>
      <c r="D59" s="2"/>
      <c r="E59" s="2"/>
      <c r="F59" s="2"/>
      <c r="G59" s="2"/>
      <c r="O59" s="2"/>
      <c r="P59" s="2"/>
      <c r="Q59" s="2"/>
      <c r="R59" s="2"/>
      <c r="S59" s="2"/>
      <c r="T59" s="2"/>
      <c r="U59" s="2"/>
      <c r="V59" s="2"/>
      <c r="W59" s="2"/>
    </row>
    <row r="60" spans="1:23" ht="15">
      <c r="A60" s="1" t="s">
        <v>375</v>
      </c>
      <c r="B60" s="37"/>
      <c r="C60" s="2"/>
      <c r="D60" s="12" t="s">
        <v>555</v>
      </c>
      <c r="E60" s="12"/>
      <c r="F60" s="12" t="s">
        <v>377</v>
      </c>
      <c r="G60" s="2"/>
      <c r="O60" s="2"/>
      <c r="P60" s="2"/>
      <c r="Q60" s="2"/>
      <c r="R60" s="2"/>
      <c r="S60" s="2"/>
      <c r="T60" s="2"/>
      <c r="U60" s="2"/>
      <c r="V60" s="2"/>
      <c r="W60" s="2"/>
    </row>
    <row r="61" spans="1:23" ht="15">
      <c r="A61" s="1" t="s">
        <v>378</v>
      </c>
      <c r="B61" s="37"/>
      <c r="C61" s="2"/>
      <c r="D61" s="12" t="s">
        <v>556</v>
      </c>
      <c r="E61" s="12"/>
      <c r="F61" s="12" t="s">
        <v>379</v>
      </c>
      <c r="G61" s="2"/>
      <c r="O61" s="2"/>
      <c r="P61" s="2"/>
      <c r="Q61" s="2"/>
      <c r="R61" s="2"/>
      <c r="S61" s="2"/>
      <c r="T61" s="2"/>
      <c r="U61" s="2"/>
      <c r="V61" s="2"/>
      <c r="W61" s="2"/>
    </row>
    <row r="62" spans="1:23" ht="15">
      <c r="A62" s="3" t="s">
        <v>380</v>
      </c>
      <c r="B62" s="134"/>
      <c r="C62" s="2"/>
      <c r="D62" s="11" t="s">
        <v>400</v>
      </c>
      <c r="E62" s="12" t="s">
        <v>500</v>
      </c>
      <c r="F62" s="11" t="s">
        <v>382</v>
      </c>
      <c r="G62" s="2"/>
      <c r="O62" s="2"/>
      <c r="P62" s="2"/>
      <c r="Q62" s="2"/>
      <c r="R62" s="2"/>
      <c r="S62" s="2"/>
      <c r="T62" s="2"/>
      <c r="U62" s="2"/>
      <c r="V62" s="2"/>
      <c r="W62" s="2"/>
    </row>
    <row r="63" spans="1:23" ht="15">
      <c r="A63" s="2"/>
      <c r="C63" s="2"/>
      <c r="D63" s="2"/>
      <c r="E63" s="2"/>
      <c r="F63" s="135"/>
      <c r="G63" s="2"/>
      <c r="O63" s="2"/>
      <c r="P63" s="2"/>
      <c r="Q63" s="2"/>
      <c r="R63" s="2"/>
      <c r="S63" s="2"/>
      <c r="T63" s="2"/>
      <c r="U63" s="2"/>
      <c r="V63" s="2"/>
      <c r="W63" s="2"/>
    </row>
    <row r="64" spans="1:23" ht="15">
      <c r="A64" s="2" t="s">
        <v>383</v>
      </c>
      <c r="C64" s="2"/>
      <c r="D64" s="229">
        <f>+'COS 1'!J371</f>
        <v>4498713.497899099</v>
      </c>
      <c r="E64" s="2"/>
      <c r="F64" s="177">
        <f>+'COS 1'!J372</f>
        <v>0.5596</v>
      </c>
      <c r="G64" s="2"/>
      <c r="O64" s="2"/>
      <c r="P64" s="2"/>
      <c r="Q64" s="2"/>
      <c r="R64" s="2"/>
      <c r="S64" s="2"/>
      <c r="T64" s="2"/>
      <c r="U64" s="2"/>
      <c r="V64" s="2"/>
      <c r="W64" s="2"/>
    </row>
    <row r="65" spans="1:23" ht="15">
      <c r="A65" s="2" t="s">
        <v>384</v>
      </c>
      <c r="C65" s="2"/>
      <c r="D65" s="10">
        <f>+'COS 1'!L371</f>
        <v>1988726.1182389604</v>
      </c>
      <c r="E65" s="2"/>
      <c r="F65" s="135">
        <f>+'COS 1'!L372</f>
        <v>0.2474</v>
      </c>
      <c r="G65" s="2"/>
      <c r="O65" s="2"/>
      <c r="P65" s="2"/>
      <c r="Q65" s="2"/>
      <c r="R65" s="2"/>
      <c r="S65" s="2"/>
      <c r="T65" s="2"/>
      <c r="U65" s="2"/>
      <c r="V65" s="2"/>
      <c r="W65" s="2"/>
    </row>
    <row r="66" spans="1:23" ht="15">
      <c r="A66" s="2" t="s">
        <v>385</v>
      </c>
      <c r="C66" s="2"/>
      <c r="D66" s="10">
        <f>+'COS 1'!N371</f>
        <v>221163.77830660657</v>
      </c>
      <c r="E66" s="2"/>
      <c r="F66" s="135">
        <f>+'COS 1'!N372</f>
        <v>0.0275</v>
      </c>
      <c r="G66" s="2"/>
      <c r="O66" s="2"/>
      <c r="P66" s="2"/>
      <c r="Q66" s="2"/>
      <c r="R66" s="2"/>
      <c r="S66" s="2"/>
      <c r="T66" s="2"/>
      <c r="U66" s="2"/>
      <c r="V66" s="2"/>
      <c r="W66" s="2"/>
    </row>
    <row r="67" spans="1:23" ht="15">
      <c r="A67" s="2" t="s">
        <v>387</v>
      </c>
      <c r="C67" s="2"/>
      <c r="D67" s="10">
        <f>+'COS 1'!P371</f>
        <v>675613.0010808079</v>
      </c>
      <c r="E67" s="2"/>
      <c r="F67" s="135">
        <f>+'COS 1'!P372</f>
        <v>0.084</v>
      </c>
      <c r="G67" s="2"/>
      <c r="O67" s="2"/>
      <c r="P67" s="2"/>
      <c r="Q67" s="2"/>
      <c r="R67" s="2"/>
      <c r="S67" s="2"/>
      <c r="T67" s="2"/>
      <c r="U67" s="2"/>
      <c r="V67" s="2"/>
      <c r="W67" s="2"/>
    </row>
    <row r="68" spans="1:23" ht="13.5" customHeight="1">
      <c r="A68" s="2" t="s">
        <v>508</v>
      </c>
      <c r="C68" s="2"/>
      <c r="D68" s="10">
        <f>+'COS 1'!R371</f>
        <v>191858.1125808063</v>
      </c>
      <c r="E68" s="2"/>
      <c r="F68" s="135">
        <f>+'COS 1'!R372</f>
        <v>0.0239</v>
      </c>
      <c r="G68" s="2"/>
      <c r="O68" s="2"/>
      <c r="P68" s="2"/>
      <c r="Q68" s="2"/>
      <c r="R68" s="2"/>
      <c r="S68" s="2"/>
      <c r="T68" s="2"/>
      <c r="U68" s="2"/>
      <c r="V68" s="2"/>
      <c r="W68" s="2"/>
    </row>
    <row r="69" spans="1:23" ht="12.75" customHeight="1">
      <c r="A69" s="2" t="s">
        <v>389</v>
      </c>
      <c r="C69" s="2"/>
      <c r="D69" s="10">
        <f>+'COS 1'!T371</f>
        <v>228556.29623238504</v>
      </c>
      <c r="E69" s="2"/>
      <c r="F69" s="135">
        <f>+'COS 1'!T372</f>
        <v>0.0284</v>
      </c>
      <c r="G69" s="2"/>
      <c r="O69" s="2"/>
      <c r="P69" s="2"/>
      <c r="Q69" s="2"/>
      <c r="R69" s="2"/>
      <c r="S69" s="2"/>
      <c r="T69" s="2"/>
      <c r="U69" s="2"/>
      <c r="V69" s="2"/>
      <c r="W69" s="2"/>
    </row>
    <row r="70" spans="1:23" ht="12.75" customHeight="1">
      <c r="A70" s="2" t="s">
        <v>390</v>
      </c>
      <c r="C70" s="2"/>
      <c r="D70" s="10">
        <f>+'COS 1'!V371</f>
        <v>234992.42353179737</v>
      </c>
      <c r="E70" s="2"/>
      <c r="F70" s="135">
        <f>+'COS 1'!V372</f>
        <v>0.0292</v>
      </c>
      <c r="G70" s="2"/>
      <c r="O70" s="2"/>
      <c r="P70" s="2"/>
      <c r="Q70" s="2"/>
      <c r="R70" s="2"/>
      <c r="S70" s="2"/>
      <c r="T70" s="2"/>
      <c r="U70" s="2"/>
      <c r="V70" s="2"/>
      <c r="W70" s="2"/>
    </row>
    <row r="71" spans="1:23" ht="12.75" customHeight="1">
      <c r="A71" s="2"/>
      <c r="C71" s="2"/>
      <c r="D71" s="6"/>
      <c r="E71" s="2"/>
      <c r="F71" s="7"/>
      <c r="G71" s="2"/>
      <c r="O71" s="2"/>
      <c r="P71" s="2"/>
      <c r="Q71" s="2"/>
      <c r="R71" s="2"/>
      <c r="S71" s="2"/>
      <c r="T71" s="2"/>
      <c r="U71" s="2"/>
      <c r="V71" s="2"/>
      <c r="W71" s="2"/>
    </row>
    <row r="72" spans="1:23" ht="12.75" customHeight="1" thickBot="1">
      <c r="A72" s="2" t="s">
        <v>391</v>
      </c>
      <c r="C72" s="2"/>
      <c r="D72" s="230">
        <f>SUM(D64:D71)</f>
        <v>8039623.227870462</v>
      </c>
      <c r="E72" s="2"/>
      <c r="F72" s="135">
        <f>SUM(F64:F71)</f>
        <v>0.9999999999999999</v>
      </c>
      <c r="G72" s="2"/>
      <c r="O72" s="2"/>
      <c r="P72" s="2"/>
      <c r="Q72" s="2"/>
      <c r="R72" s="2"/>
      <c r="S72" s="2"/>
      <c r="T72" s="2"/>
      <c r="U72" s="2"/>
      <c r="V72" s="2"/>
      <c r="W72" s="2"/>
    </row>
    <row r="73" spans="1:23" ht="12.75" customHeight="1" thickTop="1">
      <c r="A73" s="2"/>
      <c r="B73" s="2"/>
      <c r="C73" s="2"/>
      <c r="D73" s="170"/>
      <c r="E73" s="14"/>
      <c r="F73" s="9"/>
      <c r="G73" s="2"/>
      <c r="O73" s="2"/>
      <c r="P73" s="2"/>
      <c r="Q73" s="2"/>
      <c r="R73" s="2"/>
      <c r="S73" s="2"/>
      <c r="T73" s="2"/>
      <c r="U73" s="2"/>
      <c r="V73" s="2"/>
      <c r="W73" s="2"/>
    </row>
    <row r="74" spans="1:23" ht="12.75" customHeight="1">
      <c r="A74" s="2"/>
      <c r="B74" s="2"/>
      <c r="C74" s="2"/>
      <c r="D74" s="2"/>
      <c r="E74" s="2"/>
      <c r="F74" s="2"/>
      <c r="G74" s="2"/>
      <c r="O74" s="2"/>
      <c r="P74" s="2"/>
      <c r="Q74" s="2"/>
      <c r="R74" s="2"/>
      <c r="S74" s="2"/>
      <c r="T74" s="2"/>
      <c r="U74" s="2"/>
      <c r="V74" s="2"/>
      <c r="W74" s="2"/>
    </row>
    <row r="75" spans="1:23" ht="12.75" customHeight="1">
      <c r="A75" s="2"/>
      <c r="B75" s="2"/>
      <c r="C75" s="2"/>
      <c r="D75" s="2"/>
      <c r="E75" s="2"/>
      <c r="F75" s="2"/>
      <c r="G75" s="2"/>
      <c r="O75" s="2"/>
      <c r="P75" s="2"/>
      <c r="Q75" s="2"/>
      <c r="R75" s="2"/>
      <c r="S75" s="2"/>
      <c r="T75" s="2"/>
      <c r="U75" s="2"/>
      <c r="V75" s="2"/>
      <c r="W75" s="2"/>
    </row>
    <row r="76" spans="1:23" ht="15">
      <c r="A76" s="2" t="s">
        <v>328</v>
      </c>
      <c r="B76" s="2"/>
      <c r="C76" s="2"/>
      <c r="D76" s="2"/>
      <c r="E76" s="2"/>
      <c r="F76" s="2"/>
      <c r="G76" s="2"/>
      <c r="O76" s="2"/>
      <c r="P76" s="2"/>
      <c r="Q76" s="2"/>
      <c r="R76" s="2"/>
      <c r="S76" s="2"/>
      <c r="T76" s="2"/>
      <c r="U76" s="2"/>
      <c r="V76" s="2"/>
      <c r="W76" s="2"/>
    </row>
    <row r="77" spans="1:23" ht="15">
      <c r="A77" s="2" t="s">
        <v>356</v>
      </c>
      <c r="B77" s="2"/>
      <c r="C77" s="2"/>
      <c r="D77" s="2"/>
      <c r="E77" s="2"/>
      <c r="F77" s="2"/>
      <c r="G77" s="2"/>
      <c r="O77" s="2"/>
      <c r="P77" s="2"/>
      <c r="Q77" s="2"/>
      <c r="R77" s="2"/>
      <c r="S77" s="2"/>
      <c r="T77" s="2"/>
      <c r="U77" s="2"/>
      <c r="V77" s="2"/>
      <c r="W77" s="2"/>
    </row>
    <row r="78" spans="1:23" ht="15">
      <c r="A78" s="2"/>
      <c r="B78" s="2"/>
      <c r="C78" s="2"/>
      <c r="D78" s="2"/>
      <c r="E78" s="2"/>
      <c r="F78" s="2"/>
      <c r="G78" s="2"/>
      <c r="O78" s="2"/>
      <c r="P78" s="2"/>
      <c r="Q78" s="2"/>
      <c r="R78" s="2"/>
      <c r="S78" s="2"/>
      <c r="T78" s="2"/>
      <c r="U78" s="2"/>
      <c r="V78" s="2"/>
      <c r="W78" s="2"/>
    </row>
    <row r="79" spans="1:23" ht="27.75" customHeight="1">
      <c r="A79" s="583" t="s">
        <v>557</v>
      </c>
      <c r="B79" s="583"/>
      <c r="C79" s="583"/>
      <c r="D79" s="583"/>
      <c r="E79" s="583"/>
      <c r="F79" s="583"/>
      <c r="G79" s="2"/>
      <c r="O79" s="2"/>
      <c r="P79" s="2"/>
      <c r="Q79" s="2"/>
      <c r="R79" s="2"/>
      <c r="S79" s="2"/>
      <c r="T79" s="2"/>
      <c r="U79" s="2"/>
      <c r="V79" s="2"/>
      <c r="W79" s="2"/>
    </row>
    <row r="80" spans="1:23" ht="15">
      <c r="A80" s="2"/>
      <c r="B80" s="2"/>
      <c r="C80" s="2"/>
      <c r="D80" s="2"/>
      <c r="E80" s="2"/>
      <c r="F80" s="2"/>
      <c r="G80" s="2"/>
      <c r="O80" s="2"/>
      <c r="P80" s="2"/>
      <c r="Q80" s="2"/>
      <c r="R80" s="2"/>
      <c r="S80" s="2"/>
      <c r="T80" s="2"/>
      <c r="U80" s="2"/>
      <c r="V80" s="2"/>
      <c r="W80" s="2"/>
    </row>
    <row r="81" spans="1:23" ht="15">
      <c r="A81" s="2"/>
      <c r="B81" s="2"/>
      <c r="C81" s="2"/>
      <c r="D81" s="12" t="s">
        <v>558</v>
      </c>
      <c r="E81" s="12"/>
      <c r="F81" s="12"/>
      <c r="G81" s="2"/>
      <c r="O81" s="2"/>
      <c r="P81" s="2"/>
      <c r="Q81" s="2"/>
      <c r="R81" s="2"/>
      <c r="S81" s="2"/>
      <c r="T81" s="2"/>
      <c r="U81" s="2"/>
      <c r="V81" s="2"/>
      <c r="W81" s="2"/>
    </row>
    <row r="82" spans="1:23" ht="15">
      <c r="A82" s="1" t="s">
        <v>375</v>
      </c>
      <c r="B82" s="37"/>
      <c r="C82" s="2"/>
      <c r="D82" s="12" t="s">
        <v>559</v>
      </c>
      <c r="E82" s="12"/>
      <c r="F82" s="12" t="s">
        <v>377</v>
      </c>
      <c r="G82" s="2"/>
      <c r="O82" s="2"/>
      <c r="P82" s="2"/>
      <c r="Q82" s="2"/>
      <c r="R82" s="2"/>
      <c r="S82" s="2"/>
      <c r="T82" s="2"/>
      <c r="U82" s="2"/>
      <c r="V82" s="2"/>
      <c r="W82" s="2"/>
    </row>
    <row r="83" spans="1:23" ht="15">
      <c r="A83" s="1" t="s">
        <v>378</v>
      </c>
      <c r="B83" s="37"/>
      <c r="C83" s="2"/>
      <c r="D83" s="12" t="s">
        <v>560</v>
      </c>
      <c r="E83" s="12"/>
      <c r="F83" s="12" t="s">
        <v>379</v>
      </c>
      <c r="G83" s="2"/>
      <c r="O83" s="2"/>
      <c r="P83" s="2"/>
      <c r="Q83" s="2"/>
      <c r="R83" s="2"/>
      <c r="S83" s="2"/>
      <c r="T83" s="2"/>
      <c r="U83" s="2"/>
      <c r="V83" s="2"/>
      <c r="W83" s="2"/>
    </row>
    <row r="84" spans="1:23" ht="15">
      <c r="A84" s="3" t="s">
        <v>380</v>
      </c>
      <c r="B84" s="134"/>
      <c r="C84" s="2"/>
      <c r="D84" s="11" t="s">
        <v>400</v>
      </c>
      <c r="E84" s="12" t="s">
        <v>500</v>
      </c>
      <c r="F84" s="11" t="s">
        <v>382</v>
      </c>
      <c r="G84" s="2"/>
      <c r="O84" s="2"/>
      <c r="P84" s="2"/>
      <c r="Q84" s="2"/>
      <c r="R84" s="2"/>
      <c r="S84" s="2"/>
      <c r="T84" s="2"/>
      <c r="U84" s="2"/>
      <c r="V84" s="2"/>
      <c r="W84" s="2"/>
    </row>
    <row r="85" spans="1:23" ht="15">
      <c r="A85" s="2"/>
      <c r="C85" s="2"/>
      <c r="D85" s="2"/>
      <c r="E85" s="2"/>
      <c r="F85" s="135"/>
      <c r="G85" s="2"/>
      <c r="O85" s="2"/>
      <c r="P85" s="2"/>
      <c r="Q85" s="2"/>
      <c r="R85" s="2"/>
      <c r="S85" s="2"/>
      <c r="T85" s="2"/>
      <c r="U85" s="2"/>
      <c r="V85" s="2"/>
      <c r="W85" s="2"/>
    </row>
    <row r="86" spans="1:23" ht="15">
      <c r="A86" s="2" t="s">
        <v>383</v>
      </c>
      <c r="C86" s="2"/>
      <c r="D86" s="229">
        <f>+'COS 1'!J373</f>
        <v>197588276.10813877</v>
      </c>
      <c r="E86" s="2"/>
      <c r="F86" s="177">
        <f>+'COS 1'!J374</f>
        <v>0.498</v>
      </c>
      <c r="G86" s="2"/>
      <c r="O86" s="2"/>
      <c r="P86" s="2"/>
      <c r="Q86" s="2"/>
      <c r="R86" s="2"/>
      <c r="S86" s="2"/>
      <c r="T86" s="2"/>
      <c r="U86" s="2"/>
      <c r="V86" s="2"/>
      <c r="W86" s="2"/>
    </row>
    <row r="87" spans="1:23" ht="15">
      <c r="A87" s="2" t="s">
        <v>384</v>
      </c>
      <c r="C87" s="2"/>
      <c r="D87" s="10">
        <f>+'COS 1'!L373</f>
        <v>105400643.20763525</v>
      </c>
      <c r="E87" s="2"/>
      <c r="F87" s="135">
        <f>+'COS 1'!L374</f>
        <v>0.2656</v>
      </c>
      <c r="G87" s="2"/>
      <c r="O87" s="2"/>
      <c r="P87" s="2"/>
      <c r="Q87" s="2"/>
      <c r="R87" s="2"/>
      <c r="S87" s="2"/>
      <c r="T87" s="2"/>
      <c r="U87" s="2"/>
      <c r="V87" s="2"/>
      <c r="W87" s="2"/>
    </row>
    <row r="88" spans="1:23" ht="15">
      <c r="A88" s="2" t="s">
        <v>385</v>
      </c>
      <c r="C88" s="2"/>
      <c r="D88" s="10">
        <f>+'COS 1'!N373</f>
        <v>12235107.32653602</v>
      </c>
      <c r="E88" s="2"/>
      <c r="F88" s="135">
        <f>+'COS 1'!N374</f>
        <v>0.0308</v>
      </c>
      <c r="G88" s="2"/>
      <c r="O88" s="2"/>
      <c r="P88" s="2"/>
      <c r="Q88" s="2"/>
      <c r="R88" s="2"/>
      <c r="S88" s="2"/>
      <c r="T88" s="2"/>
      <c r="U88" s="2"/>
      <c r="V88" s="2"/>
      <c r="W88" s="2"/>
    </row>
    <row r="89" spans="1:23" ht="15">
      <c r="A89" s="2" t="s">
        <v>387</v>
      </c>
      <c r="C89" s="2"/>
      <c r="D89" s="10">
        <f>+'COS 1'!P373</f>
        <v>37618003.03547455</v>
      </c>
      <c r="E89" s="2"/>
      <c r="F89" s="135">
        <f>+'COS 1'!P374</f>
        <v>0.0948</v>
      </c>
      <c r="G89" s="2"/>
      <c r="O89" s="2"/>
      <c r="P89" s="2"/>
      <c r="Q89" s="2"/>
      <c r="R89" s="2"/>
      <c r="S89" s="2"/>
      <c r="T89" s="2"/>
      <c r="U89" s="2"/>
      <c r="V89" s="2"/>
      <c r="W89" s="2"/>
    </row>
    <row r="90" spans="1:23" ht="13.5" customHeight="1">
      <c r="A90" s="2" t="s">
        <v>508</v>
      </c>
      <c r="C90" s="2"/>
      <c r="D90" s="10">
        <f>+'COS 1'!R373</f>
        <v>10769889.107189773</v>
      </c>
      <c r="E90" s="2"/>
      <c r="F90" s="135">
        <f>+'COS 1'!R374</f>
        <v>0.0271</v>
      </c>
      <c r="G90" s="2"/>
      <c r="O90" s="2"/>
      <c r="P90" s="2"/>
      <c r="Q90" s="2"/>
      <c r="R90" s="2"/>
      <c r="S90" s="2"/>
      <c r="T90" s="2"/>
      <c r="U90" s="2"/>
      <c r="V90" s="2"/>
      <c r="W90" s="2"/>
    </row>
    <row r="91" spans="1:23" ht="12.75" customHeight="1">
      <c r="A91" s="2" t="s">
        <v>389</v>
      </c>
      <c r="C91" s="2"/>
      <c r="D91" s="10">
        <f>+'COS 1'!T373</f>
        <v>12140222.684891671</v>
      </c>
      <c r="E91" s="2"/>
      <c r="F91" s="135">
        <f>+'COS 1'!T374</f>
        <v>0.0306</v>
      </c>
      <c r="G91" s="2"/>
      <c r="O91" s="2"/>
      <c r="P91" s="2"/>
      <c r="Q91" s="2"/>
      <c r="R91" s="2"/>
      <c r="S91" s="2"/>
      <c r="T91" s="2"/>
      <c r="U91" s="2"/>
      <c r="V91" s="2"/>
      <c r="W91" s="2"/>
    </row>
    <row r="92" spans="1:23" ht="12.75" customHeight="1">
      <c r="A92" s="2" t="s">
        <v>390</v>
      </c>
      <c r="C92" s="2"/>
      <c r="D92" s="10">
        <f>+'COS 1'!V373</f>
        <v>21055452.530133836</v>
      </c>
      <c r="E92" s="2"/>
      <c r="F92" s="135">
        <f>+'COS 1'!V374</f>
        <v>0.0531</v>
      </c>
      <c r="G92" s="2"/>
      <c r="O92" s="2"/>
      <c r="P92" s="2"/>
      <c r="Q92" s="2"/>
      <c r="R92" s="2"/>
      <c r="S92" s="2"/>
      <c r="T92" s="2"/>
      <c r="U92" s="2"/>
      <c r="V92" s="2"/>
      <c r="W92" s="2"/>
    </row>
    <row r="93" spans="1:23" ht="12.75" customHeight="1">
      <c r="A93" s="2"/>
      <c r="C93" s="2"/>
      <c r="D93" s="6"/>
      <c r="E93" s="2"/>
      <c r="F93" s="7"/>
      <c r="G93" s="2"/>
      <c r="O93" s="2"/>
      <c r="P93" s="2"/>
      <c r="Q93" s="2"/>
      <c r="R93" s="2"/>
      <c r="S93" s="2"/>
      <c r="T93" s="2"/>
      <c r="U93" s="2"/>
      <c r="V93" s="2"/>
      <c r="W93" s="2"/>
    </row>
    <row r="94" spans="1:23" ht="12.75" customHeight="1" thickBot="1">
      <c r="A94" s="2" t="s">
        <v>391</v>
      </c>
      <c r="C94" s="2"/>
      <c r="D94" s="230">
        <f>SUM(D86:D93)</f>
        <v>396807593.9999999</v>
      </c>
      <c r="E94" s="2"/>
      <c r="F94" s="135">
        <f>SUM(F86:F93)</f>
        <v>1</v>
      </c>
      <c r="G94" s="2"/>
      <c r="O94" s="2"/>
      <c r="P94" s="2"/>
      <c r="Q94" s="2"/>
      <c r="R94" s="2"/>
      <c r="S94" s="2"/>
      <c r="T94" s="2"/>
      <c r="U94" s="2"/>
      <c r="V94" s="2"/>
      <c r="W94" s="2"/>
    </row>
    <row r="95" spans="1:23" ht="12.75" customHeight="1" thickTop="1">
      <c r="A95" s="2"/>
      <c r="B95" s="2"/>
      <c r="C95" s="2"/>
      <c r="D95" s="170"/>
      <c r="E95" s="14"/>
      <c r="F95" s="9"/>
      <c r="G95" s="2"/>
      <c r="O95" s="2"/>
      <c r="P95" s="2"/>
      <c r="Q95" s="2"/>
      <c r="R95" s="2"/>
      <c r="S95" s="2"/>
      <c r="T95" s="2"/>
      <c r="U95" s="2"/>
      <c r="V95" s="2"/>
      <c r="W95" s="2"/>
    </row>
    <row r="96" spans="1:23" ht="15">
      <c r="A96" s="37" t="s">
        <v>8</v>
      </c>
      <c r="B96" s="1"/>
      <c r="C96" s="37"/>
      <c r="D96" s="1"/>
      <c r="E96" s="1"/>
      <c r="F96" s="1"/>
      <c r="G96" s="2"/>
      <c r="O96" s="2"/>
      <c r="P96" s="2"/>
      <c r="Q96" s="2"/>
      <c r="R96" s="2"/>
      <c r="S96" s="2"/>
      <c r="T96" s="2"/>
      <c r="U96" s="2"/>
      <c r="V96" s="2"/>
      <c r="W96" s="2"/>
    </row>
    <row r="97" spans="1:23" ht="15">
      <c r="A97" s="196"/>
      <c r="B97" s="1"/>
      <c r="C97" s="37"/>
      <c r="D97" s="1"/>
      <c r="E97" s="1"/>
      <c r="F97" s="1"/>
      <c r="G97" s="2"/>
      <c r="O97" s="2"/>
      <c r="P97" s="2"/>
      <c r="Q97" s="2"/>
      <c r="R97" s="2"/>
      <c r="S97" s="2"/>
      <c r="T97" s="2"/>
      <c r="U97" s="2"/>
      <c r="V97" s="2"/>
      <c r="W97" s="2"/>
    </row>
    <row r="98" spans="1:23" ht="15">
      <c r="A98" s="1"/>
      <c r="B98" s="1"/>
      <c r="C98" s="1"/>
      <c r="D98" s="1"/>
      <c r="E98" s="1"/>
      <c r="F98" s="1"/>
      <c r="G98" s="2"/>
      <c r="O98" s="2"/>
      <c r="P98" s="2"/>
      <c r="Q98" s="2"/>
      <c r="R98" s="2"/>
      <c r="S98" s="2"/>
      <c r="T98" s="2"/>
      <c r="U98" s="2"/>
      <c r="V98" s="2"/>
      <c r="W98" s="2"/>
    </row>
    <row r="99" spans="1:23" ht="15">
      <c r="A99" s="1" t="s">
        <v>407</v>
      </c>
      <c r="B99" s="1"/>
      <c r="C99" s="1"/>
      <c r="D99" s="1"/>
      <c r="E99" s="1"/>
      <c r="F99" s="1"/>
      <c r="G99" s="2"/>
      <c r="O99" s="2"/>
      <c r="P99" s="2"/>
      <c r="Q99" s="2"/>
      <c r="R99" s="2"/>
      <c r="S99" s="2"/>
      <c r="T99" s="2"/>
      <c r="U99" s="2"/>
      <c r="V99" s="2"/>
      <c r="W99" s="2"/>
    </row>
    <row r="100" spans="1:23" ht="15">
      <c r="A100" s="2"/>
      <c r="B100" s="2"/>
      <c r="C100" s="2"/>
      <c r="D100" s="2"/>
      <c r="E100" s="2"/>
      <c r="F100" s="2"/>
      <c r="G100" s="2"/>
      <c r="H100" s="2"/>
      <c r="I100" s="2"/>
      <c r="J100" s="2"/>
      <c r="K100" s="2"/>
      <c r="L100" s="2"/>
      <c r="M100" s="2"/>
      <c r="N100" s="2"/>
      <c r="O100" s="2"/>
      <c r="P100" s="2"/>
      <c r="Q100" s="2"/>
      <c r="R100" s="2"/>
      <c r="S100" s="2"/>
      <c r="T100" s="2"/>
      <c r="U100" s="135"/>
      <c r="V100" s="2"/>
      <c r="W100" s="2"/>
    </row>
    <row r="101" spans="1:23" ht="15">
      <c r="A101" s="2"/>
      <c r="B101" s="2"/>
      <c r="C101" s="2"/>
      <c r="D101" s="2"/>
      <c r="E101" s="2"/>
      <c r="F101" s="2"/>
      <c r="G101" s="2"/>
      <c r="H101" s="2"/>
      <c r="I101" s="2"/>
      <c r="J101" s="2"/>
      <c r="K101" s="2"/>
      <c r="L101" s="2"/>
      <c r="M101" s="2"/>
      <c r="N101" s="2"/>
      <c r="O101" s="2"/>
      <c r="P101" s="2"/>
      <c r="Q101" s="2"/>
      <c r="R101" s="2"/>
      <c r="S101" s="10"/>
      <c r="T101" s="2"/>
      <c r="U101" s="135"/>
      <c r="V101" s="2"/>
      <c r="W101" s="2"/>
    </row>
    <row r="102" spans="1:23" ht="15">
      <c r="A102" s="2" t="s">
        <v>329</v>
      </c>
      <c r="B102" s="2"/>
      <c r="C102" s="2"/>
      <c r="D102" s="2"/>
      <c r="E102" s="2"/>
      <c r="F102" s="2"/>
      <c r="G102" s="2"/>
      <c r="H102" s="2"/>
      <c r="I102" s="2"/>
      <c r="J102" s="2"/>
      <c r="K102" s="2"/>
      <c r="L102" s="2"/>
      <c r="M102" s="2"/>
      <c r="N102" s="2"/>
      <c r="O102" s="2"/>
      <c r="P102" s="2"/>
      <c r="Q102" s="2"/>
      <c r="R102" s="2"/>
      <c r="S102" s="10"/>
      <c r="T102" s="2"/>
      <c r="U102" s="135"/>
      <c r="V102" s="2"/>
      <c r="W102" s="2"/>
    </row>
    <row r="103" spans="1:23" ht="15">
      <c r="A103" s="2"/>
      <c r="B103" s="2"/>
      <c r="C103" s="2"/>
      <c r="D103" s="2"/>
      <c r="E103" s="2"/>
      <c r="F103" s="2"/>
      <c r="G103" s="2"/>
      <c r="H103" s="2"/>
      <c r="I103" s="2"/>
      <c r="J103" s="2"/>
      <c r="K103" s="2"/>
      <c r="L103" s="2"/>
      <c r="M103" s="2"/>
      <c r="N103" s="2"/>
      <c r="O103" s="2"/>
      <c r="P103" s="2"/>
      <c r="Q103" s="2"/>
      <c r="R103" s="2"/>
      <c r="S103" s="10"/>
      <c r="T103" s="2"/>
      <c r="U103" s="135"/>
      <c r="V103" s="2"/>
      <c r="W103" s="2"/>
    </row>
    <row r="104" spans="1:23" ht="27.75" customHeight="1">
      <c r="A104" s="583" t="s">
        <v>561</v>
      </c>
      <c r="B104" s="583"/>
      <c r="C104" s="583"/>
      <c r="D104" s="583"/>
      <c r="E104" s="583"/>
      <c r="F104" s="583"/>
      <c r="G104" s="2"/>
      <c r="H104" s="2"/>
      <c r="I104" s="2"/>
      <c r="J104" s="2"/>
      <c r="K104" s="2"/>
      <c r="L104" s="2"/>
      <c r="M104" s="2"/>
      <c r="N104" s="2"/>
      <c r="O104" s="2"/>
      <c r="P104" s="2"/>
      <c r="Q104" s="2"/>
      <c r="R104" s="2"/>
      <c r="S104" s="10"/>
      <c r="T104" s="2"/>
      <c r="U104" s="135"/>
      <c r="V104" s="2"/>
      <c r="W104" s="2"/>
    </row>
    <row r="105" spans="1:15" ht="15">
      <c r="A105" s="2"/>
      <c r="B105" s="2"/>
      <c r="C105" s="2"/>
      <c r="D105" s="2"/>
      <c r="E105" s="2"/>
      <c r="F105" s="2"/>
      <c r="G105" s="2"/>
      <c r="H105" s="2"/>
      <c r="I105" s="2"/>
      <c r="J105" s="2"/>
      <c r="K105" s="2"/>
      <c r="L105" s="2"/>
      <c r="M105" s="2"/>
      <c r="N105" s="2"/>
      <c r="O105" s="2"/>
    </row>
    <row r="106" spans="1:15" ht="15">
      <c r="A106" s="2"/>
      <c r="B106" s="2"/>
      <c r="C106" s="2"/>
      <c r="D106" s="12" t="s">
        <v>558</v>
      </c>
      <c r="E106" s="12"/>
      <c r="F106" s="12"/>
      <c r="G106" s="2"/>
      <c r="H106" s="2"/>
      <c r="I106" s="2"/>
      <c r="J106" s="2"/>
      <c r="K106" s="2"/>
      <c r="L106" s="2"/>
      <c r="M106" s="2"/>
      <c r="N106" s="2"/>
      <c r="O106" s="2"/>
    </row>
    <row r="107" spans="1:15" ht="15">
      <c r="A107" s="1" t="s">
        <v>375</v>
      </c>
      <c r="B107" s="37"/>
      <c r="C107" s="2"/>
      <c r="D107" s="12" t="s">
        <v>562</v>
      </c>
      <c r="E107" s="12"/>
      <c r="F107" s="12" t="s">
        <v>377</v>
      </c>
      <c r="G107" s="2"/>
      <c r="H107" s="2"/>
      <c r="I107" s="2"/>
      <c r="J107" s="2"/>
      <c r="K107" s="2"/>
      <c r="L107" s="2"/>
      <c r="M107" s="2"/>
      <c r="N107" s="2"/>
      <c r="O107" s="2"/>
    </row>
    <row r="108" spans="1:15" ht="15">
      <c r="A108" s="1" t="s">
        <v>378</v>
      </c>
      <c r="B108" s="37"/>
      <c r="C108" s="2"/>
      <c r="D108" s="12" t="s">
        <v>563</v>
      </c>
      <c r="E108" s="12"/>
      <c r="F108" s="12" t="s">
        <v>379</v>
      </c>
      <c r="G108" s="2"/>
      <c r="H108" s="2"/>
      <c r="I108" s="2"/>
      <c r="J108" s="2"/>
      <c r="K108" s="2"/>
      <c r="L108" s="2"/>
      <c r="M108" s="2"/>
      <c r="N108" s="2"/>
      <c r="O108" s="2"/>
    </row>
    <row r="109" spans="1:15" ht="15">
      <c r="A109" s="3" t="s">
        <v>380</v>
      </c>
      <c r="B109" s="134"/>
      <c r="C109" s="2"/>
      <c r="D109" s="11" t="s">
        <v>400</v>
      </c>
      <c r="E109" s="12" t="s">
        <v>500</v>
      </c>
      <c r="F109" s="11" t="s">
        <v>382</v>
      </c>
      <c r="G109" s="2"/>
      <c r="H109" s="2"/>
      <c r="I109" s="2"/>
      <c r="J109" s="2"/>
      <c r="K109" s="2"/>
      <c r="L109" s="2"/>
      <c r="M109" s="2"/>
      <c r="N109" s="2"/>
      <c r="O109" s="2"/>
    </row>
    <row r="110" spans="1:15" ht="15">
      <c r="A110" s="2"/>
      <c r="C110" s="2"/>
      <c r="D110" s="2"/>
      <c r="E110" s="2"/>
      <c r="F110" s="135"/>
      <c r="G110" s="2"/>
      <c r="H110" s="2"/>
      <c r="I110" s="2"/>
      <c r="J110" s="2"/>
      <c r="K110" s="2"/>
      <c r="L110" s="2"/>
      <c r="M110" s="2"/>
      <c r="N110" s="2"/>
      <c r="O110" s="2"/>
    </row>
    <row r="111" spans="1:15" ht="15">
      <c r="A111" s="2" t="s">
        <v>383</v>
      </c>
      <c r="C111" s="2"/>
      <c r="D111" s="229">
        <f>+'COS 1'!J375</f>
        <v>180738821.6440388</v>
      </c>
      <c r="E111" s="2"/>
      <c r="F111" s="177">
        <f>+'COS 1'!J376</f>
        <v>0.4984</v>
      </c>
      <c r="G111" s="2"/>
      <c r="H111" s="2"/>
      <c r="I111" s="2"/>
      <c r="J111" s="2"/>
      <c r="K111" s="2"/>
      <c r="L111" s="2"/>
      <c r="M111" s="2"/>
      <c r="N111" s="2"/>
      <c r="O111" s="2"/>
    </row>
    <row r="112" spans="1:15" ht="15">
      <c r="A112" s="2" t="s">
        <v>384</v>
      </c>
      <c r="C112" s="2"/>
      <c r="D112" s="10">
        <f>+'COS 1'!L375</f>
        <v>96314222.50273524</v>
      </c>
      <c r="E112" s="2"/>
      <c r="F112" s="135">
        <f>+'COS 1'!L376</f>
        <v>0.2656</v>
      </c>
      <c r="G112" s="2"/>
      <c r="H112" s="2"/>
      <c r="I112" s="2"/>
      <c r="J112" s="2"/>
      <c r="K112" s="2"/>
      <c r="L112" s="2"/>
      <c r="M112" s="2"/>
      <c r="N112" s="2"/>
      <c r="O112" s="2"/>
    </row>
    <row r="113" spans="1:15" ht="15">
      <c r="A113" s="2" t="s">
        <v>385</v>
      </c>
      <c r="C113" s="2"/>
      <c r="D113" s="10">
        <f>+'COS 1'!N375</f>
        <v>11183738.70843602</v>
      </c>
      <c r="E113" s="2"/>
      <c r="F113" s="135">
        <f>+'COS 1'!N376</f>
        <v>0.0308</v>
      </c>
      <c r="G113" s="2"/>
      <c r="H113" s="2"/>
      <c r="I113" s="2"/>
      <c r="J113" s="2"/>
      <c r="K113" s="2"/>
      <c r="L113" s="2"/>
      <c r="M113" s="2"/>
      <c r="N113" s="2"/>
      <c r="O113" s="2"/>
    </row>
    <row r="114" spans="1:15" ht="15">
      <c r="A114" s="2" t="s">
        <v>387</v>
      </c>
      <c r="C114" s="2"/>
      <c r="D114" s="10">
        <f>+'COS 1'!P375</f>
        <v>34369121.48657456</v>
      </c>
      <c r="E114" s="2"/>
      <c r="F114" s="135">
        <f>+'COS 1'!P376</f>
        <v>0.0948</v>
      </c>
      <c r="G114" s="2"/>
      <c r="H114" s="2"/>
      <c r="I114" s="2"/>
      <c r="J114" s="2"/>
      <c r="K114" s="2"/>
      <c r="L114" s="2"/>
      <c r="M114" s="2"/>
      <c r="N114" s="2"/>
      <c r="O114" s="2"/>
    </row>
    <row r="115" spans="1:15" ht="15">
      <c r="A115" s="2" t="s">
        <v>508</v>
      </c>
      <c r="C115" s="2"/>
      <c r="D115" s="10">
        <f>+'COS 1'!R375</f>
        <v>9843611.54398977</v>
      </c>
      <c r="E115" s="2"/>
      <c r="F115" s="135">
        <f>+'COS 1'!R376</f>
        <v>0.0271</v>
      </c>
      <c r="G115" s="2"/>
      <c r="H115" s="2"/>
      <c r="I115" s="2"/>
      <c r="J115" s="2"/>
      <c r="K115" s="2"/>
      <c r="L115" s="2"/>
      <c r="M115" s="2"/>
      <c r="N115" s="2"/>
      <c r="O115" s="2"/>
    </row>
    <row r="116" spans="1:15" ht="15">
      <c r="A116" s="2" t="s">
        <v>389</v>
      </c>
      <c r="C116" s="2"/>
      <c r="D116" s="10">
        <f>+'COS 1'!T375</f>
        <v>11108618.12839167</v>
      </c>
      <c r="E116" s="2"/>
      <c r="F116" s="135">
        <f>+'COS 1'!T376</f>
        <v>0.0306</v>
      </c>
      <c r="G116" s="2"/>
      <c r="H116" s="2"/>
      <c r="I116" s="2"/>
      <c r="J116" s="2"/>
      <c r="K116" s="2"/>
      <c r="L116" s="2"/>
      <c r="M116" s="2"/>
      <c r="N116" s="2"/>
      <c r="O116" s="2"/>
    </row>
    <row r="117" spans="1:15" ht="15">
      <c r="A117" s="2" t="s">
        <v>390</v>
      </c>
      <c r="C117" s="2"/>
      <c r="D117" s="10">
        <f>+'COS 1'!V375</f>
        <v>19113893.98583384</v>
      </c>
      <c r="E117" s="2"/>
      <c r="F117" s="135">
        <f>+'COS 1'!V376</f>
        <v>0.0527</v>
      </c>
      <c r="G117" s="2"/>
      <c r="H117" s="2"/>
      <c r="I117" s="2"/>
      <c r="J117" s="2"/>
      <c r="K117" s="2"/>
      <c r="L117" s="2"/>
      <c r="M117" s="2"/>
      <c r="N117" s="2"/>
      <c r="O117" s="2"/>
    </row>
    <row r="118" spans="1:15" ht="12.75" customHeight="1">
      <c r="A118" s="2"/>
      <c r="C118" s="2"/>
      <c r="D118" s="6"/>
      <c r="E118" s="2"/>
      <c r="F118" s="7"/>
      <c r="G118" s="2"/>
      <c r="H118" s="2"/>
      <c r="I118" s="2"/>
      <c r="J118" s="2"/>
      <c r="K118" s="2"/>
      <c r="L118" s="2"/>
      <c r="M118" s="2"/>
      <c r="N118" s="2"/>
      <c r="O118" s="2"/>
    </row>
    <row r="119" spans="1:15" ht="12.75" customHeight="1" thickBot="1">
      <c r="A119" s="2" t="s">
        <v>391</v>
      </c>
      <c r="C119" s="2"/>
      <c r="D119" s="230">
        <f>SUM(D111:D118)</f>
        <v>362672027.9999999</v>
      </c>
      <c r="E119" s="2"/>
      <c r="F119" s="135">
        <f>SUM(F111:F118)</f>
        <v>1</v>
      </c>
      <c r="G119" s="2"/>
      <c r="H119" s="2"/>
      <c r="I119" s="2"/>
      <c r="J119" s="2"/>
      <c r="K119" s="2"/>
      <c r="L119" s="2"/>
      <c r="M119" s="2"/>
      <c r="N119" s="2"/>
      <c r="O119" s="2"/>
    </row>
    <row r="120" spans="1:15" ht="12.75" customHeight="1" thickTop="1">
      <c r="A120" s="2"/>
      <c r="B120" s="2"/>
      <c r="C120" s="2"/>
      <c r="D120" s="170"/>
      <c r="E120" s="14"/>
      <c r="F120" s="9"/>
      <c r="G120" s="2"/>
      <c r="H120" s="2"/>
      <c r="I120" s="2"/>
      <c r="J120" s="2"/>
      <c r="K120" s="2"/>
      <c r="L120" s="2"/>
      <c r="M120" s="2"/>
      <c r="N120" s="2"/>
      <c r="O120" s="2"/>
    </row>
    <row r="121" spans="1:15" ht="12.75" customHeight="1">
      <c r="A121" s="2"/>
      <c r="B121" s="2"/>
      <c r="C121" s="2"/>
      <c r="D121" s="2"/>
      <c r="E121" s="2"/>
      <c r="F121" s="2"/>
      <c r="G121" s="2"/>
      <c r="H121" s="2"/>
      <c r="I121" s="2"/>
      <c r="J121" s="2"/>
      <c r="K121" s="2"/>
      <c r="L121" s="2"/>
      <c r="M121" s="2"/>
      <c r="N121" s="2"/>
      <c r="O121" s="2"/>
    </row>
    <row r="122" spans="1:15" ht="12.75" customHeight="1">
      <c r="A122" s="2" t="s">
        <v>330</v>
      </c>
      <c r="B122" s="2"/>
      <c r="C122" s="2"/>
      <c r="D122" s="2"/>
      <c r="E122" s="2"/>
      <c r="F122" s="2"/>
      <c r="G122" s="2"/>
      <c r="H122" s="2"/>
      <c r="I122" s="2"/>
      <c r="J122" s="2"/>
      <c r="K122" s="2"/>
      <c r="L122" s="2"/>
      <c r="M122" s="2"/>
      <c r="N122" s="2"/>
      <c r="O122" s="2"/>
    </row>
    <row r="123" spans="1:15" ht="12.75" customHeight="1">
      <c r="A123" s="2" t="s">
        <v>564</v>
      </c>
      <c r="B123" s="2"/>
      <c r="C123" s="2"/>
      <c r="D123" s="2"/>
      <c r="E123" s="2"/>
      <c r="F123" s="2"/>
      <c r="G123" s="2"/>
      <c r="H123" s="2"/>
      <c r="I123" s="2"/>
      <c r="J123" s="2"/>
      <c r="K123" s="2"/>
      <c r="L123" s="2"/>
      <c r="M123" s="2"/>
      <c r="N123" s="2"/>
      <c r="O123" s="2"/>
    </row>
    <row r="124" spans="1:15" ht="12.75" customHeight="1">
      <c r="A124" s="2"/>
      <c r="B124" s="2"/>
      <c r="C124" s="2"/>
      <c r="D124" s="2"/>
      <c r="E124" s="2"/>
      <c r="F124" s="2"/>
      <c r="G124" s="2"/>
      <c r="H124" s="2"/>
      <c r="I124" s="2"/>
      <c r="J124" s="2"/>
      <c r="K124" s="2"/>
      <c r="L124" s="2"/>
      <c r="M124" s="2"/>
      <c r="N124" s="2"/>
      <c r="O124" s="2"/>
    </row>
    <row r="125" spans="1:15" ht="29.25" customHeight="1">
      <c r="A125" s="583" t="s">
        <v>565</v>
      </c>
      <c r="B125" s="583"/>
      <c r="C125" s="583"/>
      <c r="D125" s="583"/>
      <c r="E125" s="583"/>
      <c r="F125" s="583"/>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1" t="s">
        <v>375</v>
      </c>
      <c r="B127" s="37"/>
      <c r="C127" s="2"/>
      <c r="D127" s="12" t="s">
        <v>566</v>
      </c>
      <c r="E127" s="12"/>
      <c r="F127" s="12" t="s">
        <v>377</v>
      </c>
      <c r="G127" s="2"/>
      <c r="H127" s="2"/>
      <c r="I127" s="2"/>
      <c r="J127" s="2"/>
      <c r="K127" s="2"/>
      <c r="L127" s="2"/>
      <c r="M127" s="2"/>
      <c r="N127" s="2"/>
      <c r="O127" s="2"/>
    </row>
    <row r="128" spans="1:15" ht="15">
      <c r="A128" s="1" t="s">
        <v>378</v>
      </c>
      <c r="B128" s="37"/>
      <c r="C128" s="2"/>
      <c r="D128" s="12" t="s">
        <v>567</v>
      </c>
      <c r="E128" s="12"/>
      <c r="F128" s="12" t="s">
        <v>379</v>
      </c>
      <c r="G128" s="2"/>
      <c r="H128" s="2"/>
      <c r="I128" s="2"/>
      <c r="J128" s="2"/>
      <c r="K128" s="2"/>
      <c r="L128" s="2"/>
      <c r="M128" s="2"/>
      <c r="N128" s="2"/>
      <c r="O128" s="2"/>
    </row>
    <row r="129" spans="1:15" ht="15">
      <c r="A129" s="3" t="s">
        <v>380</v>
      </c>
      <c r="B129" s="134"/>
      <c r="C129" s="2"/>
      <c r="D129" s="11" t="s">
        <v>400</v>
      </c>
      <c r="E129" s="12" t="s">
        <v>500</v>
      </c>
      <c r="F129" s="11" t="s">
        <v>382</v>
      </c>
      <c r="G129" s="2"/>
      <c r="H129" s="2"/>
      <c r="I129" s="2"/>
      <c r="J129" s="2"/>
      <c r="K129" s="2"/>
      <c r="L129" s="2"/>
      <c r="M129" s="2"/>
      <c r="N129" s="2"/>
      <c r="O129" s="2"/>
    </row>
    <row r="130" spans="1:15" ht="15">
      <c r="A130" s="2"/>
      <c r="C130" s="2"/>
      <c r="D130" s="2"/>
      <c r="E130" s="2"/>
      <c r="F130" s="135"/>
      <c r="G130" s="2"/>
      <c r="H130" s="2"/>
      <c r="I130" s="2"/>
      <c r="J130" s="2"/>
      <c r="K130" s="2"/>
      <c r="L130" s="2"/>
      <c r="M130" s="2"/>
      <c r="N130" s="2"/>
      <c r="O130" s="2"/>
    </row>
    <row r="131" spans="1:15" ht="15">
      <c r="A131" s="2" t="s">
        <v>383</v>
      </c>
      <c r="C131" s="2"/>
      <c r="D131" s="229">
        <f>+'COS 1'!J377</f>
        <v>52218131.750613935</v>
      </c>
      <c r="E131" s="2"/>
      <c r="F131" s="177">
        <f>+'COS 1'!J378</f>
        <v>0.5404</v>
      </c>
      <c r="G131" s="2"/>
      <c r="H131" s="2"/>
      <c r="I131" s="2"/>
      <c r="J131" s="2"/>
      <c r="K131" s="2"/>
      <c r="L131" s="2"/>
      <c r="M131" s="2"/>
      <c r="N131" s="2"/>
      <c r="O131" s="2"/>
    </row>
    <row r="132" spans="1:15" ht="15">
      <c r="A132" s="2" t="s">
        <v>384</v>
      </c>
      <c r="C132" s="2"/>
      <c r="D132" s="10">
        <f>+'COS 1'!L377</f>
        <v>24285304.105399318</v>
      </c>
      <c r="E132" s="2"/>
      <c r="F132" s="135">
        <f>+'COS 1'!L378</f>
        <v>0.2514</v>
      </c>
      <c r="G132" s="2"/>
      <c r="H132" s="2"/>
      <c r="I132" s="2"/>
      <c r="J132" s="2"/>
      <c r="K132" s="2"/>
      <c r="L132" s="2"/>
      <c r="M132" s="2"/>
      <c r="N132" s="2"/>
      <c r="O132" s="2"/>
    </row>
    <row r="133" spans="1:15" ht="15">
      <c r="A133" s="2" t="s">
        <v>385</v>
      </c>
      <c r="C133" s="2"/>
      <c r="D133" s="10">
        <f>+'COS 1'!N377</f>
        <v>2764010.6321985363</v>
      </c>
      <c r="E133" s="2"/>
      <c r="F133" s="135">
        <f>+'COS 1'!N378</f>
        <v>0.0286</v>
      </c>
      <c r="G133" s="2"/>
      <c r="H133" s="2"/>
      <c r="I133" s="2"/>
      <c r="J133" s="2"/>
      <c r="K133" s="2"/>
      <c r="L133" s="2"/>
      <c r="M133" s="2"/>
      <c r="N133" s="2"/>
      <c r="O133" s="2"/>
    </row>
    <row r="134" spans="1:15" ht="15">
      <c r="A134" s="2" t="s">
        <v>387</v>
      </c>
      <c r="C134" s="2"/>
      <c r="D134" s="10">
        <f>+'COS 1'!P377</f>
        <v>8492475.116540533</v>
      </c>
      <c r="E134" s="2"/>
      <c r="F134" s="135">
        <f>+'COS 1'!P378</f>
        <v>0.0879</v>
      </c>
      <c r="G134" s="2"/>
      <c r="H134" s="2"/>
      <c r="I134" s="2"/>
      <c r="J134" s="2"/>
      <c r="K134" s="2"/>
      <c r="L134" s="2"/>
      <c r="M134" s="2"/>
      <c r="N134" s="2"/>
      <c r="O134" s="2"/>
    </row>
    <row r="135" spans="1:15" ht="15">
      <c r="A135" s="2" t="s">
        <v>508</v>
      </c>
      <c r="C135" s="2"/>
      <c r="D135" s="10">
        <f>+'COS 1'!R377</f>
        <v>2430098.6452960623</v>
      </c>
      <c r="E135" s="2"/>
      <c r="F135" s="135">
        <f>+'COS 1'!R378</f>
        <v>0.0252</v>
      </c>
      <c r="G135" s="2"/>
      <c r="H135" s="2"/>
      <c r="I135" s="2"/>
      <c r="J135" s="2"/>
      <c r="K135" s="2"/>
      <c r="L135" s="2"/>
      <c r="M135" s="2"/>
      <c r="N135" s="2"/>
      <c r="O135" s="2"/>
    </row>
    <row r="136" spans="1:15" ht="15">
      <c r="A136" s="2" t="s">
        <v>389</v>
      </c>
      <c r="C136" s="2"/>
      <c r="D136" s="10">
        <f>+'COS 1'!T377</f>
        <v>2655725.0398955233</v>
      </c>
      <c r="E136" s="2"/>
      <c r="F136" s="135">
        <f>+'COS 1'!T378</f>
        <v>0.0275</v>
      </c>
      <c r="G136" s="2"/>
      <c r="H136" s="2"/>
      <c r="I136" s="2"/>
      <c r="J136" s="2"/>
      <c r="K136" s="2"/>
      <c r="L136" s="2"/>
      <c r="M136" s="2"/>
      <c r="N136" s="2"/>
      <c r="O136" s="2"/>
    </row>
    <row r="137" spans="1:15" ht="15">
      <c r="A137" s="2" t="s">
        <v>390</v>
      </c>
      <c r="C137" s="2"/>
      <c r="D137" s="10">
        <f>+'COS 1'!V377</f>
        <v>3765807.5781028904</v>
      </c>
      <c r="E137" s="2"/>
      <c r="F137" s="135">
        <f>+'COS 1'!V378</f>
        <v>0.039</v>
      </c>
      <c r="G137" s="2"/>
      <c r="H137" s="2"/>
      <c r="I137" s="2"/>
      <c r="J137" s="2"/>
      <c r="K137" s="2"/>
      <c r="L137" s="2"/>
      <c r="M137" s="2"/>
      <c r="N137" s="2"/>
      <c r="O137" s="2"/>
    </row>
    <row r="138" spans="1:15" ht="12.75" customHeight="1">
      <c r="A138" s="2"/>
      <c r="C138" s="2"/>
      <c r="D138" s="6"/>
      <c r="E138" s="2"/>
      <c r="F138" s="7"/>
      <c r="G138" s="2"/>
      <c r="H138" s="2"/>
      <c r="I138" s="2"/>
      <c r="J138" s="2"/>
      <c r="K138" s="2"/>
      <c r="L138" s="2"/>
      <c r="M138" s="2"/>
      <c r="N138" s="2"/>
      <c r="O138" s="2"/>
    </row>
    <row r="139" spans="1:21" ht="12.75" customHeight="1" thickBot="1">
      <c r="A139" s="2" t="s">
        <v>391</v>
      </c>
      <c r="C139" s="2"/>
      <c r="D139" s="230">
        <f>SUM(D131:D138)</f>
        <v>96611552.8680468</v>
      </c>
      <c r="E139" s="2"/>
      <c r="F139" s="135">
        <f>SUM(F131:F138)</f>
        <v>1</v>
      </c>
      <c r="G139" s="2"/>
      <c r="H139" s="2"/>
      <c r="I139" s="2"/>
      <c r="J139" s="2"/>
      <c r="K139" s="2"/>
      <c r="L139" s="2"/>
      <c r="M139" s="2"/>
      <c r="N139" s="2"/>
      <c r="O139" s="2"/>
      <c r="U139" s="16"/>
    </row>
    <row r="140" spans="1:15" ht="12.75" customHeight="1" thickTop="1">
      <c r="A140" s="2"/>
      <c r="B140" s="2"/>
      <c r="C140" s="2"/>
      <c r="D140" s="170"/>
      <c r="E140" s="14"/>
      <c r="F140" s="9"/>
      <c r="G140" s="2"/>
      <c r="H140" s="2"/>
      <c r="I140" s="2"/>
      <c r="J140" s="2"/>
      <c r="K140" s="2"/>
      <c r="L140" s="2"/>
      <c r="M140" s="2"/>
      <c r="N140" s="2"/>
      <c r="O140" s="2"/>
    </row>
    <row r="141" spans="1:15" ht="12.75" customHeight="1">
      <c r="A141" s="2"/>
      <c r="B141" s="2"/>
      <c r="C141" s="2"/>
      <c r="D141" s="2"/>
      <c r="E141" s="2"/>
      <c r="F141" s="2"/>
      <c r="G141" s="2"/>
      <c r="H141" s="2"/>
      <c r="I141" s="2"/>
      <c r="J141" s="2"/>
      <c r="K141" s="2"/>
      <c r="L141" s="2"/>
      <c r="M141" s="2"/>
      <c r="N141" s="2"/>
      <c r="O141" s="2"/>
    </row>
    <row r="142" spans="1:15" ht="12.75" customHeight="1">
      <c r="A142" s="37" t="s">
        <v>8</v>
      </c>
      <c r="B142" s="1"/>
      <c r="C142" s="37"/>
      <c r="D142" s="1"/>
      <c r="E142" s="1"/>
      <c r="F142" s="1"/>
      <c r="G142" s="2"/>
      <c r="H142" s="2"/>
      <c r="I142" s="2"/>
      <c r="J142" s="2"/>
      <c r="K142" s="2"/>
      <c r="L142" s="2"/>
      <c r="M142" s="2"/>
      <c r="N142" s="2"/>
      <c r="O142" s="2"/>
    </row>
    <row r="143" spans="1:15" ht="12.75" customHeight="1">
      <c r="A143" s="196"/>
      <c r="B143" s="1"/>
      <c r="C143" s="37"/>
      <c r="D143" s="1"/>
      <c r="E143" s="1"/>
      <c r="F143" s="1"/>
      <c r="G143" s="2"/>
      <c r="H143" s="2"/>
      <c r="I143" s="2"/>
      <c r="J143" s="2"/>
      <c r="K143" s="2"/>
      <c r="L143" s="2"/>
      <c r="M143" s="2"/>
      <c r="N143" s="2"/>
      <c r="O143" s="2"/>
    </row>
    <row r="144" spans="1:15" ht="12.75" customHeight="1">
      <c r="A144" s="1"/>
      <c r="B144" s="1"/>
      <c r="C144" s="1"/>
      <c r="D144" s="1"/>
      <c r="E144" s="1"/>
      <c r="F144" s="1"/>
      <c r="G144" s="2"/>
      <c r="H144" s="2"/>
      <c r="I144" s="2"/>
      <c r="J144" s="2"/>
      <c r="K144" s="2"/>
      <c r="L144" s="2"/>
      <c r="M144" s="2"/>
      <c r="N144" s="2"/>
      <c r="O144" s="2"/>
    </row>
    <row r="145" spans="1:15" ht="12.75" customHeight="1">
      <c r="A145" s="1" t="s">
        <v>407</v>
      </c>
      <c r="B145" s="1"/>
      <c r="C145" s="1"/>
      <c r="D145" s="1"/>
      <c r="E145" s="1"/>
      <c r="F145" s="1"/>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ustomHeight="1">
      <c r="A147" s="103" t="s">
        <v>259</v>
      </c>
      <c r="B147" s="103"/>
      <c r="C147" s="103"/>
      <c r="D147" s="103"/>
      <c r="E147" s="103"/>
      <c r="F147" s="103"/>
      <c r="G147" s="103"/>
      <c r="H147" s="2"/>
      <c r="I147" s="2"/>
      <c r="J147" s="2"/>
      <c r="K147" s="2"/>
      <c r="L147" s="2"/>
      <c r="M147" s="2"/>
      <c r="N147" s="2"/>
      <c r="O147" s="2"/>
    </row>
    <row r="148" spans="1:15" ht="15">
      <c r="A148" s="103"/>
      <c r="B148" s="103"/>
      <c r="C148" s="103"/>
      <c r="D148" s="103"/>
      <c r="E148" s="103"/>
      <c r="F148" s="103"/>
      <c r="G148" s="103"/>
      <c r="H148" s="2"/>
      <c r="I148" s="2"/>
      <c r="J148" s="2"/>
      <c r="K148" s="2"/>
      <c r="L148" s="2"/>
      <c r="M148" s="2"/>
      <c r="N148" s="2"/>
      <c r="O148" s="2"/>
    </row>
    <row r="149" spans="1:15" ht="15.75" customHeight="1">
      <c r="A149" s="595" t="s">
        <v>256</v>
      </c>
      <c r="B149" s="595"/>
      <c r="C149" s="595"/>
      <c r="D149" s="595"/>
      <c r="E149" s="595"/>
      <c r="F149" s="595"/>
      <c r="G149" s="383"/>
      <c r="H149" s="2"/>
      <c r="I149" s="2"/>
      <c r="J149" s="2"/>
      <c r="K149" s="2"/>
      <c r="L149" s="2"/>
      <c r="M149" s="2"/>
      <c r="N149" s="2"/>
      <c r="O149" s="2"/>
    </row>
    <row r="150" spans="1:7" ht="15">
      <c r="A150" s="103"/>
      <c r="B150" s="103"/>
      <c r="C150" s="481"/>
      <c r="D150" s="103"/>
      <c r="E150" s="103"/>
      <c r="F150" s="103"/>
      <c r="G150" s="103"/>
    </row>
    <row r="151" spans="1:7" ht="15">
      <c r="A151" s="101" t="s">
        <v>375</v>
      </c>
      <c r="B151" s="100"/>
      <c r="C151" s="103"/>
      <c r="D151" s="104" t="s">
        <v>257</v>
      </c>
      <c r="E151" s="104"/>
      <c r="F151" s="104" t="s">
        <v>377</v>
      </c>
      <c r="G151" s="103"/>
    </row>
    <row r="152" spans="1:7" ht="15">
      <c r="A152" s="101" t="s">
        <v>378</v>
      </c>
      <c r="B152" s="100"/>
      <c r="C152" s="103"/>
      <c r="D152" s="104" t="s">
        <v>258</v>
      </c>
      <c r="E152" s="104"/>
      <c r="F152" s="104" t="s">
        <v>379</v>
      </c>
      <c r="G152" s="103"/>
    </row>
    <row r="153" spans="1:7" ht="15">
      <c r="A153" s="105" t="s">
        <v>380</v>
      </c>
      <c r="B153" s="106"/>
      <c r="C153" s="103"/>
      <c r="D153" s="107" t="s">
        <v>400</v>
      </c>
      <c r="E153" s="104" t="s">
        <v>500</v>
      </c>
      <c r="F153" s="107" t="s">
        <v>382</v>
      </c>
      <c r="G153" s="103"/>
    </row>
    <row r="154" spans="1:7" ht="15">
      <c r="A154" s="103"/>
      <c r="B154" s="102"/>
      <c r="C154" s="103"/>
      <c r="D154" s="103"/>
      <c r="E154" s="103"/>
      <c r="F154" s="110"/>
      <c r="G154" s="103"/>
    </row>
    <row r="155" spans="1:7" ht="15">
      <c r="A155" s="103" t="s">
        <v>383</v>
      </c>
      <c r="B155" s="102"/>
      <c r="C155" s="103"/>
      <c r="D155" s="498">
        <v>394368.2400000035</v>
      </c>
      <c r="E155" s="103"/>
      <c r="F155" s="385">
        <f aca="true" t="shared" si="0" ref="F155:F160">+ROUND(D155/$D$162,4)</f>
        <v>0.8599</v>
      </c>
      <c r="G155" s="103"/>
    </row>
    <row r="156" spans="1:7" ht="15">
      <c r="A156" s="103" t="s">
        <v>384</v>
      </c>
      <c r="B156" s="102"/>
      <c r="C156" s="103"/>
      <c r="D156" s="109">
        <v>49149.88</v>
      </c>
      <c r="E156" s="103"/>
      <c r="F156" s="385">
        <f t="shared" si="0"/>
        <v>0.1072</v>
      </c>
      <c r="G156" s="103"/>
    </row>
    <row r="157" spans="1:7" ht="15">
      <c r="A157" s="103" t="s">
        <v>385</v>
      </c>
      <c r="B157" s="102"/>
      <c r="C157" s="103"/>
      <c r="D157" s="109">
        <v>0</v>
      </c>
      <c r="E157" s="103"/>
      <c r="F157" s="385">
        <f t="shared" si="0"/>
        <v>0</v>
      </c>
      <c r="G157" s="103"/>
    </row>
    <row r="158" spans="1:7" ht="15">
      <c r="A158" s="103" t="s">
        <v>387</v>
      </c>
      <c r="B158" s="102"/>
      <c r="C158" s="103"/>
      <c r="D158" s="109">
        <v>0</v>
      </c>
      <c r="E158" s="103"/>
      <c r="F158" s="385">
        <f t="shared" si="0"/>
        <v>0</v>
      </c>
      <c r="G158" s="103"/>
    </row>
    <row r="159" spans="1:7" ht="15">
      <c r="A159" s="103" t="s">
        <v>508</v>
      </c>
      <c r="B159" s="102"/>
      <c r="C159" s="103"/>
      <c r="D159" s="109">
        <v>0</v>
      </c>
      <c r="E159" s="103"/>
      <c r="F159" s="385">
        <f t="shared" si="0"/>
        <v>0</v>
      </c>
      <c r="G159" s="103"/>
    </row>
    <row r="160" spans="1:7" ht="15">
      <c r="A160" s="103" t="s">
        <v>315</v>
      </c>
      <c r="B160" s="102"/>
      <c r="C160" s="103"/>
      <c r="D160" s="109">
        <v>15100.73</v>
      </c>
      <c r="E160" s="103"/>
      <c r="F160" s="386">
        <f t="shared" si="0"/>
        <v>0.0329</v>
      </c>
      <c r="G160" s="103"/>
    </row>
    <row r="161" spans="1:7" ht="15">
      <c r="A161" s="103"/>
      <c r="B161" s="102"/>
      <c r="C161" s="103"/>
      <c r="D161" s="499"/>
      <c r="E161" s="103"/>
      <c r="F161" s="187"/>
      <c r="G161" s="103"/>
    </row>
    <row r="162" spans="1:7" ht="15.75" thickBot="1">
      <c r="A162" s="103" t="s">
        <v>391</v>
      </c>
      <c r="B162" s="102"/>
      <c r="C162" s="103"/>
      <c r="D162" s="500">
        <f>SUM(D155:D161)</f>
        <v>458618.85000000347</v>
      </c>
      <c r="E162" s="103"/>
      <c r="F162" s="188">
        <f>SUM(F155:F161)</f>
        <v>1</v>
      </c>
      <c r="G162" s="103"/>
    </row>
    <row r="163" ht="15.75" thickTop="1"/>
  </sheetData>
  <mergeCells count="7">
    <mergeCell ref="A149:F149"/>
    <mergeCell ref="A125:F125"/>
    <mergeCell ref="A10:F10"/>
    <mergeCell ref="A58:F58"/>
    <mergeCell ref="A79:F79"/>
    <mergeCell ref="A104:F104"/>
    <mergeCell ref="A31:F31"/>
  </mergeCells>
  <printOptions horizontalCentered="1"/>
  <pageMargins left="1" right="1" top="1" bottom="0.5" header="0.5" footer="0.5"/>
  <pageSetup fitToHeight="0" horizontalDpi="600" verticalDpi="600" orientation="portrait" scale="94" r:id="rId1"/>
  <rowBreaks count="3" manualBreakCount="3">
    <brk id="49" max="255" man="1"/>
    <brk id="95" max="255" man="1"/>
    <brk id="141" max="255" man="1"/>
  </rowBreaks>
</worksheet>
</file>

<file path=xl/worksheets/sheet14.xml><?xml version="1.0" encoding="utf-8"?>
<worksheet xmlns="http://schemas.openxmlformats.org/spreadsheetml/2006/main" xmlns:r="http://schemas.openxmlformats.org/officeDocument/2006/relationships">
  <dimension ref="B1:R48"/>
  <sheetViews>
    <sheetView workbookViewId="0" topLeftCell="A1">
      <selection activeCell="A1" sqref="A1"/>
    </sheetView>
  </sheetViews>
  <sheetFormatPr defaultColWidth="8.88671875" defaultRowHeight="12.75"/>
  <cols>
    <col min="1" max="1" width="2.99609375" style="38" customWidth="1"/>
    <col min="2" max="2" width="11.5546875" style="38" customWidth="1"/>
    <col min="3" max="3" width="2.5546875" style="38" customWidth="1"/>
    <col min="4" max="4" width="15.3359375" style="38" customWidth="1"/>
    <col min="5" max="5" width="2.99609375" style="38" customWidth="1"/>
    <col min="6" max="6" width="11.4453125" style="38" customWidth="1"/>
    <col min="7" max="7" width="1.99609375" style="38" customWidth="1"/>
    <col min="8" max="8" width="12.6640625" style="38" customWidth="1"/>
    <col min="9" max="9" width="1.4375" style="38" customWidth="1"/>
    <col min="10" max="10" width="8.88671875" style="38" customWidth="1"/>
    <col min="11" max="11" width="2.4453125" style="38" customWidth="1"/>
    <col min="12" max="16384" width="8.88671875" style="38" customWidth="1"/>
  </cols>
  <sheetData>
    <row r="1" spans="2:18" ht="15">
      <c r="B1" s="598" t="s">
        <v>369</v>
      </c>
      <c r="C1" s="598"/>
      <c r="D1" s="598"/>
      <c r="E1" s="598"/>
      <c r="F1" s="598"/>
      <c r="G1" s="598"/>
      <c r="H1" s="598"/>
      <c r="I1" s="598"/>
      <c r="J1" s="598"/>
      <c r="K1" s="598"/>
      <c r="L1" s="598"/>
      <c r="M1" s="301"/>
      <c r="N1" s="301"/>
      <c r="O1" s="301"/>
      <c r="P1" s="301"/>
      <c r="Q1" s="301"/>
      <c r="R1" s="301"/>
    </row>
    <row r="2" spans="13:18" ht="15">
      <c r="M2" s="301"/>
      <c r="N2" s="301"/>
      <c r="O2" s="301"/>
      <c r="P2" s="301"/>
      <c r="Q2" s="301"/>
      <c r="R2" s="301"/>
    </row>
    <row r="3" spans="2:18" ht="15">
      <c r="B3" s="599" t="s">
        <v>362</v>
      </c>
      <c r="C3" s="599"/>
      <c r="D3" s="599"/>
      <c r="E3" s="599"/>
      <c r="F3" s="599"/>
      <c r="G3" s="599"/>
      <c r="H3" s="599"/>
      <c r="I3" s="599"/>
      <c r="J3" s="599"/>
      <c r="K3" s="599"/>
      <c r="L3" s="599"/>
      <c r="M3" s="301"/>
      <c r="N3" s="301"/>
      <c r="O3" s="301"/>
      <c r="P3" s="301"/>
      <c r="Q3" s="301"/>
      <c r="R3" s="301"/>
    </row>
    <row r="4" spans="2:18" ht="15">
      <c r="B4" s="296"/>
      <c r="C4" s="296"/>
      <c r="D4" s="296"/>
      <c r="E4" s="296"/>
      <c r="F4" s="296"/>
      <c r="G4" s="296"/>
      <c r="H4" s="296"/>
      <c r="I4" s="296"/>
      <c r="J4" s="296"/>
      <c r="K4" s="296"/>
      <c r="L4" s="296"/>
      <c r="M4" s="301"/>
      <c r="N4" s="301"/>
      <c r="O4" s="301"/>
      <c r="P4" s="301"/>
      <c r="Q4" s="301"/>
      <c r="R4" s="301"/>
    </row>
    <row r="5" spans="2:18" ht="15">
      <c r="B5" s="296"/>
      <c r="C5" s="296"/>
      <c r="D5" s="296" t="s">
        <v>10</v>
      </c>
      <c r="E5" s="296"/>
      <c r="F5"/>
      <c r="G5" s="296"/>
      <c r="H5"/>
      <c r="I5"/>
      <c r="J5"/>
      <c r="K5" s="296"/>
      <c r="L5" s="296"/>
      <c r="M5" s="301"/>
      <c r="N5" s="301"/>
      <c r="O5" s="301"/>
      <c r="P5" s="301"/>
      <c r="Q5" s="301"/>
      <c r="R5" s="301"/>
    </row>
    <row r="6" spans="4:18" ht="15">
      <c r="D6" s="296" t="s">
        <v>11</v>
      </c>
      <c r="E6" s="296"/>
      <c r="F6" s="296" t="s">
        <v>419</v>
      </c>
      <c r="G6" s="296"/>
      <c r="H6" s="296" t="s">
        <v>12</v>
      </c>
      <c r="I6" s="296"/>
      <c r="J6" s="296"/>
      <c r="K6" s="296"/>
      <c r="L6" s="296"/>
      <c r="M6" s="298"/>
      <c r="N6" s="298"/>
      <c r="O6" s="298"/>
      <c r="P6" s="298"/>
      <c r="Q6" s="298"/>
      <c r="R6" s="298"/>
    </row>
    <row r="7" spans="2:18" ht="15">
      <c r="B7" s="299" t="s">
        <v>628</v>
      </c>
      <c r="D7" s="299" t="s">
        <v>13</v>
      </c>
      <c r="E7" s="296"/>
      <c r="F7" s="299" t="s">
        <v>629</v>
      </c>
      <c r="G7" s="296"/>
      <c r="H7" s="299" t="s">
        <v>629</v>
      </c>
      <c r="I7" s="384"/>
      <c r="J7" s="299" t="s">
        <v>14</v>
      </c>
      <c r="K7" s="296"/>
      <c r="L7" s="299" t="s">
        <v>417</v>
      </c>
      <c r="M7" s="298"/>
      <c r="N7" s="298"/>
      <c r="O7" s="298"/>
      <c r="P7" s="298"/>
      <c r="Q7" s="298"/>
      <c r="R7" s="298"/>
    </row>
    <row r="8" spans="2:18" ht="15">
      <c r="B8" s="404">
        <v>-1</v>
      </c>
      <c r="C8" s="404"/>
      <c r="D8" s="404">
        <v>-2</v>
      </c>
      <c r="E8" s="404"/>
      <c r="F8" s="404">
        <v>-3</v>
      </c>
      <c r="G8" s="404"/>
      <c r="H8" s="404">
        <v>-4</v>
      </c>
      <c r="I8" s="404"/>
      <c r="J8" s="404">
        <v>-5</v>
      </c>
      <c r="K8" s="404"/>
      <c r="L8" s="404">
        <v>-6</v>
      </c>
      <c r="M8" s="298"/>
      <c r="N8" s="298"/>
      <c r="O8" s="298"/>
      <c r="P8" s="298"/>
      <c r="Q8" s="298"/>
      <c r="R8" s="298"/>
    </row>
    <row r="9" spans="2:12" ht="15">
      <c r="B9" s="404"/>
      <c r="C9" s="404"/>
      <c r="D9" s="404"/>
      <c r="E9" s="404"/>
      <c r="F9" s="404"/>
      <c r="G9" s="404"/>
      <c r="H9" s="404"/>
      <c r="I9" s="404"/>
      <c r="J9" s="404"/>
      <c r="K9" s="404"/>
      <c r="L9" s="404"/>
    </row>
    <row r="10" spans="2:12" ht="15">
      <c r="B10" s="296">
        <v>2009</v>
      </c>
      <c r="C10" s="404"/>
      <c r="D10" s="405">
        <v>13904.565</v>
      </c>
      <c r="E10" s="404"/>
      <c r="F10" s="302">
        <f>+D10/365</f>
        <v>38.09469863013699</v>
      </c>
      <c r="G10" s="404"/>
      <c r="H10" s="302">
        <v>53.401</v>
      </c>
      <c r="I10" s="404"/>
      <c r="J10" s="406" t="s">
        <v>386</v>
      </c>
      <c r="K10" s="404"/>
      <c r="L10" s="302">
        <f>+H10/F10</f>
        <v>1.401796100776975</v>
      </c>
    </row>
    <row r="11" spans="2:12" ht="15">
      <c r="B11" s="404"/>
      <c r="C11" s="404"/>
      <c r="D11" s="404"/>
      <c r="E11" s="404"/>
      <c r="F11" s="404"/>
      <c r="G11" s="404"/>
      <c r="H11" s="404"/>
      <c r="I11" s="404"/>
      <c r="J11" s="404"/>
      <c r="K11" s="404"/>
      <c r="L11" s="404"/>
    </row>
    <row r="12" spans="2:12" ht="15">
      <c r="B12" s="296">
        <v>2008</v>
      </c>
      <c r="C12" s="404"/>
      <c r="D12" s="405">
        <v>15644.484</v>
      </c>
      <c r="E12" s="404"/>
      <c r="F12" s="302">
        <f>+D12/365</f>
        <v>42.8616</v>
      </c>
      <c r="G12" s="404"/>
      <c r="H12" s="302">
        <v>63.085</v>
      </c>
      <c r="I12" s="404"/>
      <c r="J12" s="406" t="s">
        <v>15</v>
      </c>
      <c r="K12" s="404"/>
      <c r="L12" s="302">
        <f>+H12/F12</f>
        <v>1.4718302629859827</v>
      </c>
    </row>
    <row r="13" spans="2:12" ht="15">
      <c r="B13" s="404"/>
      <c r="C13" s="404"/>
      <c r="D13" s="404"/>
      <c r="E13" s="404"/>
      <c r="F13" s="404"/>
      <c r="G13" s="404"/>
      <c r="H13" s="404"/>
      <c r="I13" s="404"/>
      <c r="J13" s="404"/>
      <c r="K13" s="404"/>
      <c r="L13" s="404"/>
    </row>
    <row r="14" spans="2:12" ht="15">
      <c r="B14" s="296">
        <v>2007</v>
      </c>
      <c r="C14" s="404"/>
      <c r="D14" s="405">
        <v>15734.453</v>
      </c>
      <c r="E14" s="404"/>
      <c r="F14" s="302">
        <f>+D14/365</f>
        <v>43.1080904109589</v>
      </c>
      <c r="G14" s="404"/>
      <c r="H14" s="302">
        <v>64.299</v>
      </c>
      <c r="I14" s="404"/>
      <c r="J14" s="300" t="s">
        <v>16</v>
      </c>
      <c r="K14" s="404"/>
      <c r="L14" s="302">
        <f>+H14/F14</f>
        <v>1.4915761609253275</v>
      </c>
    </row>
    <row r="15" spans="2:12" ht="15">
      <c r="B15" s="404"/>
      <c r="C15" s="404"/>
      <c r="D15" s="404"/>
      <c r="E15" s="404"/>
      <c r="F15" s="404"/>
      <c r="G15" s="404"/>
      <c r="H15" s="404"/>
      <c r="I15" s="404"/>
      <c r="J15" s="404"/>
      <c r="K15" s="404"/>
      <c r="L15" s="404"/>
    </row>
    <row r="16" spans="2:12" ht="15">
      <c r="B16" s="296">
        <v>2006</v>
      </c>
      <c r="D16" s="287">
        <v>15619</v>
      </c>
      <c r="F16" s="302">
        <f>+D16/365</f>
        <v>42.79178082191781</v>
      </c>
      <c r="H16" s="38">
        <v>67.22</v>
      </c>
      <c r="J16" s="300" t="s">
        <v>17</v>
      </c>
      <c r="L16" s="302">
        <f>+H16/F16</f>
        <v>1.5708624111658875</v>
      </c>
    </row>
    <row r="17" spans="2:12" ht="15">
      <c r="B17" s="404"/>
      <c r="C17" s="404"/>
      <c r="D17" s="404"/>
      <c r="E17" s="404"/>
      <c r="F17" s="404"/>
      <c r="G17" s="404"/>
      <c r="H17" s="404"/>
      <c r="I17" s="404"/>
      <c r="J17" s="404"/>
      <c r="K17" s="404"/>
      <c r="L17" s="404"/>
    </row>
    <row r="18" spans="2:12" ht="15">
      <c r="B18" s="296">
        <v>2005</v>
      </c>
      <c r="D18" s="287">
        <v>16068</v>
      </c>
      <c r="F18" s="302">
        <f>+D18/365</f>
        <v>44.02191780821918</v>
      </c>
      <c r="H18" s="38">
        <v>69.65</v>
      </c>
      <c r="J18" s="300" t="s">
        <v>18</v>
      </c>
      <c r="L18" s="302">
        <f>+H18/F18</f>
        <v>1.5821664177246701</v>
      </c>
    </row>
    <row r="19" spans="2:12" ht="15">
      <c r="B19" s="404"/>
      <c r="C19" s="404"/>
      <c r="D19" s="404"/>
      <c r="E19" s="404"/>
      <c r="F19" s="404"/>
      <c r="G19" s="404"/>
      <c r="H19" s="404"/>
      <c r="I19" s="404"/>
      <c r="J19" s="404"/>
      <c r="K19" s="404"/>
      <c r="L19" s="404"/>
    </row>
    <row r="20" spans="2:12" ht="15">
      <c r="B20" s="296">
        <v>2004</v>
      </c>
      <c r="D20" s="287">
        <v>14931</v>
      </c>
      <c r="F20" s="302">
        <f>+D20/365</f>
        <v>40.90684931506849</v>
      </c>
      <c r="H20" s="38">
        <v>56.89</v>
      </c>
      <c r="J20" s="406" t="s">
        <v>19</v>
      </c>
      <c r="L20" s="302">
        <f>+H20/F20</f>
        <v>1.3907206483155852</v>
      </c>
    </row>
    <row r="22" spans="2:12" ht="15">
      <c r="B22" s="296">
        <v>2003</v>
      </c>
      <c r="D22" s="287">
        <v>15005</v>
      </c>
      <c r="F22" s="302">
        <f>+D22/365</f>
        <v>41.10958904109589</v>
      </c>
      <c r="H22" s="38">
        <v>61.37</v>
      </c>
      <c r="J22" s="300" t="s">
        <v>20</v>
      </c>
      <c r="L22" s="302">
        <f>+H22/F22</f>
        <v>1.4928390536487839</v>
      </c>
    </row>
    <row r="23" spans="2:12" ht="15">
      <c r="B23" s="296"/>
      <c r="D23" s="287"/>
      <c r="F23" s="302"/>
      <c r="L23" s="302"/>
    </row>
    <row r="24" spans="2:12" ht="15">
      <c r="B24" s="296">
        <v>2002</v>
      </c>
      <c r="D24" s="287">
        <v>15956</v>
      </c>
      <c r="F24" s="302">
        <f aca="true" t="shared" si="0" ref="F24:F48">+D24/365</f>
        <v>43.71506849315068</v>
      </c>
      <c r="H24" s="38">
        <v>71.82</v>
      </c>
      <c r="J24" s="300" t="s">
        <v>21</v>
      </c>
      <c r="L24" s="302">
        <f aca="true" t="shared" si="1" ref="L24:L48">+H24/F24</f>
        <v>1.6429117573326648</v>
      </c>
    </row>
    <row r="25" spans="2:12" ht="15">
      <c r="B25" s="296"/>
      <c r="D25" s="287"/>
      <c r="F25" s="302"/>
      <c r="J25" s="296"/>
      <c r="L25" s="302"/>
    </row>
    <row r="26" spans="2:12" ht="15">
      <c r="B26" s="296">
        <v>2001</v>
      </c>
      <c r="D26" s="287">
        <v>14962</v>
      </c>
      <c r="F26" s="302">
        <f t="shared" si="0"/>
        <v>40.99178082191781</v>
      </c>
      <c r="H26" s="38">
        <v>56.04</v>
      </c>
      <c r="J26" s="300" t="s">
        <v>22</v>
      </c>
      <c r="L26" s="302">
        <f t="shared" si="1"/>
        <v>1.3671033284320278</v>
      </c>
    </row>
    <row r="27" spans="2:12" ht="15">
      <c r="B27" s="296"/>
      <c r="D27" s="287"/>
      <c r="F27" s="302"/>
      <c r="J27" s="296"/>
      <c r="L27" s="302"/>
    </row>
    <row r="28" spans="2:12" ht="15">
      <c r="B28" s="296">
        <v>2000</v>
      </c>
      <c r="D28" s="287">
        <v>14565</v>
      </c>
      <c r="F28" s="302">
        <f t="shared" si="0"/>
        <v>39.9041095890411</v>
      </c>
      <c r="H28" s="38">
        <v>66.37</v>
      </c>
      <c r="J28" s="300" t="s">
        <v>23</v>
      </c>
      <c r="L28" s="302">
        <f t="shared" si="1"/>
        <v>1.6632372124957089</v>
      </c>
    </row>
    <row r="29" spans="2:12" ht="15">
      <c r="B29" s="296"/>
      <c r="D29" s="236"/>
      <c r="F29" s="302"/>
      <c r="J29" s="296"/>
      <c r="L29" s="302"/>
    </row>
    <row r="30" spans="2:12" ht="15">
      <c r="B30" s="296">
        <v>1999</v>
      </c>
      <c r="D30" s="287">
        <v>15077</v>
      </c>
      <c r="F30" s="302">
        <f t="shared" si="0"/>
        <v>41.30684931506849</v>
      </c>
      <c r="H30" s="38">
        <v>61.18</v>
      </c>
      <c r="J30" s="300" t="s">
        <v>24</v>
      </c>
      <c r="L30" s="302">
        <f t="shared" si="1"/>
        <v>1.481110300457651</v>
      </c>
    </row>
    <row r="31" spans="2:12" ht="15">
      <c r="B31" s="296"/>
      <c r="D31" s="287"/>
      <c r="F31" s="302"/>
      <c r="J31" s="296"/>
      <c r="L31" s="302"/>
    </row>
    <row r="32" spans="2:12" ht="15">
      <c r="B32" s="296">
        <v>1998</v>
      </c>
      <c r="D32" s="287">
        <v>14799</v>
      </c>
      <c r="F32" s="302">
        <f t="shared" si="0"/>
        <v>40.54520547945206</v>
      </c>
      <c r="H32" s="38">
        <v>64.67</v>
      </c>
      <c r="J32" s="300" t="s">
        <v>25</v>
      </c>
      <c r="L32" s="302">
        <f t="shared" si="1"/>
        <v>1.5950097979593214</v>
      </c>
    </row>
    <row r="33" spans="2:12" ht="15">
      <c r="B33" s="296"/>
      <c r="D33" s="287"/>
      <c r="F33" s="302"/>
      <c r="J33" s="296"/>
      <c r="L33" s="302"/>
    </row>
    <row r="34" spans="2:12" ht="15">
      <c r="B34" s="296">
        <v>1997</v>
      </c>
      <c r="D34" s="287">
        <v>14419</v>
      </c>
      <c r="F34" s="302">
        <f t="shared" si="0"/>
        <v>39.50410958904109</v>
      </c>
      <c r="H34" s="302">
        <v>60.7</v>
      </c>
      <c r="I34" s="302"/>
      <c r="J34" s="407" t="s">
        <v>26</v>
      </c>
      <c r="L34" s="302">
        <f t="shared" si="1"/>
        <v>1.536548997850059</v>
      </c>
    </row>
    <row r="35" spans="2:12" ht="15">
      <c r="B35" s="296"/>
      <c r="D35" s="287"/>
      <c r="F35" s="302"/>
      <c r="J35" s="296"/>
      <c r="L35" s="302"/>
    </row>
    <row r="36" spans="2:12" ht="15">
      <c r="B36" s="296">
        <v>1996</v>
      </c>
      <c r="D36" s="287">
        <v>14265</v>
      </c>
      <c r="F36" s="302">
        <f t="shared" si="0"/>
        <v>39.082191780821915</v>
      </c>
      <c r="H36" s="302">
        <v>53.7</v>
      </c>
      <c r="I36" s="302"/>
      <c r="J36" s="407" t="s">
        <v>27</v>
      </c>
      <c r="L36" s="302">
        <f t="shared" si="1"/>
        <v>1.3740273396424818</v>
      </c>
    </row>
    <row r="37" spans="2:12" ht="15">
      <c r="B37" s="296"/>
      <c r="D37" s="287"/>
      <c r="F37" s="302"/>
      <c r="J37" s="296"/>
      <c r="L37" s="302"/>
    </row>
    <row r="38" spans="2:12" ht="15">
      <c r="B38" s="296">
        <v>1995</v>
      </c>
      <c r="D38" s="287">
        <v>14549</v>
      </c>
      <c r="F38" s="302">
        <f t="shared" si="0"/>
        <v>39.86027397260274</v>
      </c>
      <c r="H38" s="38">
        <v>63.77</v>
      </c>
      <c r="J38" s="300" t="s">
        <v>28</v>
      </c>
      <c r="L38" s="302">
        <f t="shared" si="1"/>
        <v>1.5998384768712626</v>
      </c>
    </row>
    <row r="39" spans="2:12" ht="15">
      <c r="B39" s="296"/>
      <c r="D39" s="287"/>
      <c r="F39" s="302"/>
      <c r="H39"/>
      <c r="I39"/>
      <c r="J39" s="146"/>
      <c r="L39" s="302"/>
    </row>
    <row r="40" spans="2:12" ht="15">
      <c r="B40" s="296">
        <v>1994</v>
      </c>
      <c r="D40" s="287">
        <v>14471</v>
      </c>
      <c r="F40" s="302">
        <f t="shared" si="0"/>
        <v>39.64657534246575</v>
      </c>
      <c r="H40" s="38">
        <v>58.36</v>
      </c>
      <c r="J40" s="300" t="s">
        <v>29</v>
      </c>
      <c r="L40" s="302">
        <f t="shared" si="1"/>
        <v>1.4720060811277729</v>
      </c>
    </row>
    <row r="41" spans="2:12" ht="15">
      <c r="B41" s="296"/>
      <c r="D41" s="287"/>
      <c r="F41" s="302"/>
      <c r="H41"/>
      <c r="I41"/>
      <c r="J41" s="146"/>
      <c r="L41" s="302"/>
    </row>
    <row r="42" spans="2:12" ht="15">
      <c r="B42" s="296">
        <v>1993</v>
      </c>
      <c r="D42" s="287">
        <v>14290</v>
      </c>
      <c r="F42" s="302">
        <f t="shared" si="0"/>
        <v>39.15068493150685</v>
      </c>
      <c r="H42" s="38">
        <v>60.39</v>
      </c>
      <c r="J42" s="300" t="s">
        <v>20</v>
      </c>
      <c r="L42" s="302">
        <f t="shared" si="1"/>
        <v>1.5425017494751574</v>
      </c>
    </row>
    <row r="43" spans="2:12" ht="15">
      <c r="B43" s="296"/>
      <c r="D43" s="287"/>
      <c r="F43" s="302"/>
      <c r="H43"/>
      <c r="I43"/>
      <c r="J43" s="146"/>
      <c r="L43" s="302"/>
    </row>
    <row r="44" spans="2:12" ht="15">
      <c r="B44" s="296">
        <v>1992</v>
      </c>
      <c r="D44" s="287">
        <v>13303</v>
      </c>
      <c r="F44" s="302">
        <f t="shared" si="0"/>
        <v>36.446575342465756</v>
      </c>
      <c r="H44" s="38">
        <v>47.22</v>
      </c>
      <c r="J44" s="300" t="s">
        <v>30</v>
      </c>
      <c r="L44" s="302">
        <f t="shared" si="1"/>
        <v>1.2955949785762608</v>
      </c>
    </row>
    <row r="45" spans="2:12" ht="15">
      <c r="B45" s="296"/>
      <c r="D45" s="287"/>
      <c r="F45" s="302"/>
      <c r="H45"/>
      <c r="I45"/>
      <c r="J45" s="146"/>
      <c r="L45" s="302"/>
    </row>
    <row r="46" spans="2:12" ht="15">
      <c r="B46" s="296">
        <v>1991</v>
      </c>
      <c r="D46" s="287">
        <v>13450</v>
      </c>
      <c r="F46" s="302">
        <f t="shared" si="0"/>
        <v>36.84931506849315</v>
      </c>
      <c r="H46" s="38">
        <v>56.42</v>
      </c>
      <c r="J46" s="300" t="s">
        <v>17</v>
      </c>
      <c r="L46" s="302">
        <f t="shared" si="1"/>
        <v>1.531100371747212</v>
      </c>
    </row>
    <row r="47" spans="2:12" ht="15">
      <c r="B47" s="296"/>
      <c r="D47" s="287"/>
      <c r="F47" s="302"/>
      <c r="H47"/>
      <c r="I47"/>
      <c r="J47" s="146"/>
      <c r="L47" s="302"/>
    </row>
    <row r="48" spans="2:12" ht="15">
      <c r="B48" s="296">
        <v>1990</v>
      </c>
      <c r="D48" s="287">
        <v>12557</v>
      </c>
      <c r="F48" s="302">
        <f t="shared" si="0"/>
        <v>34.4027397260274</v>
      </c>
      <c r="H48" s="38">
        <v>58.05</v>
      </c>
      <c r="J48" s="300" t="s">
        <v>31</v>
      </c>
      <c r="L48" s="302">
        <f t="shared" si="1"/>
        <v>1.6873656128056063</v>
      </c>
    </row>
  </sheetData>
  <mergeCells count="2">
    <mergeCell ref="B1:L1"/>
    <mergeCell ref="B3:L3"/>
  </mergeCells>
  <printOptions/>
  <pageMargins left="0.75" right="0.75" top="1" bottom="1" header="0.5" footer="0.5"/>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IV39"/>
  <sheetViews>
    <sheetView workbookViewId="0" topLeftCell="A1">
      <selection activeCell="C1" sqref="C1"/>
    </sheetView>
  </sheetViews>
  <sheetFormatPr defaultColWidth="8.88671875" defaultRowHeight="12.75"/>
  <cols>
    <col min="1" max="2" width="3.77734375" style="137" customWidth="1"/>
    <col min="3" max="3" width="7.3359375" style="137" customWidth="1"/>
    <col min="4" max="6" width="2.10546875" style="137" customWidth="1"/>
    <col min="7" max="7" width="11.4453125" style="137" customWidth="1"/>
    <col min="8" max="8" width="2.77734375" style="137" customWidth="1"/>
    <col min="9" max="9" width="8.77734375" style="137" customWidth="1"/>
    <col min="10" max="10" width="2.77734375" style="137" customWidth="1"/>
    <col min="11" max="11" width="7.77734375" style="137" customWidth="1"/>
    <col min="12" max="12" width="2.77734375" style="137" customWidth="1"/>
    <col min="13" max="13" width="9.77734375" style="137" customWidth="1"/>
    <col min="14" max="14" width="2.77734375" style="137" customWidth="1"/>
    <col min="15" max="16" width="9.77734375" style="137" customWidth="1"/>
    <col min="17" max="16384" width="8.77734375" style="137" customWidth="1"/>
  </cols>
  <sheetData>
    <row r="1" spans="1:16" ht="15">
      <c r="A1" s="198"/>
      <c r="B1" s="198"/>
      <c r="C1" s="233" t="s">
        <v>8</v>
      </c>
      <c r="D1" s="197"/>
      <c r="E1" s="197"/>
      <c r="F1" s="197"/>
      <c r="G1" s="197"/>
      <c r="H1" s="197"/>
      <c r="I1" s="197"/>
      <c r="J1" s="197"/>
      <c r="K1" s="197"/>
      <c r="L1" s="197"/>
      <c r="M1" s="197"/>
      <c r="N1" s="197"/>
      <c r="O1" s="197"/>
      <c r="P1" s="199"/>
    </row>
    <row r="2" spans="2:256" ht="15">
      <c r="B2" s="350"/>
      <c r="C2" s="233"/>
      <c r="D2" s="197"/>
      <c r="E2" s="197"/>
      <c r="F2" s="197"/>
      <c r="G2" s="197"/>
      <c r="H2" s="197"/>
      <c r="I2" s="197"/>
      <c r="J2" s="197"/>
      <c r="K2" s="197"/>
      <c r="L2" s="197"/>
      <c r="M2" s="197"/>
      <c r="N2" s="197"/>
      <c r="O2" s="197"/>
      <c r="P2" s="199"/>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c r="CC2" s="350"/>
      <c r="CD2" s="350"/>
      <c r="CE2" s="350"/>
      <c r="CF2" s="350"/>
      <c r="CG2" s="350"/>
      <c r="CH2" s="350"/>
      <c r="CI2" s="350"/>
      <c r="CJ2" s="350"/>
      <c r="CK2" s="350"/>
      <c r="CL2" s="350"/>
      <c r="CM2" s="350"/>
      <c r="CN2" s="350"/>
      <c r="CO2" s="350"/>
      <c r="CP2" s="350"/>
      <c r="CQ2" s="350"/>
      <c r="CR2" s="350"/>
      <c r="CS2" s="350"/>
      <c r="CT2" s="350"/>
      <c r="CU2" s="350"/>
      <c r="CV2" s="350"/>
      <c r="CW2" s="350"/>
      <c r="CX2" s="350"/>
      <c r="CY2" s="350"/>
      <c r="CZ2" s="350"/>
      <c r="DA2" s="350"/>
      <c r="DB2" s="350"/>
      <c r="DC2" s="350"/>
      <c r="DD2" s="350"/>
      <c r="DE2" s="350"/>
      <c r="DF2" s="350"/>
      <c r="DG2" s="350"/>
      <c r="DH2" s="350"/>
      <c r="DI2" s="350"/>
      <c r="DJ2" s="350"/>
      <c r="DK2" s="350"/>
      <c r="DL2" s="350"/>
      <c r="DM2" s="350"/>
      <c r="DN2" s="350"/>
      <c r="DO2" s="350"/>
      <c r="DP2" s="350"/>
      <c r="DQ2" s="350"/>
      <c r="DR2" s="350"/>
      <c r="DS2" s="350"/>
      <c r="DT2" s="350"/>
      <c r="DU2" s="350"/>
      <c r="DV2" s="350"/>
      <c r="DW2" s="350"/>
      <c r="DX2" s="350"/>
      <c r="DY2" s="350"/>
      <c r="DZ2" s="350"/>
      <c r="EA2" s="350"/>
      <c r="EB2" s="350"/>
      <c r="EC2" s="350"/>
      <c r="ED2" s="350"/>
      <c r="EE2" s="350"/>
      <c r="EF2" s="350"/>
      <c r="EG2" s="350"/>
      <c r="EH2" s="350"/>
      <c r="EI2" s="350"/>
      <c r="EJ2" s="350"/>
      <c r="EK2" s="350"/>
      <c r="EL2" s="350"/>
      <c r="EM2" s="350"/>
      <c r="EN2" s="350"/>
      <c r="EO2" s="350"/>
      <c r="EP2" s="350"/>
      <c r="EQ2" s="350"/>
      <c r="ER2" s="350"/>
      <c r="ES2" s="350"/>
      <c r="ET2" s="350"/>
      <c r="EU2" s="350"/>
      <c r="EV2" s="350"/>
      <c r="EW2" s="350"/>
      <c r="EX2" s="350"/>
      <c r="EY2" s="350"/>
      <c r="EZ2" s="350"/>
      <c r="FA2" s="350"/>
      <c r="FB2" s="350"/>
      <c r="FC2" s="350"/>
      <c r="FD2" s="350"/>
      <c r="FE2" s="350"/>
      <c r="FF2" s="350"/>
      <c r="FG2" s="350"/>
      <c r="FH2" s="350"/>
      <c r="FI2" s="350"/>
      <c r="FJ2" s="350"/>
      <c r="FK2" s="350"/>
      <c r="FL2" s="350"/>
      <c r="FM2" s="350"/>
      <c r="FN2" s="350"/>
      <c r="FO2" s="350"/>
      <c r="FP2" s="350"/>
      <c r="FQ2" s="350"/>
      <c r="FR2" s="350"/>
      <c r="FS2" s="350"/>
      <c r="FT2" s="350"/>
      <c r="FU2" s="350"/>
      <c r="FV2" s="350"/>
      <c r="FW2" s="350"/>
      <c r="FX2" s="350"/>
      <c r="FY2" s="350"/>
      <c r="FZ2" s="350"/>
      <c r="GA2" s="350"/>
      <c r="GB2" s="350"/>
      <c r="GC2" s="350"/>
      <c r="GD2" s="350"/>
      <c r="GE2" s="350"/>
      <c r="GF2" s="350"/>
      <c r="GG2" s="350"/>
      <c r="GH2" s="350"/>
      <c r="GI2" s="350"/>
      <c r="GJ2" s="350"/>
      <c r="GK2" s="350"/>
      <c r="GL2" s="350"/>
      <c r="GM2" s="350"/>
      <c r="GN2" s="350"/>
      <c r="GO2" s="350"/>
      <c r="GP2" s="350"/>
      <c r="GQ2" s="350"/>
      <c r="GR2" s="350"/>
      <c r="GS2" s="350"/>
      <c r="GT2" s="350"/>
      <c r="GU2" s="350"/>
      <c r="GV2" s="350"/>
      <c r="GW2" s="350"/>
      <c r="GX2" s="350"/>
      <c r="GY2" s="350"/>
      <c r="GZ2" s="350"/>
      <c r="HA2" s="350"/>
      <c r="HB2" s="350"/>
      <c r="HC2" s="350"/>
      <c r="HD2" s="350"/>
      <c r="HE2" s="350"/>
      <c r="HF2" s="350"/>
      <c r="HG2" s="350"/>
      <c r="HH2" s="350"/>
      <c r="HI2" s="350"/>
      <c r="HJ2" s="350"/>
      <c r="HK2" s="350"/>
      <c r="HL2" s="350"/>
      <c r="HM2" s="350"/>
      <c r="HN2" s="350"/>
      <c r="HO2" s="350"/>
      <c r="HP2" s="350"/>
      <c r="HQ2" s="350"/>
      <c r="HR2" s="350"/>
      <c r="HS2" s="350"/>
      <c r="HT2" s="350"/>
      <c r="HU2" s="350"/>
      <c r="HV2" s="350"/>
      <c r="HW2" s="350"/>
      <c r="HX2" s="350"/>
      <c r="HY2" s="350"/>
      <c r="HZ2" s="350"/>
      <c r="IA2" s="350"/>
      <c r="IB2" s="350"/>
      <c r="IC2" s="350"/>
      <c r="ID2" s="350"/>
      <c r="IE2" s="350"/>
      <c r="IF2" s="350"/>
      <c r="IG2" s="350"/>
      <c r="IH2" s="350"/>
      <c r="II2" s="350"/>
      <c r="IJ2" s="350"/>
      <c r="IK2" s="350"/>
      <c r="IL2" s="350"/>
      <c r="IM2" s="350"/>
      <c r="IN2" s="350"/>
      <c r="IO2" s="350"/>
      <c r="IP2" s="350"/>
      <c r="IQ2" s="350"/>
      <c r="IR2" s="350"/>
      <c r="IS2" s="350"/>
      <c r="IT2" s="350"/>
      <c r="IU2" s="350"/>
      <c r="IV2" s="350"/>
    </row>
    <row r="3" spans="1:16" ht="12.75">
      <c r="A3" s="198"/>
      <c r="B3" s="198"/>
      <c r="C3" s="197" t="s">
        <v>370</v>
      </c>
      <c r="D3" s="197"/>
      <c r="E3" s="197"/>
      <c r="F3" s="197"/>
      <c r="G3" s="197"/>
      <c r="H3" s="197"/>
      <c r="I3" s="197"/>
      <c r="J3" s="197"/>
      <c r="K3" s="197"/>
      <c r="L3" s="197"/>
      <c r="M3" s="197"/>
      <c r="N3" s="197"/>
      <c r="O3" s="197"/>
      <c r="P3" s="199"/>
    </row>
    <row r="4" spans="1:16" ht="12.75">
      <c r="A4" s="198"/>
      <c r="B4" s="198"/>
      <c r="C4" s="197" t="s">
        <v>580</v>
      </c>
      <c r="D4" s="197"/>
      <c r="E4" s="197"/>
      <c r="F4" s="197"/>
      <c r="G4" s="197"/>
      <c r="H4" s="197"/>
      <c r="I4" s="197"/>
      <c r="J4" s="197"/>
      <c r="K4" s="197"/>
      <c r="L4" s="197"/>
      <c r="M4" s="197"/>
      <c r="N4" s="197"/>
      <c r="O4" s="197"/>
      <c r="P4" s="199"/>
    </row>
    <row r="5" spans="1:16" ht="12.75">
      <c r="A5" s="198"/>
      <c r="B5" s="198"/>
      <c r="C5" s="197" t="s">
        <v>363</v>
      </c>
      <c r="D5" s="197"/>
      <c r="E5" s="197"/>
      <c r="F5" s="197"/>
      <c r="G5" s="197"/>
      <c r="H5" s="197"/>
      <c r="I5" s="197"/>
      <c r="J5" s="197"/>
      <c r="K5" s="197"/>
      <c r="L5" s="197"/>
      <c r="M5" s="197"/>
      <c r="N5" s="197"/>
      <c r="O5" s="197"/>
      <c r="P5" s="199"/>
    </row>
    <row r="6" spans="1:16" ht="12.75">
      <c r="A6" s="198"/>
      <c r="B6" s="198"/>
      <c r="C6" s="199"/>
      <c r="D6" s="199"/>
      <c r="E6" s="199"/>
      <c r="F6" s="199"/>
      <c r="G6" s="199"/>
      <c r="H6" s="199"/>
      <c r="I6" s="199"/>
      <c r="J6" s="199"/>
      <c r="K6" s="199"/>
      <c r="L6" s="199"/>
      <c r="M6" s="199"/>
      <c r="N6" s="199"/>
      <c r="O6" s="199"/>
      <c r="P6" s="199"/>
    </row>
    <row r="7" spans="1:16" ht="12.75">
      <c r="A7" s="198"/>
      <c r="B7" s="198"/>
      <c r="C7" s="199"/>
      <c r="D7" s="199"/>
      <c r="E7" s="199"/>
      <c r="F7" s="199"/>
      <c r="G7" s="199"/>
      <c r="H7" s="199"/>
      <c r="I7" s="200" t="s">
        <v>581</v>
      </c>
      <c r="J7" s="199"/>
      <c r="K7" s="199"/>
      <c r="L7" s="199"/>
      <c r="M7" s="199"/>
      <c r="N7" s="199"/>
      <c r="O7" s="199"/>
      <c r="P7" s="199"/>
    </row>
    <row r="8" spans="1:16" ht="12.75">
      <c r="A8" s="198"/>
      <c r="B8" s="198"/>
      <c r="C8" s="199"/>
      <c r="D8" s="199"/>
      <c r="E8" s="199"/>
      <c r="F8" s="199"/>
      <c r="G8" s="199"/>
      <c r="H8" s="199"/>
      <c r="I8" s="200" t="s">
        <v>582</v>
      </c>
      <c r="J8" s="199"/>
      <c r="K8" s="199"/>
      <c r="L8" s="199"/>
      <c r="M8" s="200" t="s">
        <v>583</v>
      </c>
      <c r="N8" s="199"/>
      <c r="O8" s="200" t="s">
        <v>377</v>
      </c>
      <c r="P8" s="199"/>
    </row>
    <row r="9" spans="1:16" ht="12.75">
      <c r="A9" s="198"/>
      <c r="B9" s="198"/>
      <c r="C9" s="197" t="s">
        <v>584</v>
      </c>
      <c r="D9" s="197"/>
      <c r="E9" s="197"/>
      <c r="F9" s="197"/>
      <c r="G9" s="197"/>
      <c r="H9" s="199"/>
      <c r="I9" s="200" t="s">
        <v>585</v>
      </c>
      <c r="J9" s="199"/>
      <c r="K9" s="200" t="s">
        <v>586</v>
      </c>
      <c r="L9" s="199"/>
      <c r="M9" s="200" t="s">
        <v>116</v>
      </c>
      <c r="N9" s="199"/>
      <c r="O9" s="200" t="s">
        <v>379</v>
      </c>
      <c r="P9" s="199"/>
    </row>
    <row r="10" spans="1:16" ht="12.75">
      <c r="A10" s="198"/>
      <c r="B10" s="198"/>
      <c r="C10" s="201" t="s">
        <v>380</v>
      </c>
      <c r="D10" s="201"/>
      <c r="E10" s="201"/>
      <c r="F10" s="201"/>
      <c r="G10" s="201"/>
      <c r="H10" s="199"/>
      <c r="I10" s="202" t="s">
        <v>400</v>
      </c>
      <c r="J10" s="200"/>
      <c r="K10" s="202" t="s">
        <v>382</v>
      </c>
      <c r="L10" s="199"/>
      <c r="M10" s="202" t="s">
        <v>413</v>
      </c>
      <c r="N10" s="199"/>
      <c r="O10" s="202" t="s">
        <v>414</v>
      </c>
      <c r="P10" s="199"/>
    </row>
    <row r="11" spans="1:16" ht="15.75" customHeight="1">
      <c r="A11" s="198"/>
      <c r="B11" s="198"/>
      <c r="C11" s="199"/>
      <c r="D11" s="199"/>
      <c r="E11" s="199"/>
      <c r="F11" s="199"/>
      <c r="G11" s="199"/>
      <c r="H11" s="199"/>
      <c r="I11" s="199"/>
      <c r="J11" s="199"/>
      <c r="K11" s="199"/>
      <c r="L11" s="199"/>
      <c r="M11" s="199"/>
      <c r="N11" s="199"/>
      <c r="O11" s="199"/>
      <c r="P11" s="199"/>
    </row>
    <row r="12" spans="1:16" ht="12.75">
      <c r="A12" s="198"/>
      <c r="B12" s="198"/>
      <c r="C12" s="203" t="s">
        <v>587</v>
      </c>
      <c r="D12" s="199"/>
      <c r="E12" s="199"/>
      <c r="F12" s="199"/>
      <c r="G12" s="199"/>
      <c r="H12" s="199"/>
      <c r="I12" s="199"/>
      <c r="J12" s="199"/>
      <c r="K12" s="199"/>
      <c r="L12" s="199"/>
      <c r="M12" s="199"/>
      <c r="N12" s="199"/>
      <c r="O12" s="199"/>
      <c r="P12" s="199"/>
    </row>
    <row r="13" spans="1:16" ht="13.5" customHeight="1">
      <c r="A13" s="198"/>
      <c r="B13" s="198"/>
      <c r="C13" s="203"/>
      <c r="D13" s="199"/>
      <c r="E13" s="199"/>
      <c r="F13" s="199"/>
      <c r="G13" s="199"/>
      <c r="H13" s="199"/>
      <c r="I13" s="199"/>
      <c r="J13" s="199"/>
      <c r="K13" s="199"/>
      <c r="L13" s="199"/>
      <c r="M13" s="199"/>
      <c r="N13" s="199"/>
      <c r="O13" s="199"/>
      <c r="P13" s="199"/>
    </row>
    <row r="14" spans="1:16" ht="12.75">
      <c r="A14" s="198"/>
      <c r="B14" s="198"/>
      <c r="C14" s="600" t="s">
        <v>588</v>
      </c>
      <c r="D14" s="600"/>
      <c r="E14" s="600"/>
      <c r="F14" s="199"/>
      <c r="G14" s="199"/>
      <c r="H14" s="199"/>
      <c r="I14" s="182"/>
      <c r="J14" s="199"/>
      <c r="K14" s="199"/>
      <c r="L14" s="199"/>
      <c r="M14" s="199"/>
      <c r="N14" s="199"/>
      <c r="O14" s="199"/>
      <c r="P14" s="199"/>
    </row>
    <row r="15" spans="1:16" ht="12.75">
      <c r="A15" s="198"/>
      <c r="B15" s="198"/>
      <c r="C15" s="206">
        <v>2</v>
      </c>
      <c r="D15" s="204" t="s">
        <v>589</v>
      </c>
      <c r="E15" s="204"/>
      <c r="F15" s="199"/>
      <c r="G15" s="199"/>
      <c r="H15" s="199"/>
      <c r="I15" s="182">
        <f>+C15^2</f>
        <v>4</v>
      </c>
      <c r="J15" s="199"/>
      <c r="K15" s="455">
        <v>65</v>
      </c>
      <c r="L15" s="199"/>
      <c r="M15" s="454">
        <f>ROUND((+I15*K15*1.5),0)</f>
        <v>390</v>
      </c>
      <c r="N15" s="199"/>
      <c r="O15" s="199"/>
      <c r="P15" s="156"/>
    </row>
    <row r="16" spans="1:16" ht="12.75">
      <c r="A16" s="198"/>
      <c r="B16" s="198"/>
      <c r="C16" s="207">
        <v>3</v>
      </c>
      <c r="D16" s="199" t="s">
        <v>589</v>
      </c>
      <c r="E16" s="199"/>
      <c r="F16" s="199"/>
      <c r="G16" s="199"/>
      <c r="H16" s="199"/>
      <c r="I16" s="182">
        <f aca="true" t="shared" si="0" ref="I16:I23">+C16^2</f>
        <v>9</v>
      </c>
      <c r="J16" s="199"/>
      <c r="K16" s="455">
        <v>0</v>
      </c>
      <c r="L16" s="199"/>
      <c r="M16" s="454">
        <f aca="true" t="shared" si="1" ref="M16:M24">ROUND((+I16*K16*1.5),0)</f>
        <v>0</v>
      </c>
      <c r="N16" s="199"/>
      <c r="O16" s="199"/>
      <c r="P16" s="156"/>
    </row>
    <row r="17" spans="1:16" ht="12.75">
      <c r="A17" s="198"/>
      <c r="B17" s="198"/>
      <c r="C17" s="207">
        <v>4</v>
      </c>
      <c r="D17" s="199" t="s">
        <v>589</v>
      </c>
      <c r="E17" s="199"/>
      <c r="F17" s="199"/>
      <c r="G17" s="199"/>
      <c r="H17" s="199"/>
      <c r="I17" s="182">
        <f t="shared" si="0"/>
        <v>16</v>
      </c>
      <c r="J17" s="199"/>
      <c r="K17" s="455">
        <v>372.38461538461536</v>
      </c>
      <c r="L17" s="199"/>
      <c r="M17" s="454">
        <f t="shared" si="1"/>
        <v>8937</v>
      </c>
      <c r="N17" s="199"/>
      <c r="O17" s="199"/>
      <c r="P17" s="156"/>
    </row>
    <row r="18" spans="1:16" ht="12.75">
      <c r="A18" s="198"/>
      <c r="B18" s="198"/>
      <c r="C18" s="207">
        <v>6</v>
      </c>
      <c r="D18" s="199" t="s">
        <v>589</v>
      </c>
      <c r="E18" s="199"/>
      <c r="F18" s="199"/>
      <c r="G18" s="199"/>
      <c r="H18" s="199"/>
      <c r="I18" s="182">
        <f t="shared" si="0"/>
        <v>36</v>
      </c>
      <c r="J18" s="199"/>
      <c r="K18" s="455">
        <v>782.9230769230769</v>
      </c>
      <c r="L18" s="199"/>
      <c r="M18" s="454">
        <f t="shared" si="1"/>
        <v>42278</v>
      </c>
      <c r="N18" s="199"/>
      <c r="O18" s="199"/>
      <c r="P18" s="156"/>
    </row>
    <row r="19" spans="1:16" ht="12.75">
      <c r="A19" s="198"/>
      <c r="B19" s="198"/>
      <c r="C19" s="207">
        <v>8</v>
      </c>
      <c r="D19" s="199" t="s">
        <v>589</v>
      </c>
      <c r="E19" s="199"/>
      <c r="F19" s="199"/>
      <c r="G19" s="199"/>
      <c r="H19" s="199"/>
      <c r="I19" s="182">
        <f t="shared" si="0"/>
        <v>64</v>
      </c>
      <c r="J19" s="199"/>
      <c r="K19" s="455">
        <v>246</v>
      </c>
      <c r="L19" s="199"/>
      <c r="M19" s="454">
        <f t="shared" si="1"/>
        <v>23616</v>
      </c>
      <c r="N19" s="199"/>
      <c r="O19" s="199"/>
      <c r="P19" s="156"/>
    </row>
    <row r="20" spans="1:16" ht="12.75">
      <c r="A20" s="198"/>
      <c r="B20" s="198"/>
      <c r="C20" s="207">
        <v>10</v>
      </c>
      <c r="D20" s="199" t="s">
        <v>589</v>
      </c>
      <c r="E20" s="199"/>
      <c r="F20" s="199"/>
      <c r="G20" s="199"/>
      <c r="H20" s="199"/>
      <c r="I20" s="182">
        <f t="shared" si="0"/>
        <v>100</v>
      </c>
      <c r="J20" s="199"/>
      <c r="K20" s="455">
        <v>7</v>
      </c>
      <c r="L20" s="199"/>
      <c r="M20" s="454">
        <f t="shared" si="1"/>
        <v>1050</v>
      </c>
      <c r="N20" s="199"/>
      <c r="O20" s="199"/>
      <c r="P20" s="156"/>
    </row>
    <row r="21" spans="1:16" ht="12.75">
      <c r="A21" s="198"/>
      <c r="B21" s="198"/>
      <c r="C21" s="207">
        <v>12</v>
      </c>
      <c r="D21" s="199" t="s">
        <v>589</v>
      </c>
      <c r="E21" s="199"/>
      <c r="F21" s="199"/>
      <c r="G21" s="199"/>
      <c r="H21" s="199"/>
      <c r="I21" s="182">
        <f t="shared" si="0"/>
        <v>144</v>
      </c>
      <c r="J21" s="199"/>
      <c r="K21" s="455">
        <v>4</v>
      </c>
      <c r="L21" s="199"/>
      <c r="M21" s="454">
        <f t="shared" si="1"/>
        <v>864</v>
      </c>
      <c r="N21" s="199"/>
      <c r="O21" s="199"/>
      <c r="P21" s="156"/>
    </row>
    <row r="22" spans="1:16" ht="12.75">
      <c r="A22" s="198"/>
      <c r="B22" s="198"/>
      <c r="C22" s="207">
        <v>14</v>
      </c>
      <c r="D22" s="199" t="s">
        <v>589</v>
      </c>
      <c r="E22" s="199"/>
      <c r="F22" s="199"/>
      <c r="G22" s="199"/>
      <c r="H22" s="199"/>
      <c r="I22" s="182">
        <f t="shared" si="0"/>
        <v>196</v>
      </c>
      <c r="J22" s="199"/>
      <c r="K22" s="455">
        <v>0</v>
      </c>
      <c r="L22" s="199"/>
      <c r="M22" s="454">
        <f t="shared" si="1"/>
        <v>0</v>
      </c>
      <c r="N22" s="199"/>
      <c r="O22" s="199"/>
      <c r="P22" s="156"/>
    </row>
    <row r="23" spans="1:16" ht="12.75">
      <c r="A23" s="198"/>
      <c r="B23" s="198"/>
      <c r="C23" s="207">
        <v>16</v>
      </c>
      <c r="D23" s="199" t="s">
        <v>589</v>
      </c>
      <c r="E23" s="199"/>
      <c r="F23" s="199"/>
      <c r="G23" s="199"/>
      <c r="H23" s="199"/>
      <c r="I23" s="182">
        <f t="shared" si="0"/>
        <v>256</v>
      </c>
      <c r="J23" s="199"/>
      <c r="K23" s="455">
        <v>1</v>
      </c>
      <c r="L23" s="199"/>
      <c r="M23" s="454">
        <f t="shared" si="1"/>
        <v>384</v>
      </c>
      <c r="N23" s="199"/>
      <c r="O23" s="199"/>
      <c r="P23" s="156"/>
    </row>
    <row r="24" spans="1:16" ht="13.5" customHeight="1">
      <c r="A24" s="198"/>
      <c r="B24" s="198"/>
      <c r="C24" s="601" t="s">
        <v>358</v>
      </c>
      <c r="D24" s="601"/>
      <c r="E24" s="601"/>
      <c r="F24" s="199"/>
      <c r="G24" s="199"/>
      <c r="H24" s="199"/>
      <c r="I24" s="452">
        <v>27.6</v>
      </c>
      <c r="J24" s="199"/>
      <c r="K24" s="456">
        <v>1179.769230769231</v>
      </c>
      <c r="L24" s="199"/>
      <c r="M24" s="234">
        <f t="shared" si="1"/>
        <v>48842</v>
      </c>
      <c r="N24" s="199"/>
      <c r="O24" s="199"/>
      <c r="P24" s="156"/>
    </row>
    <row r="25" spans="1:16" ht="12.75">
      <c r="A25" s="198"/>
      <c r="B25" s="198"/>
      <c r="C25" s="199"/>
      <c r="D25" s="199"/>
      <c r="E25" s="199"/>
      <c r="F25" s="199"/>
      <c r="G25" s="199"/>
      <c r="H25" s="199"/>
      <c r="I25" s="182"/>
      <c r="J25" s="199"/>
      <c r="K25" s="454"/>
      <c r="L25" s="199"/>
      <c r="M25" s="454"/>
      <c r="N25" s="199"/>
      <c r="O25" s="199"/>
      <c r="P25" s="156"/>
    </row>
    <row r="26" spans="1:17" ht="13.5" thickBot="1">
      <c r="A26" s="198"/>
      <c r="B26" s="198"/>
      <c r="C26" s="199" t="s">
        <v>590</v>
      </c>
      <c r="D26" s="199"/>
      <c r="E26" s="199"/>
      <c r="F26" s="199"/>
      <c r="G26" s="199"/>
      <c r="H26" s="199"/>
      <c r="I26" s="182"/>
      <c r="J26" s="199"/>
      <c r="K26" s="482">
        <f>SUM(K15:K24)</f>
        <v>2658.0769230769233</v>
      </c>
      <c r="L26" s="199"/>
      <c r="M26" s="231">
        <f>SUM(M15:M24)</f>
        <v>126361</v>
      </c>
      <c r="N26" s="199"/>
      <c r="O26" s="457">
        <f>ROUND(+M26/M$35,4)</f>
        <v>0.4484</v>
      </c>
      <c r="Q26" s="156"/>
    </row>
    <row r="27" spans="1:15" ht="13.5" thickTop="1">
      <c r="A27" s="198"/>
      <c r="B27" s="198"/>
      <c r="C27" s="199"/>
      <c r="D27" s="199"/>
      <c r="E27" s="199"/>
      <c r="F27" s="199"/>
      <c r="G27" s="199"/>
      <c r="H27" s="199"/>
      <c r="I27" s="182"/>
      <c r="J27" s="199"/>
      <c r="K27" s="205"/>
      <c r="L27" s="199"/>
      <c r="M27" s="205"/>
      <c r="N27" s="199"/>
      <c r="O27" s="209"/>
    </row>
    <row r="28" spans="1:15" ht="12.75">
      <c r="A28" s="198"/>
      <c r="B28" s="198"/>
      <c r="C28" s="199"/>
      <c r="D28" s="199"/>
      <c r="E28" s="199"/>
      <c r="F28" s="199"/>
      <c r="G28" s="199"/>
      <c r="H28" s="199"/>
      <c r="I28" s="182"/>
      <c r="J28" s="199"/>
      <c r="K28" s="205"/>
      <c r="L28" s="199"/>
      <c r="M28" s="205"/>
      <c r="N28" s="199"/>
      <c r="O28" s="199"/>
    </row>
    <row r="29" spans="1:16" ht="12.75">
      <c r="A29" s="198"/>
      <c r="B29" s="198"/>
      <c r="C29" s="203" t="s">
        <v>591</v>
      </c>
      <c r="D29" s="199"/>
      <c r="E29" s="199"/>
      <c r="F29" s="199"/>
      <c r="G29" s="199"/>
      <c r="H29" s="199"/>
      <c r="I29" s="182"/>
      <c r="J29" s="199"/>
      <c r="K29" s="205"/>
      <c r="L29" s="199"/>
      <c r="M29" s="205"/>
      <c r="N29" s="199"/>
      <c r="O29" s="199"/>
      <c r="P29" s="453"/>
    </row>
    <row r="30" spans="1:16" ht="12.75">
      <c r="A30" s="198"/>
      <c r="B30" s="198"/>
      <c r="C30" s="458" t="s">
        <v>119</v>
      </c>
      <c r="D30" s="458"/>
      <c r="E30" s="199"/>
      <c r="F30" s="199"/>
      <c r="G30" s="199"/>
      <c r="H30" s="199"/>
      <c r="I30" s="182">
        <v>20.3</v>
      </c>
      <c r="J30" s="199"/>
      <c r="K30" s="408">
        <v>6297</v>
      </c>
      <c r="L30" s="199"/>
      <c r="M30" s="205">
        <f>+I30*K30</f>
        <v>127829.1</v>
      </c>
      <c r="N30" s="199"/>
      <c r="O30" s="199"/>
      <c r="P30" s="199"/>
    </row>
    <row r="31" spans="1:16" ht="12.75">
      <c r="A31" s="198"/>
      <c r="B31" s="198"/>
      <c r="C31" s="458" t="s">
        <v>120</v>
      </c>
      <c r="D31" s="458"/>
      <c r="F31" s="200"/>
      <c r="G31" s="210"/>
      <c r="H31" s="199"/>
      <c r="I31" s="182">
        <v>27.6</v>
      </c>
      <c r="J31" s="199"/>
      <c r="K31" s="205">
        <v>1000</v>
      </c>
      <c r="L31" s="199"/>
      <c r="M31" s="205">
        <f>+I31*K31</f>
        <v>27600</v>
      </c>
      <c r="N31" s="199"/>
      <c r="O31" s="199"/>
      <c r="P31" s="199"/>
    </row>
    <row r="32" spans="1:16" ht="12.75">
      <c r="A32" s="198"/>
      <c r="B32" s="198"/>
      <c r="D32" s="199"/>
      <c r="E32" s="199"/>
      <c r="F32" s="199"/>
      <c r="G32" s="199"/>
      <c r="H32" s="199"/>
      <c r="I32" s="182"/>
      <c r="J32" s="199"/>
      <c r="K32" s="208"/>
      <c r="L32" s="199"/>
      <c r="M32" s="208"/>
      <c r="N32" s="199"/>
      <c r="O32" s="199"/>
      <c r="P32" s="199"/>
    </row>
    <row r="33" spans="1:16" ht="12.75">
      <c r="A33" s="198"/>
      <c r="B33" s="198"/>
      <c r="C33" s="137" t="s">
        <v>357</v>
      </c>
      <c r="D33" s="199"/>
      <c r="E33" s="199"/>
      <c r="F33" s="199"/>
      <c r="G33" s="199"/>
      <c r="H33" s="199"/>
      <c r="I33" s="199"/>
      <c r="J33" s="199"/>
      <c r="K33" s="205">
        <f>SUM(K30:K32)</f>
        <v>7297</v>
      </c>
      <c r="L33" s="199"/>
      <c r="M33" s="205">
        <f>SUM(M30:M32)</f>
        <v>155429.1</v>
      </c>
      <c r="N33" s="199"/>
      <c r="O33" s="209">
        <f>ROUND(+M33/M$35,4)</f>
        <v>0.5516</v>
      </c>
      <c r="P33" s="199"/>
    </row>
    <row r="34" spans="1:16" ht="12.75">
      <c r="A34" s="198"/>
      <c r="B34" s="198"/>
      <c r="C34" s="199"/>
      <c r="D34" s="199"/>
      <c r="E34" s="199"/>
      <c r="F34" s="199"/>
      <c r="G34" s="199"/>
      <c r="H34" s="199"/>
      <c r="I34" s="199"/>
      <c r="J34" s="199"/>
      <c r="K34" s="208"/>
      <c r="L34" s="199"/>
      <c r="M34" s="208"/>
      <c r="N34" s="199"/>
      <c r="O34" s="208"/>
      <c r="P34" s="199"/>
    </row>
    <row r="35" spans="1:16" ht="13.5" thickBot="1">
      <c r="A35" s="198"/>
      <c r="B35" s="198"/>
      <c r="C35" s="199" t="s">
        <v>592</v>
      </c>
      <c r="D35" s="199"/>
      <c r="E35" s="199"/>
      <c r="F35" s="199"/>
      <c r="G35" s="199"/>
      <c r="H35" s="199"/>
      <c r="I35" s="199"/>
      <c r="J35" s="199"/>
      <c r="K35" s="231">
        <f>K26+K33</f>
        <v>9955.076923076924</v>
      </c>
      <c r="L35" s="199"/>
      <c r="M35" s="231">
        <f>M26+M33</f>
        <v>281790.1</v>
      </c>
      <c r="N35" s="209"/>
      <c r="O35" s="232">
        <f>O26+O33</f>
        <v>1</v>
      </c>
      <c r="P35" s="199"/>
    </row>
    <row r="36" ht="13.5" thickTop="1"/>
    <row r="37" spans="3:7" ht="12.75">
      <c r="C37" s="451"/>
      <c r="D37" s="451"/>
      <c r="E37" s="451"/>
      <c r="F37" s="451"/>
      <c r="G37" s="451"/>
    </row>
    <row r="38" ht="12.75">
      <c r="C38" s="137" t="s">
        <v>117</v>
      </c>
    </row>
    <row r="39" ht="12.75">
      <c r="C39" s="137" t="s">
        <v>118</v>
      </c>
    </row>
  </sheetData>
  <mergeCells count="2">
    <mergeCell ref="C14:E14"/>
    <mergeCell ref="C24:E24"/>
  </mergeCells>
  <printOptions/>
  <pageMargins left="1" right="0.75" top="1" bottom="1" header="0.5" footer="0.5"/>
  <pageSetup fitToHeight="0" fitToWidth="1" horizontalDpi="600" verticalDpi="600" orientation="portrait" scale="16" r:id="rId1"/>
</worksheet>
</file>

<file path=xl/worksheets/sheet16.xml><?xml version="1.0" encoding="utf-8"?>
<worksheet xmlns="http://schemas.openxmlformats.org/spreadsheetml/2006/main" xmlns:r="http://schemas.openxmlformats.org/officeDocument/2006/relationships">
  <dimension ref="A1:AO59"/>
  <sheetViews>
    <sheetView workbookViewId="0" topLeftCell="A1">
      <selection activeCell="C18" sqref="C18"/>
    </sheetView>
  </sheetViews>
  <sheetFormatPr defaultColWidth="8.88671875" defaultRowHeight="12.75"/>
  <cols>
    <col min="1" max="1" width="22.88671875" style="0" customWidth="1"/>
    <col min="2" max="2" width="1.5625" style="0" customWidth="1"/>
    <col min="3" max="3" width="12.77734375" style="0" customWidth="1"/>
    <col min="4" max="4" width="1.2265625" style="0" customWidth="1"/>
    <col min="6" max="6" width="1.88671875" style="0" customWidth="1"/>
    <col min="8" max="8" width="2.77734375" style="0" customWidth="1"/>
    <col min="9" max="9" width="10.99609375" style="0" customWidth="1"/>
    <col min="10" max="10" width="1.33203125" style="0" customWidth="1"/>
    <col min="11" max="11" width="11.4453125" style="0" customWidth="1"/>
    <col min="12" max="12" width="1.77734375" style="0" customWidth="1"/>
    <col min="14" max="14" width="1.88671875" style="0" customWidth="1"/>
    <col min="16" max="16" width="1.2265625" style="0" customWidth="1"/>
    <col min="17" max="17" width="10.99609375" style="0" customWidth="1"/>
    <col min="18" max="18" width="1.4375" style="0" customWidth="1"/>
    <col min="19" max="19" width="12.3359375" style="0" customWidth="1"/>
    <col min="20" max="20" width="5.21484375" style="0" customWidth="1"/>
    <col min="22" max="22" width="1.33203125" style="0" customWidth="1"/>
    <col min="28" max="28" width="2.88671875" style="0" customWidth="1"/>
    <col min="30" max="30" width="2.5546875" style="0" customWidth="1"/>
    <col min="31" max="31" width="9.99609375" style="0" bestFit="1" customWidth="1"/>
    <col min="32" max="32" width="1.33203125" style="0" customWidth="1"/>
    <col min="33" max="33" width="11.99609375" style="0" bestFit="1" customWidth="1"/>
    <col min="34" max="34" width="2.88671875" style="0" customWidth="1"/>
    <col min="36" max="36" width="1.5625" style="0" customWidth="1"/>
  </cols>
  <sheetData>
    <row r="1" ht="15">
      <c r="W1" s="521"/>
    </row>
    <row r="4" spans="1:11" ht="15">
      <c r="A4" s="598" t="s">
        <v>369</v>
      </c>
      <c r="B4" s="598"/>
      <c r="C4" s="598"/>
      <c r="D4" s="598"/>
      <c r="E4" s="598"/>
      <c r="F4" s="598"/>
      <c r="G4" s="598"/>
      <c r="H4" s="598"/>
      <c r="I4" s="598"/>
      <c r="J4" s="598"/>
      <c r="K4" s="598"/>
    </row>
    <row r="5" spans="1:11" ht="12.75">
      <c r="A5" s="268"/>
      <c r="B5" s="268"/>
      <c r="C5" s="268"/>
      <c r="D5" s="268"/>
      <c r="E5" s="268"/>
      <c r="F5" s="268"/>
      <c r="G5" s="268"/>
      <c r="H5" s="268"/>
      <c r="I5" s="268"/>
      <c r="J5" s="268"/>
      <c r="K5" s="268"/>
    </row>
    <row r="6" spans="1:11" ht="15">
      <c r="A6" s="598" t="s">
        <v>764</v>
      </c>
      <c r="B6" s="598"/>
      <c r="C6" s="598"/>
      <c r="D6" s="598"/>
      <c r="E6" s="598"/>
      <c r="F6" s="598"/>
      <c r="G6" s="598"/>
      <c r="H6" s="598"/>
      <c r="I6" s="598"/>
      <c r="J6" s="598"/>
      <c r="K6" s="598"/>
    </row>
    <row r="7" spans="1:11" ht="12.75">
      <c r="A7" s="268"/>
      <c r="B7" s="268"/>
      <c r="C7" s="268"/>
      <c r="D7" s="268"/>
      <c r="E7" s="268"/>
      <c r="F7" s="268"/>
      <c r="G7" s="268"/>
      <c r="H7" s="268"/>
      <c r="I7" s="268"/>
      <c r="J7" s="268"/>
      <c r="K7" s="268"/>
    </row>
    <row r="8" spans="1:11" ht="12.75">
      <c r="A8" s="268"/>
      <c r="B8" s="268"/>
      <c r="C8" s="268"/>
      <c r="D8" s="268"/>
      <c r="E8" s="268"/>
      <c r="F8" s="268"/>
      <c r="G8" s="268"/>
      <c r="H8" s="268"/>
      <c r="I8" s="268"/>
      <c r="J8" s="268"/>
      <c r="K8" s="268"/>
    </row>
    <row r="9" spans="1:11" ht="15">
      <c r="A9" s="267"/>
      <c r="B9" s="267"/>
      <c r="C9" s="266" t="s">
        <v>312</v>
      </c>
      <c r="D9" s="267"/>
      <c r="E9" s="267"/>
      <c r="F9" s="267"/>
      <c r="G9" s="267"/>
      <c r="H9" s="267"/>
      <c r="I9" s="267"/>
      <c r="J9" s="267"/>
      <c r="K9" s="267"/>
    </row>
    <row r="10" spans="1:11" ht="15">
      <c r="A10" s="267"/>
      <c r="B10" s="267"/>
      <c r="C10" s="266" t="s">
        <v>513</v>
      </c>
      <c r="D10" s="267"/>
      <c r="E10" s="266" t="s">
        <v>765</v>
      </c>
      <c r="F10" s="267"/>
      <c r="G10" s="267"/>
      <c r="H10" s="267"/>
      <c r="I10" s="267"/>
      <c r="J10" s="267"/>
      <c r="K10" s="266" t="s">
        <v>766</v>
      </c>
    </row>
    <row r="11" spans="1:11" ht="15">
      <c r="A11" s="270" t="s">
        <v>767</v>
      </c>
      <c r="B11" s="267"/>
      <c r="C11" s="270" t="s">
        <v>768</v>
      </c>
      <c r="D11" s="267"/>
      <c r="E11" s="270" t="s">
        <v>769</v>
      </c>
      <c r="F11" s="267"/>
      <c r="G11" s="603" t="s">
        <v>584</v>
      </c>
      <c r="H11" s="603"/>
      <c r="I11" s="603"/>
      <c r="J11" s="267"/>
      <c r="K11" s="270" t="s">
        <v>770</v>
      </c>
    </row>
    <row r="12" spans="1:11" ht="15">
      <c r="A12" s="271" t="s">
        <v>380</v>
      </c>
      <c r="B12" s="272"/>
      <c r="C12" s="271" t="s">
        <v>400</v>
      </c>
      <c r="D12" s="272"/>
      <c r="E12" s="271" t="s">
        <v>382</v>
      </c>
      <c r="F12" s="267"/>
      <c r="G12" s="604" t="s">
        <v>402</v>
      </c>
      <c r="H12" s="604"/>
      <c r="I12" s="604"/>
      <c r="J12" s="267"/>
      <c r="K12" s="271" t="s">
        <v>414</v>
      </c>
    </row>
    <row r="13" spans="1:11" ht="15">
      <c r="A13" s="267"/>
      <c r="B13" s="267"/>
      <c r="C13" s="267"/>
      <c r="D13" s="267"/>
      <c r="E13" s="267"/>
      <c r="F13" s="267"/>
      <c r="G13" s="267"/>
      <c r="H13" s="267"/>
      <c r="I13" s="267"/>
      <c r="J13" s="267"/>
      <c r="K13" s="267"/>
    </row>
    <row r="14" spans="1:11" ht="15">
      <c r="A14" s="267" t="s">
        <v>571</v>
      </c>
      <c r="B14" s="267"/>
      <c r="C14" s="273">
        <f>+'COS 1'!$AM$281</f>
        <v>4337137.76448819</v>
      </c>
      <c r="D14" s="267"/>
      <c r="E14" s="267">
        <f>+('Meters &amp; Services'!$AF$27-'Meters &amp; Services'!$AB$27)</f>
        <v>143199</v>
      </c>
      <c r="F14" s="267"/>
      <c r="G14" s="502" t="s">
        <v>771</v>
      </c>
      <c r="H14" s="522"/>
      <c r="I14" s="267"/>
      <c r="J14" s="267"/>
      <c r="K14" s="523">
        <f>ROUND(+C14/E14/12,2)</f>
        <v>2.52</v>
      </c>
    </row>
    <row r="15" spans="1:11" ht="15">
      <c r="A15" s="267"/>
      <c r="B15" s="267"/>
      <c r="C15" s="267"/>
      <c r="D15" s="267"/>
      <c r="E15" s="267"/>
      <c r="F15" s="267"/>
      <c r="G15" s="502"/>
      <c r="H15" s="522"/>
      <c r="I15" s="267"/>
      <c r="J15" s="267"/>
      <c r="K15" s="523"/>
    </row>
    <row r="16" spans="1:11" ht="15">
      <c r="A16" s="267" t="s">
        <v>517</v>
      </c>
      <c r="B16" s="267"/>
      <c r="C16" s="272">
        <f>+'COS 1'!$AO$281</f>
        <v>2650945.787233957</v>
      </c>
      <c r="D16" s="267"/>
      <c r="E16" s="267">
        <f>+('Meters &amp; Services'!$AF$59-'Meters &amp; Services'!$AB$59)</f>
        <v>129111</v>
      </c>
      <c r="F16" s="267"/>
      <c r="G16" s="502" t="s">
        <v>772</v>
      </c>
      <c r="H16" s="522"/>
      <c r="I16" s="267"/>
      <c r="J16" s="267"/>
      <c r="K16" s="524">
        <f>ROUND(+C16/E16/12,2)</f>
        <v>1.71</v>
      </c>
    </row>
    <row r="17" spans="1:11" ht="15">
      <c r="A17" s="267"/>
      <c r="B17" s="267"/>
      <c r="C17" s="272"/>
      <c r="D17" s="267"/>
      <c r="E17" s="267"/>
      <c r="F17" s="267"/>
      <c r="G17" s="267"/>
      <c r="H17" s="522"/>
      <c r="I17" s="267"/>
      <c r="J17" s="267"/>
      <c r="K17" s="524"/>
    </row>
    <row r="18" spans="1:11" ht="15">
      <c r="A18" s="267" t="s">
        <v>773</v>
      </c>
      <c r="B18" s="267"/>
      <c r="C18" s="275">
        <f>+'COS 1'!$AQ$281+'COS 1'!AS281</f>
        <v>7131699.795515448</v>
      </c>
      <c r="D18" s="267"/>
      <c r="E18" s="267">
        <f>+SUM('F13-14'!$D$15:$D$19)</f>
        <v>120987</v>
      </c>
      <c r="F18" s="267"/>
      <c r="G18" s="267" t="s">
        <v>774</v>
      </c>
      <c r="H18" s="522"/>
      <c r="I18" s="267"/>
      <c r="J18" s="267"/>
      <c r="K18" s="526">
        <f>ROUND(+C18/E18/12,2)</f>
        <v>4.91</v>
      </c>
    </row>
    <row r="19" spans="1:11" ht="15">
      <c r="A19" s="267"/>
      <c r="B19" s="267"/>
      <c r="C19" s="525"/>
      <c r="D19" s="267"/>
      <c r="E19" s="277"/>
      <c r="F19" s="267"/>
      <c r="G19" s="267"/>
      <c r="H19" s="522"/>
      <c r="I19" s="267"/>
      <c r="J19" s="267"/>
      <c r="K19" s="524"/>
    </row>
    <row r="20" spans="1:11" ht="15">
      <c r="A20" s="267"/>
      <c r="B20" s="267"/>
      <c r="C20" s="267"/>
      <c r="D20" s="267"/>
      <c r="E20" s="267"/>
      <c r="F20" s="267"/>
      <c r="G20" s="267"/>
      <c r="H20" s="267"/>
      <c r="I20" s="267"/>
      <c r="J20" s="267"/>
      <c r="K20" s="267"/>
    </row>
    <row r="21" spans="1:11" ht="15.75" thickBot="1">
      <c r="A21" s="267" t="s">
        <v>775</v>
      </c>
      <c r="B21" s="267"/>
      <c r="C21" s="279">
        <f>SUM(C14:C19)</f>
        <v>14119783.347237594</v>
      </c>
      <c r="D21" s="267"/>
      <c r="E21" s="267"/>
      <c r="F21" s="267"/>
      <c r="G21" s="267"/>
      <c r="H21" s="267"/>
      <c r="I21" s="267"/>
      <c r="J21" s="267"/>
      <c r="K21" s="527">
        <f>SUM(K14:K19)</f>
        <v>9.14</v>
      </c>
    </row>
    <row r="22" spans="1:11" ht="15.75" thickTop="1">
      <c r="A22" s="267"/>
      <c r="B22" s="267"/>
      <c r="C22" s="268"/>
      <c r="D22" s="268"/>
      <c r="E22" s="268"/>
      <c r="F22" s="268"/>
      <c r="G22" s="268"/>
      <c r="H22" s="268"/>
      <c r="I22" s="268"/>
      <c r="J22" s="267"/>
      <c r="K22" s="267"/>
    </row>
    <row r="23" spans="1:38" ht="15">
      <c r="A23" s="267"/>
      <c r="B23" s="267"/>
      <c r="C23" s="268"/>
      <c r="D23" s="268"/>
      <c r="E23" s="268"/>
      <c r="F23" s="268"/>
      <c r="G23" s="268"/>
      <c r="H23" s="268"/>
      <c r="I23" s="268"/>
      <c r="J23" s="267"/>
      <c r="K23" s="267"/>
      <c r="AA23" s="163"/>
      <c r="AB23" s="163"/>
      <c r="AC23" s="163"/>
      <c r="AD23" s="163"/>
      <c r="AE23" s="163"/>
      <c r="AF23" s="163"/>
      <c r="AG23" s="163"/>
      <c r="AH23" s="163"/>
      <c r="AI23" s="163"/>
      <c r="AJ23" s="163"/>
      <c r="AK23" s="163"/>
      <c r="AL23" s="163"/>
    </row>
    <row r="24" spans="1:38" ht="15">
      <c r="A24" s="267"/>
      <c r="B24" s="267"/>
      <c r="C24" s="268"/>
      <c r="D24" s="268"/>
      <c r="E24" s="268"/>
      <c r="F24" s="268"/>
      <c r="G24" s="268"/>
      <c r="H24" s="268"/>
      <c r="I24" s="268"/>
      <c r="J24" s="267"/>
      <c r="K24" s="267"/>
      <c r="AA24" s="163"/>
      <c r="AB24" s="163"/>
      <c r="AC24" s="163"/>
      <c r="AD24" s="163"/>
      <c r="AE24" s="163"/>
      <c r="AF24" s="163"/>
      <c r="AG24" s="163"/>
      <c r="AH24" s="163"/>
      <c r="AI24" s="163"/>
      <c r="AJ24" s="163"/>
      <c r="AK24" s="163"/>
      <c r="AL24" s="163"/>
    </row>
    <row r="25" spans="2:38" ht="15">
      <c r="B25" s="268"/>
      <c r="E25" s="528"/>
      <c r="I25" s="247"/>
      <c r="Q25" s="268"/>
      <c r="R25" s="268"/>
      <c r="S25" s="268"/>
      <c r="T25" s="268"/>
      <c r="U25" s="268"/>
      <c r="V25" s="268"/>
      <c r="W25" s="268"/>
      <c r="X25" s="267"/>
      <c r="Y25" s="267"/>
      <c r="AA25" s="163"/>
      <c r="AB25" s="163"/>
      <c r="AC25" s="543"/>
      <c r="AD25" s="163"/>
      <c r="AE25" s="542"/>
      <c r="AF25" s="542"/>
      <c r="AG25" s="543"/>
      <c r="AH25" s="541"/>
      <c r="AI25" s="163"/>
      <c r="AJ25" s="163"/>
      <c r="AK25" s="543"/>
      <c r="AL25" s="543"/>
    </row>
    <row r="26" spans="1:38" ht="15">
      <c r="A26" s="267"/>
      <c r="B26" s="267"/>
      <c r="E26" s="266" t="s">
        <v>776</v>
      </c>
      <c r="I26" s="296" t="s">
        <v>751</v>
      </c>
      <c r="J26" s="296"/>
      <c r="K26" s="296" t="s">
        <v>752</v>
      </c>
      <c r="M26" s="163"/>
      <c r="N26" s="163"/>
      <c r="O26" s="163"/>
      <c r="P26" s="163"/>
      <c r="Q26" s="602"/>
      <c r="R26" s="602"/>
      <c r="S26" s="602"/>
      <c r="T26" s="542"/>
      <c r="U26" s="602"/>
      <c r="V26" s="602"/>
      <c r="W26" s="602"/>
      <c r="X26" s="542"/>
      <c r="Y26" s="541"/>
      <c r="Z26" s="543"/>
      <c r="AA26" s="543"/>
      <c r="AB26" s="543"/>
      <c r="AC26" s="543"/>
      <c r="AD26" s="543"/>
      <c r="AE26" s="543"/>
      <c r="AF26" s="542"/>
      <c r="AG26" s="543"/>
      <c r="AH26" s="541"/>
      <c r="AI26" s="541"/>
      <c r="AJ26" s="541"/>
      <c r="AK26" s="541"/>
      <c r="AL26" s="541"/>
    </row>
    <row r="27" spans="1:38" ht="15">
      <c r="A27" s="270" t="s">
        <v>777</v>
      </c>
      <c r="B27" s="268"/>
      <c r="E27" s="270" t="s">
        <v>417</v>
      </c>
      <c r="I27" s="270" t="s">
        <v>753</v>
      </c>
      <c r="J27" s="296"/>
      <c r="K27" s="270" t="s">
        <v>753</v>
      </c>
      <c r="M27" s="163"/>
      <c r="N27" s="163"/>
      <c r="O27" s="163"/>
      <c r="P27" s="163"/>
      <c r="Q27" s="541"/>
      <c r="R27" s="541"/>
      <c r="S27" s="541"/>
      <c r="T27" s="542"/>
      <c r="U27" s="541"/>
      <c r="V27" s="541"/>
      <c r="W27" s="541"/>
      <c r="X27" s="542"/>
      <c r="Y27" s="541"/>
      <c r="Z27" s="543"/>
      <c r="AA27" s="541"/>
      <c r="AB27" s="543"/>
      <c r="AC27" s="541"/>
      <c r="AD27" s="543"/>
      <c r="AE27" s="541"/>
      <c r="AF27" s="542"/>
      <c r="AG27" s="541"/>
      <c r="AH27" s="546"/>
      <c r="AI27" s="541"/>
      <c r="AJ27" s="541"/>
      <c r="AK27" s="541"/>
      <c r="AL27" s="541"/>
    </row>
    <row r="28" spans="1:38" ht="15">
      <c r="A28" s="529">
        <v>-1</v>
      </c>
      <c r="B28" s="530"/>
      <c r="E28" s="268"/>
      <c r="I28" s="356"/>
      <c r="J28" s="38"/>
      <c r="K28" s="38"/>
      <c r="L28" s="38"/>
      <c r="M28" s="409"/>
      <c r="N28" s="163"/>
      <c r="O28" s="163"/>
      <c r="P28" s="163"/>
      <c r="Q28" s="529"/>
      <c r="R28" s="529"/>
      <c r="S28" s="544"/>
      <c r="T28" s="529"/>
      <c r="U28" s="544"/>
      <c r="V28" s="545"/>
      <c r="W28" s="545"/>
      <c r="X28" s="545"/>
      <c r="Y28" s="545"/>
      <c r="Z28" s="545"/>
      <c r="AA28" s="545"/>
      <c r="AB28" s="545"/>
      <c r="AC28" s="545"/>
      <c r="AD28" s="545"/>
      <c r="AE28" s="545"/>
      <c r="AF28" s="545"/>
      <c r="AG28" s="568"/>
      <c r="AH28" s="546"/>
      <c r="AI28" s="546"/>
      <c r="AJ28" s="546"/>
      <c r="AK28" s="546"/>
      <c r="AL28" s="546"/>
    </row>
    <row r="29" spans="1:38" ht="15">
      <c r="A29" s="268"/>
      <c r="B29" s="268"/>
      <c r="E29" s="268"/>
      <c r="I29" s="38"/>
      <c r="J29" s="38"/>
      <c r="K29" s="38"/>
      <c r="L29" s="38"/>
      <c r="M29" s="409"/>
      <c r="N29" s="163"/>
      <c r="O29" s="163"/>
      <c r="P29" s="163"/>
      <c r="Q29" s="546"/>
      <c r="R29" s="546"/>
      <c r="S29" s="542"/>
      <c r="T29" s="542"/>
      <c r="U29" s="542"/>
      <c r="V29" s="542"/>
      <c r="W29" s="542"/>
      <c r="X29" s="542"/>
      <c r="Y29" s="547"/>
      <c r="Z29" s="542"/>
      <c r="AA29" s="547"/>
      <c r="AB29" s="542"/>
      <c r="AC29" s="542"/>
      <c r="AD29" s="542"/>
      <c r="AE29" s="569"/>
      <c r="AF29" s="163"/>
      <c r="AG29" s="163"/>
      <c r="AH29" s="547"/>
      <c r="AI29" s="546"/>
      <c r="AJ29" s="546"/>
      <c r="AK29" s="546"/>
      <c r="AL29" s="546"/>
    </row>
    <row r="30" spans="1:41" ht="15">
      <c r="A30" s="531" t="s">
        <v>778</v>
      </c>
      <c r="B30" s="268"/>
      <c r="E30" s="532">
        <v>1</v>
      </c>
      <c r="I30" s="512">
        <v>8.6</v>
      </c>
      <c r="J30" s="512"/>
      <c r="K30" s="512">
        <f>+K21+0.01</f>
        <v>9.15</v>
      </c>
      <c r="L30" s="38"/>
      <c r="M30" s="548"/>
      <c r="N30" s="163"/>
      <c r="O30" s="163"/>
      <c r="P30" s="163"/>
      <c r="Q30" s="549"/>
      <c r="R30" s="550"/>
      <c r="S30" s="551"/>
      <c r="T30" s="551"/>
      <c r="U30" s="552"/>
      <c r="V30" s="551"/>
      <c r="W30" s="551"/>
      <c r="X30" s="551"/>
      <c r="Y30" s="550"/>
      <c r="Z30" s="551"/>
      <c r="AA30" s="551"/>
      <c r="AB30" s="551"/>
      <c r="AC30" s="551"/>
      <c r="AD30" s="555"/>
      <c r="AE30" s="570"/>
      <c r="AF30" s="163"/>
      <c r="AG30" s="571"/>
      <c r="AH30" s="547"/>
      <c r="AI30" s="572"/>
      <c r="AJ30" s="547"/>
      <c r="AK30" s="550"/>
      <c r="AL30" s="550"/>
      <c r="AN30" s="533"/>
      <c r="AO30" s="534"/>
    </row>
    <row r="31" spans="1:41" ht="15">
      <c r="A31" s="531"/>
      <c r="B31" s="268"/>
      <c r="E31" s="267"/>
      <c r="I31" s="513"/>
      <c r="J31" s="513"/>
      <c r="K31" s="513"/>
      <c r="L31" s="38"/>
      <c r="M31" s="548"/>
      <c r="N31" s="163"/>
      <c r="O31" s="163"/>
      <c r="P31" s="163"/>
      <c r="Q31" s="553"/>
      <c r="R31" s="554"/>
      <c r="S31" s="555"/>
      <c r="T31" s="555"/>
      <c r="U31" s="553"/>
      <c r="V31" s="555"/>
      <c r="W31" s="555"/>
      <c r="X31" s="555"/>
      <c r="Y31" s="554"/>
      <c r="Z31" s="555"/>
      <c r="AA31" s="555"/>
      <c r="AB31" s="555"/>
      <c r="AC31" s="555"/>
      <c r="AD31" s="555"/>
      <c r="AE31" s="573"/>
      <c r="AF31" s="163"/>
      <c r="AG31" s="573"/>
      <c r="AH31" s="547"/>
      <c r="AI31" s="547"/>
      <c r="AJ31" s="547"/>
      <c r="AK31" s="547"/>
      <c r="AL31" s="547"/>
      <c r="AN31" s="533"/>
      <c r="AO31" s="534"/>
    </row>
    <row r="32" spans="1:41" ht="15">
      <c r="A32" s="531" t="s">
        <v>779</v>
      </c>
      <c r="B32" s="268"/>
      <c r="E32" s="535">
        <v>1.5</v>
      </c>
      <c r="I32" s="513">
        <v>12.9</v>
      </c>
      <c r="J32" s="513"/>
      <c r="K32" s="513">
        <f>ROUND(+K$30*E32,1)</f>
        <v>13.7</v>
      </c>
      <c r="L32" s="38"/>
      <c r="M32" s="548"/>
      <c r="N32" s="163"/>
      <c r="O32" s="163"/>
      <c r="P32" s="163"/>
      <c r="Q32" s="555"/>
      <c r="R32" s="554"/>
      <c r="S32" s="555"/>
      <c r="T32" s="555"/>
      <c r="U32" s="553"/>
      <c r="V32" s="555"/>
      <c r="W32" s="555"/>
      <c r="X32" s="555"/>
      <c r="Y32" s="554"/>
      <c r="Z32" s="555"/>
      <c r="AA32" s="555"/>
      <c r="AB32" s="555"/>
      <c r="AC32" s="555"/>
      <c r="AD32" s="555"/>
      <c r="AE32" s="574"/>
      <c r="AF32" s="163"/>
      <c r="AG32" s="573"/>
      <c r="AH32" s="547"/>
      <c r="AI32" s="575"/>
      <c r="AJ32" s="547"/>
      <c r="AK32" s="552"/>
      <c r="AL32" s="576"/>
      <c r="AO32" s="534"/>
    </row>
    <row r="33" spans="1:41" ht="15">
      <c r="A33" s="531"/>
      <c r="B33" s="268"/>
      <c r="E33" s="535"/>
      <c r="I33" s="513"/>
      <c r="J33" s="513"/>
      <c r="K33" s="513"/>
      <c r="L33" s="38"/>
      <c r="M33" s="548"/>
      <c r="N33" s="163"/>
      <c r="O33" s="163"/>
      <c r="P33" s="163"/>
      <c r="Q33" s="556"/>
      <c r="R33" s="554"/>
      <c r="S33" s="555"/>
      <c r="T33" s="555"/>
      <c r="U33" s="553"/>
      <c r="V33" s="555"/>
      <c r="W33" s="555"/>
      <c r="X33" s="555"/>
      <c r="Y33" s="554"/>
      <c r="Z33" s="555"/>
      <c r="AA33" s="555"/>
      <c r="AB33" s="555"/>
      <c r="AC33" s="555"/>
      <c r="AD33" s="555"/>
      <c r="AE33" s="573"/>
      <c r="AF33" s="163"/>
      <c r="AG33" s="573"/>
      <c r="AH33" s="547"/>
      <c r="AI33" s="575"/>
      <c r="AJ33" s="547"/>
      <c r="AK33" s="552"/>
      <c r="AL33" s="547"/>
      <c r="AO33" s="534"/>
    </row>
    <row r="34" spans="1:41" ht="15">
      <c r="A34" s="531" t="s">
        <v>780</v>
      </c>
      <c r="B34" s="268"/>
      <c r="E34" s="535">
        <v>2.5</v>
      </c>
      <c r="I34" s="513">
        <v>21.5</v>
      </c>
      <c r="J34" s="513"/>
      <c r="K34" s="513">
        <f>ROUND(+K$30*E34,1)</f>
        <v>22.9</v>
      </c>
      <c r="L34" s="38"/>
      <c r="M34" s="548"/>
      <c r="N34" s="163"/>
      <c r="O34" s="163"/>
      <c r="P34" s="163"/>
      <c r="Q34" s="553"/>
      <c r="R34" s="554"/>
      <c r="S34" s="555"/>
      <c r="T34" s="555"/>
      <c r="U34" s="553"/>
      <c r="V34" s="555"/>
      <c r="W34" s="555"/>
      <c r="X34" s="555"/>
      <c r="Y34" s="554"/>
      <c r="Z34" s="555"/>
      <c r="AA34" s="555"/>
      <c r="AB34" s="555"/>
      <c r="AC34" s="555"/>
      <c r="AD34" s="555"/>
      <c r="AE34" s="573"/>
      <c r="AF34" s="163"/>
      <c r="AG34" s="573"/>
      <c r="AH34" s="547"/>
      <c r="AI34" s="575"/>
      <c r="AJ34" s="547"/>
      <c r="AK34" s="552"/>
      <c r="AL34" s="576"/>
      <c r="AN34" s="533"/>
      <c r="AO34" s="534"/>
    </row>
    <row r="35" spans="1:41" ht="15">
      <c r="A35" s="531"/>
      <c r="B35" s="268"/>
      <c r="E35" s="535"/>
      <c r="I35" s="513"/>
      <c r="J35" s="513"/>
      <c r="K35" s="513"/>
      <c r="L35" s="38"/>
      <c r="M35" s="548"/>
      <c r="N35" s="163"/>
      <c r="O35" s="163"/>
      <c r="P35" s="163"/>
      <c r="Q35" s="553"/>
      <c r="R35" s="554"/>
      <c r="S35" s="555"/>
      <c r="T35" s="555"/>
      <c r="U35" s="553"/>
      <c r="V35" s="555"/>
      <c r="W35" s="555"/>
      <c r="X35" s="555"/>
      <c r="Y35" s="554"/>
      <c r="Z35" s="555"/>
      <c r="AA35" s="555"/>
      <c r="AB35" s="555"/>
      <c r="AC35" s="555"/>
      <c r="AD35" s="555"/>
      <c r="AE35" s="573"/>
      <c r="AF35" s="163"/>
      <c r="AG35" s="573"/>
      <c r="AH35" s="547"/>
      <c r="AI35" s="575"/>
      <c r="AJ35" s="547"/>
      <c r="AK35" s="552"/>
      <c r="AL35" s="547"/>
      <c r="AN35" s="536"/>
      <c r="AO35" s="534"/>
    </row>
    <row r="36" spans="1:41" ht="15">
      <c r="A36" s="531" t="s">
        <v>781</v>
      </c>
      <c r="B36" s="268"/>
      <c r="E36" s="535">
        <v>5</v>
      </c>
      <c r="I36" s="513">
        <v>43</v>
      </c>
      <c r="J36" s="513"/>
      <c r="K36" s="513">
        <f>ROUND(+K$30*E36,1)</f>
        <v>45.8</v>
      </c>
      <c r="L36" s="38"/>
      <c r="M36" s="548"/>
      <c r="N36" s="163"/>
      <c r="O36" s="163"/>
      <c r="P36" s="163"/>
      <c r="Q36" s="553"/>
      <c r="R36" s="554"/>
      <c r="S36" s="555"/>
      <c r="T36" s="555"/>
      <c r="U36" s="553"/>
      <c r="V36" s="555"/>
      <c r="W36" s="555"/>
      <c r="X36" s="555"/>
      <c r="Y36" s="554"/>
      <c r="Z36" s="555"/>
      <c r="AA36" s="555"/>
      <c r="AB36" s="555"/>
      <c r="AC36" s="555"/>
      <c r="AD36" s="555"/>
      <c r="AE36" s="573"/>
      <c r="AF36" s="163"/>
      <c r="AG36" s="573"/>
      <c r="AH36" s="547"/>
      <c r="AI36" s="575"/>
      <c r="AJ36" s="547"/>
      <c r="AK36" s="552"/>
      <c r="AL36" s="576"/>
      <c r="AN36" s="533"/>
      <c r="AO36" s="534"/>
    </row>
    <row r="37" spans="1:41" ht="15">
      <c r="A37" s="531"/>
      <c r="B37" s="268"/>
      <c r="E37" s="535"/>
      <c r="I37" s="513"/>
      <c r="J37" s="513"/>
      <c r="K37" s="513"/>
      <c r="L37" s="38"/>
      <c r="M37" s="548"/>
      <c r="N37" s="163"/>
      <c r="O37" s="163"/>
      <c r="P37" s="163"/>
      <c r="Q37" s="553"/>
      <c r="R37" s="554"/>
      <c r="S37" s="555"/>
      <c r="T37" s="555"/>
      <c r="U37" s="553"/>
      <c r="V37" s="555"/>
      <c r="W37" s="555"/>
      <c r="X37" s="555"/>
      <c r="Y37" s="554"/>
      <c r="Z37" s="555"/>
      <c r="AA37" s="555"/>
      <c r="AB37" s="555"/>
      <c r="AC37" s="555"/>
      <c r="AD37" s="555"/>
      <c r="AE37" s="573"/>
      <c r="AF37" s="163"/>
      <c r="AG37" s="573"/>
      <c r="AH37" s="547"/>
      <c r="AI37" s="575"/>
      <c r="AJ37" s="547"/>
      <c r="AK37" s="552"/>
      <c r="AL37" s="547"/>
      <c r="AN37" s="536"/>
      <c r="AO37" s="534"/>
    </row>
    <row r="38" spans="1:41" ht="15">
      <c r="A38" s="531" t="s">
        <v>782</v>
      </c>
      <c r="B38" s="268"/>
      <c r="E38" s="535">
        <v>8</v>
      </c>
      <c r="I38" s="513">
        <v>68.8</v>
      </c>
      <c r="J38" s="513"/>
      <c r="K38" s="513">
        <f>ROUND(+K$30*E38,1)</f>
        <v>73.2</v>
      </c>
      <c r="L38" s="38"/>
      <c r="M38" s="548"/>
      <c r="N38" s="163"/>
      <c r="O38" s="163"/>
      <c r="P38" s="163"/>
      <c r="Q38" s="553"/>
      <c r="R38" s="554"/>
      <c r="S38" s="555"/>
      <c r="T38" s="555"/>
      <c r="U38" s="553"/>
      <c r="V38" s="555"/>
      <c r="W38" s="555"/>
      <c r="X38" s="555"/>
      <c r="Y38" s="554"/>
      <c r="Z38" s="555"/>
      <c r="AA38" s="555"/>
      <c r="AB38" s="555"/>
      <c r="AC38" s="555"/>
      <c r="AD38" s="555"/>
      <c r="AE38" s="573"/>
      <c r="AF38" s="163"/>
      <c r="AG38" s="573"/>
      <c r="AH38" s="547"/>
      <c r="AI38" s="575"/>
      <c r="AJ38" s="547"/>
      <c r="AK38" s="552"/>
      <c r="AL38" s="576"/>
      <c r="AN38" s="533"/>
      <c r="AO38" s="534"/>
    </row>
    <row r="39" spans="1:41" ht="15">
      <c r="A39" s="531"/>
      <c r="B39" s="268"/>
      <c r="E39" s="535"/>
      <c r="I39" s="513"/>
      <c r="J39" s="513"/>
      <c r="K39" s="513"/>
      <c r="L39" s="38"/>
      <c r="M39" s="548"/>
      <c r="N39" s="163"/>
      <c r="O39" s="163"/>
      <c r="P39" s="163"/>
      <c r="Q39" s="553"/>
      <c r="R39" s="554"/>
      <c r="S39" s="555"/>
      <c r="T39" s="555"/>
      <c r="U39" s="553"/>
      <c r="V39" s="555"/>
      <c r="W39" s="555"/>
      <c r="X39" s="555"/>
      <c r="Y39" s="554"/>
      <c r="Z39" s="555"/>
      <c r="AA39" s="555"/>
      <c r="AB39" s="555"/>
      <c r="AC39" s="555"/>
      <c r="AD39" s="555"/>
      <c r="AE39" s="573"/>
      <c r="AF39" s="163"/>
      <c r="AG39" s="573"/>
      <c r="AH39" s="547"/>
      <c r="AI39" s="575"/>
      <c r="AJ39" s="547"/>
      <c r="AK39" s="552"/>
      <c r="AL39" s="547"/>
      <c r="AN39" s="536"/>
      <c r="AO39" s="534"/>
    </row>
    <row r="40" spans="1:41" ht="15">
      <c r="A40" s="531" t="s">
        <v>783</v>
      </c>
      <c r="B40" s="268"/>
      <c r="E40" s="535">
        <v>15</v>
      </c>
      <c r="I40" s="513">
        <v>129</v>
      </c>
      <c r="J40" s="513"/>
      <c r="K40" s="513">
        <f>ROUND(+K$30*E40,1)</f>
        <v>137.3</v>
      </c>
      <c r="L40" s="38"/>
      <c r="M40" s="548"/>
      <c r="N40" s="163"/>
      <c r="O40" s="163"/>
      <c r="P40" s="163"/>
      <c r="Q40" s="553"/>
      <c r="R40" s="554"/>
      <c r="S40" s="555"/>
      <c r="T40" s="555"/>
      <c r="U40" s="553"/>
      <c r="V40" s="555"/>
      <c r="W40" s="555"/>
      <c r="X40" s="555"/>
      <c r="Y40" s="554"/>
      <c r="Z40" s="555"/>
      <c r="AA40" s="555"/>
      <c r="AB40" s="555"/>
      <c r="AC40" s="555"/>
      <c r="AD40" s="555"/>
      <c r="AE40" s="573"/>
      <c r="AF40" s="163"/>
      <c r="AG40" s="573"/>
      <c r="AH40" s="547"/>
      <c r="AI40" s="575"/>
      <c r="AJ40" s="547"/>
      <c r="AK40" s="552"/>
      <c r="AL40" s="576"/>
      <c r="AN40" s="533"/>
      <c r="AO40" s="534"/>
    </row>
    <row r="41" spans="1:41" ht="15">
      <c r="A41" s="531"/>
      <c r="B41" s="268"/>
      <c r="E41" s="535"/>
      <c r="I41" s="513"/>
      <c r="J41" s="513"/>
      <c r="K41" s="513"/>
      <c r="L41" s="38"/>
      <c r="M41" s="548"/>
      <c r="N41" s="163"/>
      <c r="O41" s="163"/>
      <c r="P41" s="163"/>
      <c r="Q41" s="553"/>
      <c r="R41" s="554"/>
      <c r="S41" s="555"/>
      <c r="T41" s="555"/>
      <c r="U41" s="553"/>
      <c r="V41" s="555"/>
      <c r="W41" s="555"/>
      <c r="X41" s="555"/>
      <c r="Y41" s="554"/>
      <c r="Z41" s="555"/>
      <c r="AA41" s="555"/>
      <c r="AB41" s="555"/>
      <c r="AC41" s="555"/>
      <c r="AD41" s="555"/>
      <c r="AE41" s="573"/>
      <c r="AF41" s="163"/>
      <c r="AG41" s="573"/>
      <c r="AH41" s="547"/>
      <c r="AI41" s="575"/>
      <c r="AJ41" s="547"/>
      <c r="AK41" s="552"/>
      <c r="AL41" s="547"/>
      <c r="AN41" s="536"/>
      <c r="AO41" s="534"/>
    </row>
    <row r="42" spans="1:41" ht="15">
      <c r="A42" s="531" t="s">
        <v>784</v>
      </c>
      <c r="B42" s="268"/>
      <c r="E42" s="535">
        <v>25</v>
      </c>
      <c r="I42" s="513">
        <v>215</v>
      </c>
      <c r="J42" s="513"/>
      <c r="K42" s="513">
        <f>ROUND(+K$30*E42,1)</f>
        <v>228.8</v>
      </c>
      <c r="L42" s="38"/>
      <c r="M42" s="548"/>
      <c r="N42" s="163"/>
      <c r="O42" s="163"/>
      <c r="P42" s="163"/>
      <c r="Q42" s="553"/>
      <c r="R42" s="554"/>
      <c r="S42" s="555"/>
      <c r="T42" s="555"/>
      <c r="U42" s="553"/>
      <c r="V42" s="555"/>
      <c r="W42" s="555"/>
      <c r="X42" s="555"/>
      <c r="Y42" s="554"/>
      <c r="Z42" s="555"/>
      <c r="AA42" s="555"/>
      <c r="AB42" s="555"/>
      <c r="AC42" s="555"/>
      <c r="AD42" s="555"/>
      <c r="AE42" s="573"/>
      <c r="AF42" s="163"/>
      <c r="AG42" s="573"/>
      <c r="AH42" s="547"/>
      <c r="AI42" s="575"/>
      <c r="AJ42" s="547"/>
      <c r="AK42" s="552"/>
      <c r="AL42" s="576"/>
      <c r="AN42" s="533"/>
      <c r="AO42" s="534"/>
    </row>
    <row r="43" spans="1:41" ht="15">
      <c r="A43" s="531"/>
      <c r="B43" s="268"/>
      <c r="E43" s="535"/>
      <c r="I43" s="513"/>
      <c r="J43" s="513"/>
      <c r="K43" s="513"/>
      <c r="L43" s="38"/>
      <c r="M43" s="548"/>
      <c r="N43" s="163"/>
      <c r="O43" s="163"/>
      <c r="P43" s="163"/>
      <c r="Q43" s="553"/>
      <c r="R43" s="554"/>
      <c r="S43" s="555"/>
      <c r="T43" s="555"/>
      <c r="U43" s="553"/>
      <c r="V43" s="555"/>
      <c r="W43" s="555"/>
      <c r="X43" s="555"/>
      <c r="Y43" s="554"/>
      <c r="Z43" s="555"/>
      <c r="AA43" s="555"/>
      <c r="AB43" s="555"/>
      <c r="AC43" s="555"/>
      <c r="AD43" s="555"/>
      <c r="AE43" s="573"/>
      <c r="AF43" s="163"/>
      <c r="AG43" s="573"/>
      <c r="AH43" s="547"/>
      <c r="AI43" s="575"/>
      <c r="AJ43" s="547"/>
      <c r="AK43" s="552"/>
      <c r="AL43" s="547"/>
      <c r="AN43" s="536"/>
      <c r="AO43" s="534"/>
    </row>
    <row r="44" spans="1:41" ht="15">
      <c r="A44" s="531" t="s">
        <v>785</v>
      </c>
      <c r="B44" s="267"/>
      <c r="E44" s="535">
        <v>50</v>
      </c>
      <c r="I44" s="513">
        <v>430</v>
      </c>
      <c r="J44" s="513"/>
      <c r="K44" s="513">
        <f>ROUND(+K$30*E44,1)</f>
        <v>457.5</v>
      </c>
      <c r="L44" s="38"/>
      <c r="M44" s="548"/>
      <c r="N44" s="163"/>
      <c r="O44" s="163"/>
      <c r="P44" s="163"/>
      <c r="Q44" s="553"/>
      <c r="R44" s="554"/>
      <c r="S44" s="555"/>
      <c r="T44" s="555"/>
      <c r="U44" s="553"/>
      <c r="V44" s="555"/>
      <c r="W44" s="555"/>
      <c r="X44" s="555"/>
      <c r="Y44" s="554"/>
      <c r="Z44" s="555"/>
      <c r="AA44" s="555"/>
      <c r="AB44" s="555"/>
      <c r="AC44" s="555"/>
      <c r="AD44" s="555"/>
      <c r="AE44" s="573"/>
      <c r="AF44" s="163"/>
      <c r="AG44" s="573"/>
      <c r="AH44" s="547"/>
      <c r="AI44" s="575"/>
      <c r="AJ44" s="547"/>
      <c r="AK44" s="552"/>
      <c r="AL44" s="576"/>
      <c r="AN44" s="533"/>
      <c r="AO44" s="534"/>
    </row>
    <row r="45" spans="1:41" ht="15">
      <c r="A45" s="531"/>
      <c r="B45" s="268"/>
      <c r="E45" s="535"/>
      <c r="I45" s="513"/>
      <c r="J45" s="513"/>
      <c r="K45" s="513"/>
      <c r="L45" s="38"/>
      <c r="M45" s="548"/>
      <c r="N45" s="163"/>
      <c r="O45" s="163"/>
      <c r="P45" s="163"/>
      <c r="Q45" s="553"/>
      <c r="R45" s="554"/>
      <c r="S45" s="555"/>
      <c r="T45" s="555"/>
      <c r="U45" s="553"/>
      <c r="V45" s="555"/>
      <c r="W45" s="555"/>
      <c r="X45" s="555"/>
      <c r="Y45" s="554"/>
      <c r="Z45" s="555"/>
      <c r="AA45" s="555"/>
      <c r="AB45" s="555"/>
      <c r="AC45" s="555"/>
      <c r="AD45" s="555"/>
      <c r="AE45" s="573"/>
      <c r="AF45" s="163"/>
      <c r="AG45" s="573"/>
      <c r="AH45" s="547"/>
      <c r="AI45" s="575"/>
      <c r="AJ45" s="547"/>
      <c r="AK45" s="552"/>
      <c r="AL45" s="547"/>
      <c r="AN45" s="536"/>
      <c r="AO45" s="534"/>
    </row>
    <row r="46" spans="1:41" ht="15">
      <c r="A46" s="531" t="s">
        <v>786</v>
      </c>
      <c r="B46" s="268"/>
      <c r="E46" s="535">
        <v>80</v>
      </c>
      <c r="I46" s="513">
        <v>688</v>
      </c>
      <c r="J46" s="513"/>
      <c r="K46" s="513">
        <f>ROUND(+K$30*E46,1)</f>
        <v>732</v>
      </c>
      <c r="L46" s="38"/>
      <c r="M46" s="548"/>
      <c r="N46" s="163"/>
      <c r="O46" s="163"/>
      <c r="P46" s="163"/>
      <c r="Q46" s="553"/>
      <c r="R46" s="554"/>
      <c r="S46" s="555"/>
      <c r="T46" s="555"/>
      <c r="U46" s="553"/>
      <c r="V46" s="555"/>
      <c r="W46" s="555"/>
      <c r="X46" s="555"/>
      <c r="Y46" s="554"/>
      <c r="Z46" s="555"/>
      <c r="AA46" s="555"/>
      <c r="AB46" s="555"/>
      <c r="AC46" s="555"/>
      <c r="AD46" s="555"/>
      <c r="AE46" s="573"/>
      <c r="AF46" s="163"/>
      <c r="AG46" s="573"/>
      <c r="AH46" s="547"/>
      <c r="AI46" s="575"/>
      <c r="AJ46" s="547"/>
      <c r="AK46" s="552"/>
      <c r="AL46" s="576"/>
      <c r="AN46" s="533"/>
      <c r="AO46" s="534"/>
    </row>
    <row r="47" spans="9:38" ht="15">
      <c r="I47" s="513"/>
      <c r="J47" s="513"/>
      <c r="K47" s="513"/>
      <c r="L47" s="38"/>
      <c r="M47" s="409"/>
      <c r="N47" s="163"/>
      <c r="O47" s="163"/>
      <c r="P47" s="163"/>
      <c r="Q47" s="542"/>
      <c r="R47" s="163"/>
      <c r="S47" s="542"/>
      <c r="T47" s="542"/>
      <c r="U47" s="557"/>
      <c r="V47" s="542"/>
      <c r="W47" s="542"/>
      <c r="X47" s="542"/>
      <c r="Y47" s="542"/>
      <c r="Z47" s="542"/>
      <c r="AA47" s="542"/>
      <c r="AB47" s="542"/>
      <c r="AC47" s="542"/>
      <c r="AD47" s="542"/>
      <c r="AE47" s="573"/>
      <c r="AF47" s="163"/>
      <c r="AG47" s="577"/>
      <c r="AH47" s="163"/>
      <c r="AI47" s="163"/>
      <c r="AJ47" s="163"/>
      <c r="AK47" s="163"/>
      <c r="AL47" s="163"/>
    </row>
    <row r="48" spans="9:41" ht="15">
      <c r="I48" s="513"/>
      <c r="J48" s="513"/>
      <c r="K48" s="513"/>
      <c r="L48" s="38"/>
      <c r="M48" s="409"/>
      <c r="N48" s="163"/>
      <c r="O48" s="163"/>
      <c r="P48" s="163"/>
      <c r="Q48" s="163"/>
      <c r="R48" s="163"/>
      <c r="S48" s="542"/>
      <c r="T48" s="542"/>
      <c r="U48" s="557"/>
      <c r="V48" s="542"/>
      <c r="W48" s="542"/>
      <c r="X48" s="542"/>
      <c r="Y48" s="542"/>
      <c r="Z48" s="542"/>
      <c r="AA48" s="542"/>
      <c r="AB48" s="542"/>
      <c r="AC48" s="578"/>
      <c r="AD48" s="542"/>
      <c r="AE48" s="163"/>
      <c r="AF48" s="163"/>
      <c r="AG48" s="573"/>
      <c r="AH48" s="573"/>
      <c r="AI48" s="573"/>
      <c r="AJ48" s="573"/>
      <c r="AK48" s="163"/>
      <c r="AL48" s="163"/>
      <c r="AN48" s="534"/>
      <c r="AO48" s="534"/>
    </row>
    <row r="49" spans="9:38" ht="15">
      <c r="I49" s="38"/>
      <c r="J49" s="38"/>
      <c r="K49" s="38"/>
      <c r="L49" s="38"/>
      <c r="M49" s="409"/>
      <c r="N49" s="163"/>
      <c r="O49" s="163"/>
      <c r="P49" s="163"/>
      <c r="Q49" s="163"/>
      <c r="R49" s="163"/>
      <c r="S49" s="542"/>
      <c r="T49" s="542"/>
      <c r="U49" s="542"/>
      <c r="V49" s="542"/>
      <c r="W49" s="542"/>
      <c r="X49" s="542"/>
      <c r="Y49" s="542"/>
      <c r="Z49" s="542"/>
      <c r="AA49" s="542"/>
      <c r="AB49" s="542"/>
      <c r="AC49" s="542"/>
      <c r="AD49" s="542"/>
      <c r="AE49" s="163"/>
      <c r="AF49" s="163"/>
      <c r="AG49" s="163"/>
      <c r="AH49" s="163"/>
      <c r="AI49" s="163"/>
      <c r="AJ49" s="163"/>
      <c r="AK49" s="163"/>
      <c r="AL49" s="163"/>
    </row>
    <row r="50" spans="1:38" ht="15">
      <c r="A50" s="270"/>
      <c r="I50" s="38"/>
      <c r="J50" s="38"/>
      <c r="K50" s="38"/>
      <c r="L50" s="38"/>
      <c r="M50" s="409"/>
      <c r="N50" s="163"/>
      <c r="O50" s="163"/>
      <c r="P50" s="163"/>
      <c r="Q50" s="163"/>
      <c r="R50" s="163"/>
      <c r="S50" s="542"/>
      <c r="T50" s="542"/>
      <c r="U50" s="542"/>
      <c r="V50" s="542"/>
      <c r="W50" s="542"/>
      <c r="X50" s="542"/>
      <c r="Y50" s="542"/>
      <c r="Z50" s="542"/>
      <c r="AA50" s="542"/>
      <c r="AB50" s="578"/>
      <c r="AC50" s="163"/>
      <c r="AD50" s="542"/>
      <c r="AE50" s="163"/>
      <c r="AF50" s="163"/>
      <c r="AG50" s="573"/>
      <c r="AH50" s="461"/>
      <c r="AI50" s="163"/>
      <c r="AJ50" s="577"/>
      <c r="AK50" s="163"/>
      <c r="AL50" s="163"/>
    </row>
    <row r="51" spans="1:38" ht="15">
      <c r="A51" s="537" t="s">
        <v>787</v>
      </c>
      <c r="I51" s="38"/>
      <c r="J51" s="38"/>
      <c r="K51" s="38"/>
      <c r="L51" s="38"/>
      <c r="M51" s="409"/>
      <c r="N51" s="163"/>
      <c r="O51" s="163"/>
      <c r="P51" s="163"/>
      <c r="Q51" s="163"/>
      <c r="R51" s="163"/>
      <c r="S51" s="542"/>
      <c r="T51" s="542"/>
      <c r="U51" s="542"/>
      <c r="V51" s="542"/>
      <c r="W51" s="542"/>
      <c r="X51" s="542"/>
      <c r="Y51" s="542"/>
      <c r="Z51" s="542"/>
      <c r="AA51" s="542"/>
      <c r="AB51" s="542"/>
      <c r="AC51" s="542"/>
      <c r="AD51" s="542"/>
      <c r="AE51" s="163"/>
      <c r="AF51" s="163"/>
      <c r="AG51" s="163"/>
      <c r="AH51" s="163"/>
      <c r="AI51" s="163"/>
      <c r="AJ51" s="163"/>
      <c r="AK51" s="163"/>
      <c r="AL51" s="163"/>
    </row>
    <row r="52" spans="1:38" ht="15">
      <c r="A52" s="537" t="s">
        <v>788</v>
      </c>
      <c r="I52" s="38"/>
      <c r="J52" s="38"/>
      <c r="K52" s="38"/>
      <c r="L52" s="38"/>
      <c r="M52" s="409"/>
      <c r="N52" s="163"/>
      <c r="O52" s="163"/>
      <c r="P52" s="163"/>
      <c r="Q52" s="163"/>
      <c r="R52" s="163"/>
      <c r="S52" s="163"/>
      <c r="T52" s="163"/>
      <c r="U52" s="163"/>
      <c r="V52" s="163"/>
      <c r="W52" s="163"/>
      <c r="X52" s="163"/>
      <c r="Y52" s="163"/>
      <c r="Z52" s="163"/>
      <c r="AA52" s="163"/>
      <c r="AB52" s="163"/>
      <c r="AC52" s="542"/>
      <c r="AD52" s="163"/>
      <c r="AE52" s="163"/>
      <c r="AF52" s="163"/>
      <c r="AG52" s="571"/>
      <c r="AH52" s="579"/>
      <c r="AI52" s="579"/>
      <c r="AJ52" s="579"/>
      <c r="AK52" s="163"/>
      <c r="AL52" s="163"/>
    </row>
    <row r="53" spans="13:38" ht="12.75">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38" ht="12.75">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38" ht="12.75">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38" ht="12.75">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26" ht="12.75">
      <c r="M57" s="163"/>
      <c r="N57" s="163"/>
      <c r="O57" s="163"/>
      <c r="P57" s="163"/>
      <c r="Q57" s="163"/>
      <c r="R57" s="163"/>
      <c r="S57" s="163"/>
      <c r="T57" s="163"/>
      <c r="U57" s="163"/>
      <c r="V57" s="163"/>
      <c r="W57" s="163"/>
      <c r="X57" s="163"/>
      <c r="Y57" s="163"/>
      <c r="Z57" s="163"/>
    </row>
    <row r="58" spans="13:26" ht="12.75">
      <c r="M58" s="163"/>
      <c r="N58" s="163"/>
      <c r="O58" s="163"/>
      <c r="P58" s="163"/>
      <c r="Q58" s="163"/>
      <c r="R58" s="163"/>
      <c r="S58" s="163"/>
      <c r="T58" s="163"/>
      <c r="U58" s="163"/>
      <c r="V58" s="163"/>
      <c r="W58" s="163"/>
      <c r="X58" s="163"/>
      <c r="Y58" s="163"/>
      <c r="Z58" s="163"/>
    </row>
    <row r="59" spans="13:26" ht="12.75">
      <c r="M59" s="163"/>
      <c r="N59" s="163"/>
      <c r="O59" s="163"/>
      <c r="P59" s="163"/>
      <c r="Q59" s="163"/>
      <c r="R59" s="163"/>
      <c r="S59" s="163"/>
      <c r="T59" s="163"/>
      <c r="U59" s="163"/>
      <c r="V59" s="163"/>
      <c r="W59" s="163"/>
      <c r="X59" s="163"/>
      <c r="Y59" s="163"/>
      <c r="Z59" s="163"/>
    </row>
  </sheetData>
  <mergeCells count="6">
    <mergeCell ref="Q26:S26"/>
    <mergeCell ref="U26:W26"/>
    <mergeCell ref="A4:K4"/>
    <mergeCell ref="A6:K6"/>
    <mergeCell ref="G11:I11"/>
    <mergeCell ref="G12:I12"/>
  </mergeCells>
  <printOptions/>
  <pageMargins left="1" right="0.75" top="1" bottom="0.5"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6:U55"/>
  <sheetViews>
    <sheetView workbookViewId="0" topLeftCell="A1">
      <selection activeCell="F45" sqref="F45"/>
    </sheetView>
  </sheetViews>
  <sheetFormatPr defaultColWidth="8.88671875" defaultRowHeight="12.75"/>
  <cols>
    <col min="2" max="2" width="16.21484375" style="0" customWidth="1"/>
    <col min="3" max="3" width="1.99609375" style="0" customWidth="1"/>
    <col min="4" max="4" width="12.4453125" style="0" customWidth="1"/>
    <col min="5" max="5" width="1.77734375" style="0" customWidth="1"/>
    <col min="6" max="6" width="8.10546875" style="0" customWidth="1"/>
    <col min="7" max="7" width="3.5546875" style="0" customWidth="1"/>
    <col min="8" max="8" width="11.88671875" style="0" customWidth="1"/>
    <col min="9" max="9" width="2.5546875" style="0" customWidth="1"/>
    <col min="10" max="10" width="8.5546875" style="0" customWidth="1"/>
    <col min="11" max="11" width="3.6640625" style="0" customWidth="1"/>
    <col min="12" max="12" width="12.21484375" style="0" customWidth="1"/>
    <col min="13" max="13" width="3.10546875" style="0" bestFit="1" customWidth="1"/>
    <col min="15" max="15" width="3.5546875" style="0" customWidth="1"/>
    <col min="16" max="16" width="12.5546875" style="0" bestFit="1" customWidth="1"/>
    <col min="17" max="17" width="2.3359375" style="0" customWidth="1"/>
    <col min="18" max="18" width="8.3359375" style="0" customWidth="1"/>
  </cols>
  <sheetData>
    <row r="6" spans="2:18" ht="15">
      <c r="B6" s="598" t="s">
        <v>8</v>
      </c>
      <c r="C6" s="598"/>
      <c r="D6" s="598"/>
      <c r="E6" s="598"/>
      <c r="F6" s="598"/>
      <c r="G6" s="598"/>
      <c r="H6" s="598"/>
      <c r="I6" s="598"/>
      <c r="J6" s="598"/>
      <c r="K6" s="598"/>
      <c r="L6" s="598"/>
      <c r="M6" s="598"/>
      <c r="N6" s="598"/>
      <c r="O6" s="598"/>
      <c r="P6" s="598"/>
      <c r="Q6" s="598"/>
      <c r="R6" s="598"/>
    </row>
    <row r="7" spans="2:18" ht="15">
      <c r="B7" s="598"/>
      <c r="C7" s="598"/>
      <c r="D7" s="598"/>
      <c r="E7" s="598"/>
      <c r="F7" s="598"/>
      <c r="G7" s="598"/>
      <c r="H7" s="598"/>
      <c r="I7" s="598"/>
      <c r="J7" s="598"/>
      <c r="K7" s="598"/>
      <c r="L7" s="598"/>
      <c r="M7" s="598"/>
      <c r="N7" s="598"/>
      <c r="O7" s="598"/>
      <c r="P7" s="598"/>
      <c r="Q7" s="598"/>
      <c r="R7" s="598"/>
    </row>
    <row r="8" spans="2:18" ht="15">
      <c r="B8" s="267"/>
      <c r="C8" s="267"/>
      <c r="D8" s="267"/>
      <c r="E8" s="267"/>
      <c r="F8" s="267"/>
      <c r="G8" s="267"/>
      <c r="H8" s="267"/>
      <c r="I8" s="267"/>
      <c r="J8" s="267"/>
      <c r="K8" s="267"/>
      <c r="L8" s="267"/>
      <c r="M8" s="268"/>
      <c r="N8" s="268"/>
      <c r="O8" s="268"/>
      <c r="P8" s="268"/>
      <c r="Q8" s="268"/>
      <c r="R8" s="268"/>
    </row>
    <row r="9" spans="2:18" ht="15">
      <c r="B9" s="598" t="s">
        <v>601</v>
      </c>
      <c r="C9" s="598"/>
      <c r="D9" s="598"/>
      <c r="E9" s="598"/>
      <c r="F9" s="598"/>
      <c r="G9" s="598"/>
      <c r="H9" s="598"/>
      <c r="I9" s="598"/>
      <c r="J9" s="598"/>
      <c r="K9" s="598"/>
      <c r="L9" s="598"/>
      <c r="M9" s="598"/>
      <c r="N9" s="598"/>
      <c r="O9" s="598"/>
      <c r="P9" s="598"/>
      <c r="Q9" s="598"/>
      <c r="R9" s="598"/>
    </row>
    <row r="10" spans="2:18" ht="15">
      <c r="B10" s="598" t="s">
        <v>741</v>
      </c>
      <c r="C10" s="598"/>
      <c r="D10" s="598"/>
      <c r="E10" s="598"/>
      <c r="F10" s="598"/>
      <c r="G10" s="598"/>
      <c r="H10" s="598"/>
      <c r="I10" s="598"/>
      <c r="J10" s="598"/>
      <c r="K10" s="598"/>
      <c r="L10" s="598"/>
      <c r="M10" s="598"/>
      <c r="N10" s="598"/>
      <c r="O10" s="598"/>
      <c r="P10" s="598"/>
      <c r="Q10" s="598"/>
      <c r="R10" s="598"/>
    </row>
    <row r="11" spans="2:18" ht="15">
      <c r="B11" s="267"/>
      <c r="C11" s="267"/>
      <c r="D11" s="267"/>
      <c r="E11" s="267"/>
      <c r="F11" s="267"/>
      <c r="G11" s="267"/>
      <c r="H11" s="267"/>
      <c r="I11" s="267"/>
      <c r="J11" s="267"/>
      <c r="K11" s="267"/>
      <c r="L11" s="267"/>
      <c r="M11" s="268"/>
      <c r="N11" s="268"/>
      <c r="O11" s="268"/>
      <c r="P11" s="268"/>
      <c r="Q11" s="268"/>
      <c r="R11" s="268"/>
    </row>
    <row r="12" spans="2:18" ht="15">
      <c r="B12" s="267"/>
      <c r="C12" s="267"/>
      <c r="D12" s="267"/>
      <c r="E12" s="267"/>
      <c r="F12" s="267"/>
      <c r="G12" s="267"/>
      <c r="H12" s="267"/>
      <c r="I12" s="267"/>
      <c r="J12" s="267"/>
      <c r="K12" s="267"/>
      <c r="L12" s="267"/>
      <c r="M12" s="268"/>
      <c r="N12" s="268"/>
      <c r="O12" s="268"/>
      <c r="P12" s="268"/>
      <c r="Q12" s="268"/>
      <c r="R12" s="268"/>
    </row>
    <row r="13" spans="2:18" ht="15">
      <c r="B13" s="269"/>
      <c r="C13" s="269"/>
      <c r="D13" s="603" t="s">
        <v>602</v>
      </c>
      <c r="E13" s="603"/>
      <c r="F13" s="603"/>
      <c r="G13" s="267"/>
      <c r="H13" s="267"/>
      <c r="I13" s="267"/>
      <c r="J13" s="267"/>
      <c r="K13" s="267"/>
      <c r="L13" s="267"/>
      <c r="M13" s="268"/>
      <c r="N13" s="268"/>
      <c r="O13" s="268"/>
      <c r="P13" s="603" t="s">
        <v>603</v>
      </c>
      <c r="Q13" s="603"/>
      <c r="R13" s="603"/>
    </row>
    <row r="14" spans="2:18" ht="15">
      <c r="B14" s="266" t="s">
        <v>425</v>
      </c>
      <c r="C14" s="266"/>
      <c r="D14" s="296" t="s">
        <v>604</v>
      </c>
      <c r="G14" s="267"/>
      <c r="H14" s="603" t="s">
        <v>605</v>
      </c>
      <c r="I14" s="603"/>
      <c r="J14" s="603"/>
      <c r="K14" s="267"/>
      <c r="L14" s="603" t="s">
        <v>606</v>
      </c>
      <c r="M14" s="603"/>
      <c r="N14" s="603"/>
      <c r="O14" s="268"/>
      <c r="P14" s="268"/>
      <c r="Q14" s="268"/>
      <c r="R14" s="266" t="s">
        <v>463</v>
      </c>
    </row>
    <row r="15" spans="2:18" ht="15">
      <c r="B15" s="270" t="s">
        <v>378</v>
      </c>
      <c r="C15" s="269"/>
      <c r="D15" s="270" t="s">
        <v>627</v>
      </c>
      <c r="E15" s="267"/>
      <c r="F15" s="270" t="s">
        <v>463</v>
      </c>
      <c r="G15" s="267"/>
      <c r="H15" s="270" t="s">
        <v>604</v>
      </c>
      <c r="I15" s="267"/>
      <c r="J15" s="270" t="s">
        <v>463</v>
      </c>
      <c r="K15" s="267"/>
      <c r="L15" s="270" t="s">
        <v>604</v>
      </c>
      <c r="M15" s="267"/>
      <c r="N15" s="270" t="s">
        <v>463</v>
      </c>
      <c r="O15" s="268"/>
      <c r="P15" s="270" t="s">
        <v>604</v>
      </c>
      <c r="Q15" s="267"/>
      <c r="R15" s="270" t="s">
        <v>607</v>
      </c>
    </row>
    <row r="16" spans="2:18" ht="15">
      <c r="B16" s="271" t="s">
        <v>380</v>
      </c>
      <c r="C16" s="272"/>
      <c r="D16" s="271" t="s">
        <v>400</v>
      </c>
      <c r="E16" s="272"/>
      <c r="F16" s="271" t="s">
        <v>382</v>
      </c>
      <c r="G16" s="272"/>
      <c r="H16" s="271" t="s">
        <v>402</v>
      </c>
      <c r="I16" s="272"/>
      <c r="J16" s="271" t="s">
        <v>414</v>
      </c>
      <c r="K16" s="267"/>
      <c r="L16" s="271" t="s">
        <v>428</v>
      </c>
      <c r="M16" s="272"/>
      <c r="N16" s="271" t="s">
        <v>435</v>
      </c>
      <c r="O16" s="268"/>
      <c r="P16" s="271" t="s">
        <v>608</v>
      </c>
      <c r="Q16" s="272"/>
      <c r="R16" s="271" t="s">
        <v>609</v>
      </c>
    </row>
    <row r="17" spans="2:18" ht="15">
      <c r="B17" s="267"/>
      <c r="C17" s="267"/>
      <c r="D17" s="267"/>
      <c r="E17" s="267"/>
      <c r="F17" s="267"/>
      <c r="G17" s="267"/>
      <c r="H17" s="267"/>
      <c r="I17" s="267"/>
      <c r="J17" s="267"/>
      <c r="K17" s="267"/>
      <c r="L17" s="267"/>
      <c r="M17" s="267"/>
      <c r="N17" s="267"/>
      <c r="O17" s="268"/>
      <c r="P17" s="267"/>
      <c r="Q17" s="267"/>
      <c r="R17" s="267"/>
    </row>
    <row r="18" spans="1:19" ht="15">
      <c r="A18" s="294"/>
      <c r="B18" s="267" t="s">
        <v>383</v>
      </c>
      <c r="C18" s="267"/>
      <c r="D18" s="273">
        <f>+'COS 1'!J281</f>
        <v>47792265.68459573</v>
      </c>
      <c r="E18" s="267"/>
      <c r="F18" s="265">
        <f>ROUND(D18/D$32,3)+0.001</f>
        <v>0.528</v>
      </c>
      <c r="G18" s="267"/>
      <c r="H18" s="273">
        <v>35142234.75</v>
      </c>
      <c r="I18" s="502" t="s">
        <v>748</v>
      </c>
      <c r="J18" s="265">
        <f>ROUND(H18/H$32,3)-0.001</f>
        <v>0.542</v>
      </c>
      <c r="K18" s="267"/>
      <c r="L18" s="273">
        <v>48192528.75</v>
      </c>
      <c r="M18" s="502" t="s">
        <v>748</v>
      </c>
      <c r="N18" s="265">
        <f>ROUND(L18/L$32,3)+0.001</f>
        <v>0.533</v>
      </c>
      <c r="O18" s="268"/>
      <c r="P18" s="273">
        <f>+L18-H18</f>
        <v>13050294</v>
      </c>
      <c r="Q18" s="267"/>
      <c r="R18" s="265">
        <f>+P18/H18</f>
        <v>0.37135640612610726</v>
      </c>
      <c r="S18" s="396"/>
    </row>
    <row r="19" spans="1:18" ht="15">
      <c r="A19" s="294"/>
      <c r="B19" s="267"/>
      <c r="C19" s="267"/>
      <c r="D19" s="267"/>
      <c r="E19" s="267"/>
      <c r="F19" s="265"/>
      <c r="G19" s="267"/>
      <c r="H19" s="273"/>
      <c r="I19" s="267"/>
      <c r="J19" s="265"/>
      <c r="K19" s="267"/>
      <c r="L19" s="393"/>
      <c r="M19" s="267"/>
      <c r="N19" s="267"/>
      <c r="O19" s="268"/>
      <c r="P19" s="267"/>
      <c r="Q19" s="267"/>
      <c r="R19" s="265"/>
    </row>
    <row r="20" spans="1:19" ht="15">
      <c r="A20" s="294"/>
      <c r="B20" s="267" t="s">
        <v>384</v>
      </c>
      <c r="C20" s="267"/>
      <c r="D20" s="272">
        <f>+'COS 1'!L281</f>
        <v>23395225.318847593</v>
      </c>
      <c r="E20" s="267"/>
      <c r="F20" s="265">
        <f aca="true" t="shared" si="0" ref="F20:F30">ROUND(D20/D$32,3)</f>
        <v>0.258</v>
      </c>
      <c r="G20" s="267"/>
      <c r="H20" s="293">
        <v>16389110</v>
      </c>
      <c r="I20" s="267"/>
      <c r="J20" s="265">
        <f aca="true" t="shared" si="1" ref="J20:J30">ROUND(H20/H$32,3)</f>
        <v>0.253</v>
      </c>
      <c r="K20" s="267"/>
      <c r="L20" s="394">
        <v>23401316</v>
      </c>
      <c r="M20" s="267"/>
      <c r="N20" s="265">
        <f>ROUND(L20/L$32,3)</f>
        <v>0.258</v>
      </c>
      <c r="O20" s="268"/>
      <c r="P20" s="272">
        <f>+L20-H20</f>
        <v>7012206</v>
      </c>
      <c r="Q20" s="267"/>
      <c r="R20" s="265">
        <f>+P20/H20</f>
        <v>0.4278576444968641</v>
      </c>
      <c r="S20" s="396"/>
    </row>
    <row r="21" spans="1:18" ht="15">
      <c r="A21" s="294"/>
      <c r="B21" s="267"/>
      <c r="C21" s="267"/>
      <c r="D21" s="272"/>
      <c r="E21" s="267"/>
      <c r="F21" s="265"/>
      <c r="G21" s="267"/>
      <c r="H21" s="293"/>
      <c r="I21" s="267"/>
      <c r="J21" s="265"/>
      <c r="K21" s="267"/>
      <c r="L21" s="393"/>
      <c r="M21" s="267"/>
      <c r="N21" s="267"/>
      <c r="O21" s="268"/>
      <c r="P21" s="272"/>
      <c r="Q21" s="267"/>
      <c r="R21" s="265"/>
    </row>
    <row r="22" spans="1:19" ht="15">
      <c r="A22" s="294"/>
      <c r="B22" s="267" t="s">
        <v>385</v>
      </c>
      <c r="C22" s="267"/>
      <c r="D22" s="272">
        <f>+'COS 1'!N281</f>
        <v>2691608.1401036037</v>
      </c>
      <c r="E22" s="267"/>
      <c r="F22" s="265">
        <f t="shared" si="0"/>
        <v>0.03</v>
      </c>
      <c r="G22" s="267"/>
      <c r="H22" s="293">
        <v>1533405</v>
      </c>
      <c r="I22" s="267"/>
      <c r="J22" s="265">
        <f t="shared" si="1"/>
        <v>0.024</v>
      </c>
      <c r="K22" s="267"/>
      <c r="L22" s="394">
        <v>2288614</v>
      </c>
      <c r="M22" s="267"/>
      <c r="N22" s="265">
        <f>ROUND(L22/L$32,3)</f>
        <v>0.025</v>
      </c>
      <c r="O22" s="268"/>
      <c r="P22" s="272">
        <f>+L22-H22</f>
        <v>755209</v>
      </c>
      <c r="Q22" s="267"/>
      <c r="R22" s="265">
        <f>+P22/H22</f>
        <v>0.49250458945940573</v>
      </c>
      <c r="S22" s="396"/>
    </row>
    <row r="23" spans="1:18" ht="15">
      <c r="A23" s="294"/>
      <c r="B23" s="267"/>
      <c r="C23" s="267"/>
      <c r="D23" s="272"/>
      <c r="E23" s="267"/>
      <c r="F23" s="265"/>
      <c r="G23" s="267"/>
      <c r="H23" s="293"/>
      <c r="I23" s="267"/>
      <c r="J23" s="265"/>
      <c r="K23" s="267"/>
      <c r="L23" s="393"/>
      <c r="M23" s="267"/>
      <c r="N23" s="267"/>
      <c r="O23" s="268"/>
      <c r="P23" s="272"/>
      <c r="Q23" s="267"/>
      <c r="R23" s="265"/>
    </row>
    <row r="24" spans="1:21" ht="15">
      <c r="A24" s="294"/>
      <c r="B24" s="267" t="s">
        <v>610</v>
      </c>
      <c r="C24" s="267"/>
      <c r="D24" s="272">
        <f>+'COS 1'!P281</f>
        <v>8256012.33824609</v>
      </c>
      <c r="E24" s="267"/>
      <c r="F24" s="265">
        <f t="shared" si="0"/>
        <v>0.091</v>
      </c>
      <c r="G24" s="267"/>
      <c r="H24" s="293">
        <v>5636110</v>
      </c>
      <c r="I24" s="267"/>
      <c r="J24" s="265">
        <f t="shared" si="1"/>
        <v>0.087</v>
      </c>
      <c r="K24" s="267"/>
      <c r="L24" s="394">
        <v>8259143</v>
      </c>
      <c r="M24" s="267"/>
      <c r="N24" s="265">
        <f>ROUND(L24/L$32,3)</f>
        <v>0.091</v>
      </c>
      <c r="O24" s="268"/>
      <c r="P24" s="272">
        <f>+L24-H24</f>
        <v>2623033</v>
      </c>
      <c r="Q24" s="267"/>
      <c r="R24" s="265">
        <f>+P24/H24</f>
        <v>0.46539776548009176</v>
      </c>
      <c r="S24" s="396"/>
      <c r="U24" s="228"/>
    </row>
    <row r="25" spans="1:18" ht="15">
      <c r="A25" s="294"/>
      <c r="B25" s="267"/>
      <c r="C25" s="267"/>
      <c r="D25" s="272"/>
      <c r="E25" s="267"/>
      <c r="F25" s="265"/>
      <c r="G25" s="267"/>
      <c r="H25" s="293"/>
      <c r="I25" s="267"/>
      <c r="J25" s="265"/>
      <c r="K25" s="267"/>
      <c r="L25" s="393"/>
      <c r="M25" s="267"/>
      <c r="N25" s="267"/>
      <c r="O25" s="268"/>
      <c r="P25" s="272"/>
      <c r="Q25" s="267"/>
      <c r="R25" s="265"/>
    </row>
    <row r="26" spans="1:19" ht="15">
      <c r="A26" s="294"/>
      <c r="B26" s="267" t="s">
        <v>508</v>
      </c>
      <c r="C26" s="267"/>
      <c r="D26" s="272">
        <f>+'COS 1'!R281</f>
        <v>2368843.2358749635</v>
      </c>
      <c r="E26" s="267"/>
      <c r="F26" s="265">
        <f t="shared" si="0"/>
        <v>0.026</v>
      </c>
      <c r="G26" s="267"/>
      <c r="H26" s="293">
        <v>1588731</v>
      </c>
      <c r="I26" s="267"/>
      <c r="J26" s="265">
        <f t="shared" si="1"/>
        <v>0.025</v>
      </c>
      <c r="K26" s="267"/>
      <c r="L26" s="394">
        <v>2367137</v>
      </c>
      <c r="M26" s="267"/>
      <c r="N26" s="265">
        <f>ROUND(L26/L$32,3)</f>
        <v>0.026</v>
      </c>
      <c r="O26" s="268"/>
      <c r="P26" s="272">
        <f>+L26-H26</f>
        <v>778406</v>
      </c>
      <c r="Q26" s="267"/>
      <c r="R26" s="265">
        <f>+P26/H26</f>
        <v>0.48995456121898545</v>
      </c>
      <c r="S26" s="396"/>
    </row>
    <row r="27" spans="1:18" ht="15">
      <c r="A27" s="294"/>
      <c r="B27" s="267"/>
      <c r="C27" s="267"/>
      <c r="D27" s="272"/>
      <c r="E27" s="267"/>
      <c r="F27" s="265"/>
      <c r="G27" s="267"/>
      <c r="H27" s="293"/>
      <c r="I27" s="267"/>
      <c r="J27" s="265"/>
      <c r="K27" s="267"/>
      <c r="L27" s="393"/>
      <c r="M27" s="267"/>
      <c r="N27" s="267"/>
      <c r="O27" s="268"/>
      <c r="P27" s="272"/>
      <c r="Q27" s="267"/>
      <c r="R27" s="265"/>
    </row>
    <row r="28" spans="1:19" ht="15">
      <c r="A28" s="294"/>
      <c r="B28" s="267" t="s">
        <v>611</v>
      </c>
      <c r="C28" s="267"/>
      <c r="D28" s="272">
        <f>+'COS 1'!T281</f>
        <v>2474854.5719086705</v>
      </c>
      <c r="E28" s="267"/>
      <c r="F28" s="265">
        <f t="shared" si="0"/>
        <v>0.027</v>
      </c>
      <c r="G28" s="267"/>
      <c r="H28" s="293">
        <v>1716893</v>
      </c>
      <c r="I28" s="267"/>
      <c r="J28" s="265">
        <f t="shared" si="1"/>
        <v>0.027</v>
      </c>
      <c r="K28" s="267"/>
      <c r="L28" s="394">
        <v>2472547</v>
      </c>
      <c r="M28" s="267"/>
      <c r="N28" s="265">
        <f>ROUND(L28/L$32,3)</f>
        <v>0.027</v>
      </c>
      <c r="O28" s="268"/>
      <c r="P28" s="272">
        <f>+L28-H28</f>
        <v>755654</v>
      </c>
      <c r="Q28" s="267"/>
      <c r="R28" s="265">
        <f>+P28/H28</f>
        <v>0.4401287674887136</v>
      </c>
      <c r="S28" s="396"/>
    </row>
    <row r="29" spans="2:18" ht="15">
      <c r="B29" s="267"/>
      <c r="C29" s="267"/>
      <c r="D29" s="272"/>
      <c r="E29" s="267"/>
      <c r="F29" s="265"/>
      <c r="G29" s="267"/>
      <c r="H29" s="272"/>
      <c r="I29" s="267"/>
      <c r="J29" s="265"/>
      <c r="K29" s="267"/>
      <c r="L29" s="393"/>
      <c r="M29" s="267"/>
      <c r="N29" s="265"/>
      <c r="O29" s="268"/>
      <c r="P29" s="272"/>
      <c r="Q29" s="267"/>
      <c r="R29" s="265"/>
    </row>
    <row r="30" spans="2:18" ht="15">
      <c r="B30" s="267" t="s">
        <v>612</v>
      </c>
      <c r="C30" s="267"/>
      <c r="D30" s="275">
        <f>+'COS 1'!V281</f>
        <v>3622964.0482938206</v>
      </c>
      <c r="E30" s="267"/>
      <c r="F30" s="274">
        <f t="shared" si="0"/>
        <v>0.04</v>
      </c>
      <c r="G30" s="267"/>
      <c r="H30" s="307">
        <v>2747004</v>
      </c>
      <c r="I30" s="267"/>
      <c r="J30" s="274">
        <f t="shared" si="1"/>
        <v>0.042</v>
      </c>
      <c r="K30" s="267"/>
      <c r="L30" s="395">
        <v>3619630</v>
      </c>
      <c r="M30" s="267"/>
      <c r="N30" s="274">
        <f>ROUND(L30/L$32,3)</f>
        <v>0.04</v>
      </c>
      <c r="O30" s="268"/>
      <c r="P30" s="275">
        <f>+L30-H30</f>
        <v>872626</v>
      </c>
      <c r="Q30" s="267"/>
      <c r="R30" s="265">
        <f>+P30/H30</f>
        <v>0.31766462662595324</v>
      </c>
    </row>
    <row r="31" spans="2:20" ht="15">
      <c r="B31" s="267"/>
      <c r="C31" s="267"/>
      <c r="D31" s="272"/>
      <c r="E31" s="267"/>
      <c r="F31" s="267"/>
      <c r="G31" s="267"/>
      <c r="H31" s="272"/>
      <c r="I31" s="267"/>
      <c r="J31" s="267"/>
      <c r="K31" s="267"/>
      <c r="L31" s="272"/>
      <c r="M31" s="267"/>
      <c r="N31" s="267"/>
      <c r="O31" s="268"/>
      <c r="P31" s="272"/>
      <c r="Q31" s="267"/>
      <c r="R31" s="265"/>
      <c r="T31" s="397"/>
    </row>
    <row r="32" spans="2:18" ht="15.75" thickBot="1">
      <c r="B32" s="267" t="s">
        <v>613</v>
      </c>
      <c r="C32" s="267"/>
      <c r="D32" s="272">
        <f>SUM(D18:D30)</f>
        <v>90601773.33787046</v>
      </c>
      <c r="E32" s="267"/>
      <c r="F32" s="276">
        <f>SUM(F18:F30)</f>
        <v>1</v>
      </c>
      <c r="G32" s="267"/>
      <c r="H32" s="272">
        <f>SUM(H18:H30)</f>
        <v>64753487.75</v>
      </c>
      <c r="I32" s="267"/>
      <c r="J32" s="276">
        <f>SUM(J18:J30)</f>
        <v>1</v>
      </c>
      <c r="K32" s="267"/>
      <c r="L32" s="272">
        <f>SUM(L18:L30)</f>
        <v>90600915.75</v>
      </c>
      <c r="M32" s="267"/>
      <c r="N32" s="276">
        <f>SUM(N18:N30)</f>
        <v>1</v>
      </c>
      <c r="O32" s="268"/>
      <c r="P32" s="272">
        <f>SUM(P18:P30)</f>
        <v>25847428</v>
      </c>
      <c r="Q32" s="267"/>
      <c r="R32" s="265">
        <f>+P32/H32</f>
        <v>0.39916657616639345</v>
      </c>
    </row>
    <row r="33" spans="2:18" ht="15.75" thickTop="1">
      <c r="B33" s="267"/>
      <c r="C33" s="267"/>
      <c r="D33" s="272"/>
      <c r="E33" s="267"/>
      <c r="F33" s="267"/>
      <c r="G33" s="267"/>
      <c r="H33" s="272"/>
      <c r="I33" s="267"/>
      <c r="J33" s="267"/>
      <c r="K33" s="267"/>
      <c r="L33" s="272"/>
      <c r="M33" s="267"/>
      <c r="N33" s="267"/>
      <c r="O33" s="268"/>
      <c r="P33" s="272"/>
      <c r="Q33" s="267"/>
      <c r="R33" s="265"/>
    </row>
    <row r="34" spans="2:18" ht="15">
      <c r="B34" s="277" t="s">
        <v>614</v>
      </c>
      <c r="C34" s="277"/>
      <c r="D34" s="275">
        <f>+'COS 1'!H278</f>
        <v>3770137.84</v>
      </c>
      <c r="E34" s="277"/>
      <c r="F34" s="277"/>
      <c r="G34" s="277"/>
      <c r="H34" s="307">
        <v>3770137</v>
      </c>
      <c r="I34" s="277"/>
      <c r="J34" s="277"/>
      <c r="K34" s="277"/>
      <c r="L34" s="307">
        <v>3770137</v>
      </c>
      <c r="M34" s="277"/>
      <c r="N34" s="277"/>
      <c r="O34" s="278"/>
      <c r="P34" s="275">
        <f>+L34-H34</f>
        <v>0</v>
      </c>
      <c r="Q34" s="277"/>
      <c r="R34" s="265">
        <f>+P34/H34</f>
        <v>0</v>
      </c>
    </row>
    <row r="35" spans="2:18" ht="15">
      <c r="B35" s="267"/>
      <c r="C35" s="267"/>
      <c r="D35" s="267"/>
      <c r="E35" s="267"/>
      <c r="F35" s="267"/>
      <c r="G35" s="267"/>
      <c r="H35" s="267"/>
      <c r="I35" s="267"/>
      <c r="J35" s="267"/>
      <c r="K35" s="267"/>
      <c r="L35" s="267"/>
      <c r="M35" s="267"/>
      <c r="N35" s="267"/>
      <c r="O35" s="268"/>
      <c r="P35" s="267"/>
      <c r="Q35" s="267"/>
      <c r="R35" s="265"/>
    </row>
    <row r="36" spans="2:18" ht="15.75" thickBot="1">
      <c r="B36" s="267" t="s">
        <v>615</v>
      </c>
      <c r="C36" s="267"/>
      <c r="D36" s="279">
        <f>+D34+D32</f>
        <v>94371911.17787047</v>
      </c>
      <c r="E36" s="267"/>
      <c r="F36" s="267"/>
      <c r="G36" s="267"/>
      <c r="H36" s="279">
        <f>+H34+H32</f>
        <v>68523624.75</v>
      </c>
      <c r="I36" s="267"/>
      <c r="J36" s="267"/>
      <c r="K36" s="267"/>
      <c r="L36" s="279">
        <f>+L34+L32</f>
        <v>94371052.75</v>
      </c>
      <c r="M36" s="267"/>
      <c r="N36" s="267"/>
      <c r="O36" s="268"/>
      <c r="P36" s="279">
        <f>+L36-H36</f>
        <v>25847428</v>
      </c>
      <c r="Q36" s="267"/>
      <c r="R36" s="265">
        <f>+P36/H36</f>
        <v>0.37720462241017105</v>
      </c>
    </row>
    <row r="37" ht="13.5" thickTop="1"/>
    <row r="38" ht="12.75">
      <c r="B38" s="501" t="s">
        <v>747</v>
      </c>
    </row>
    <row r="39" spans="2:12" ht="15">
      <c r="B39" s="38"/>
      <c r="C39" s="38"/>
      <c r="D39" s="287"/>
      <c r="L39" s="228"/>
    </row>
    <row r="40" spans="2:4" ht="15">
      <c r="B40" s="38"/>
      <c r="C40" s="38"/>
      <c r="D40" s="288"/>
    </row>
    <row r="41" spans="4:16" ht="12.75">
      <c r="D41" s="228"/>
      <c r="P41" s="228"/>
    </row>
    <row r="42" ht="12.75">
      <c r="D42" s="228"/>
    </row>
    <row r="48" spans="8:12" ht="12.75">
      <c r="H48" s="161"/>
      <c r="L48" s="161"/>
    </row>
    <row r="49" spans="8:12" ht="12.75">
      <c r="H49" s="161"/>
      <c r="L49" s="161"/>
    </row>
    <row r="50" spans="8:12" ht="12.75">
      <c r="H50" s="161"/>
      <c r="L50" s="161"/>
    </row>
    <row r="51" spans="8:12" ht="12.75">
      <c r="H51" s="161"/>
      <c r="L51" s="161"/>
    </row>
    <row r="52" spans="4:12" ht="12.75">
      <c r="D52" s="397"/>
      <c r="H52" s="161"/>
      <c r="L52" s="161"/>
    </row>
    <row r="53" spans="8:12" ht="12.75">
      <c r="H53" s="161"/>
      <c r="L53" s="161"/>
    </row>
    <row r="54" spans="8:12" ht="12.75">
      <c r="H54" s="161"/>
      <c r="L54" s="161"/>
    </row>
    <row r="55" spans="8:12" ht="12.75">
      <c r="H55" s="161"/>
      <c r="L55" s="161"/>
    </row>
  </sheetData>
  <mergeCells count="8">
    <mergeCell ref="H14:J14"/>
    <mergeCell ref="L14:N14"/>
    <mergeCell ref="B6:R6"/>
    <mergeCell ref="B9:R9"/>
    <mergeCell ref="B10:R10"/>
    <mergeCell ref="D13:F13"/>
    <mergeCell ref="P13:R13"/>
    <mergeCell ref="B7:R7"/>
  </mergeCells>
  <printOptions/>
  <pageMargins left="0.75" right="0.75" top="1" bottom="1" header="0.5" footer="0.5"/>
  <pageSetup horizontalDpi="600" verticalDpi="600" orientation="landscape" scale="83" r:id="rId1"/>
</worksheet>
</file>

<file path=xl/worksheets/sheet18.xml><?xml version="1.0" encoding="utf-8"?>
<worksheet xmlns="http://schemas.openxmlformats.org/spreadsheetml/2006/main" xmlns:r="http://schemas.openxmlformats.org/officeDocument/2006/relationships">
  <dimension ref="A1:AH88"/>
  <sheetViews>
    <sheetView workbookViewId="0" topLeftCell="A1">
      <selection activeCell="F90" sqref="F90"/>
    </sheetView>
  </sheetViews>
  <sheetFormatPr defaultColWidth="8.88671875" defaultRowHeight="12.75"/>
  <cols>
    <col min="1" max="1" width="9.21484375" style="0" customWidth="1"/>
    <col min="2" max="2" width="30.99609375" style="0" customWidth="1"/>
    <col min="3" max="3" width="11.5546875" style="0" bestFit="1" customWidth="1"/>
    <col min="4" max="4" width="12.4453125" style="0" bestFit="1" customWidth="1"/>
    <col min="5" max="5" width="10.99609375" style="0" bestFit="1" customWidth="1"/>
    <col min="6" max="6" width="14.3359375" style="236" bestFit="1" customWidth="1"/>
    <col min="7" max="7" width="10.77734375" style="0" bestFit="1" customWidth="1"/>
    <col min="8" max="8" width="8.99609375" style="0" bestFit="1" customWidth="1"/>
    <col min="9" max="9" width="9.99609375" style="0" bestFit="1" customWidth="1"/>
    <col min="14" max="14" width="9.10546875" style="0" bestFit="1" customWidth="1"/>
    <col min="16" max="16" width="11.5546875" style="0" bestFit="1" customWidth="1"/>
    <col min="20" max="20" width="11.4453125" style="0" customWidth="1"/>
    <col min="22" max="22" width="11.5546875" style="0" bestFit="1" customWidth="1"/>
    <col min="23" max="23" width="9.99609375" style="0" bestFit="1" customWidth="1"/>
    <col min="24" max="24" width="11.5546875" style="0" bestFit="1" customWidth="1"/>
    <col min="26" max="26" width="9.99609375" style="0" bestFit="1" customWidth="1"/>
    <col min="27" max="27" width="11.6640625" style="0" bestFit="1" customWidth="1"/>
  </cols>
  <sheetData>
    <row r="1" ht="12.75">
      <c r="A1" t="s">
        <v>635</v>
      </c>
    </row>
    <row r="2" ht="12.75">
      <c r="A2" t="s">
        <v>636</v>
      </c>
    </row>
    <row r="3" spans="1:3" ht="12.75">
      <c r="A3" t="s">
        <v>637</v>
      </c>
      <c r="C3" t="s">
        <v>638</v>
      </c>
    </row>
    <row r="4" spans="3:7" ht="12.75">
      <c r="C4" t="s">
        <v>639</v>
      </c>
      <c r="D4" t="s">
        <v>640</v>
      </c>
      <c r="E4" t="s">
        <v>641</v>
      </c>
      <c r="F4" s="236" t="s">
        <v>642</v>
      </c>
      <c r="G4" t="s">
        <v>643</v>
      </c>
    </row>
    <row r="5" spans="1:7" ht="12.75">
      <c r="A5">
        <v>301000</v>
      </c>
      <c r="B5" t="s">
        <v>657</v>
      </c>
      <c r="C5" s="161">
        <v>37450</v>
      </c>
      <c r="D5" s="161">
        <v>0</v>
      </c>
      <c r="G5" s="161">
        <f>+C5-D5-E5-F5</f>
        <v>37450</v>
      </c>
    </row>
    <row r="6" spans="1:7" ht="12.75">
      <c r="A6">
        <v>302000</v>
      </c>
      <c r="B6" t="s">
        <v>658</v>
      </c>
      <c r="C6" s="161">
        <v>70261</v>
      </c>
      <c r="D6" s="161">
        <v>0</v>
      </c>
      <c r="G6" s="161">
        <f aca="true" t="shared" si="0" ref="G6:G70">+C6-D6-E6-F6</f>
        <v>70261</v>
      </c>
    </row>
    <row r="7" spans="1:7" ht="12.75">
      <c r="A7">
        <v>339100</v>
      </c>
      <c r="B7" t="s">
        <v>659</v>
      </c>
      <c r="C7" s="161">
        <v>8375</v>
      </c>
      <c r="D7" s="161">
        <v>2035</v>
      </c>
      <c r="G7" s="161">
        <f t="shared" si="0"/>
        <v>6340</v>
      </c>
    </row>
    <row r="8" spans="1:7" ht="12.75">
      <c r="A8">
        <v>339600</v>
      </c>
      <c r="B8" t="s">
        <v>660</v>
      </c>
      <c r="C8" s="161">
        <v>638265</v>
      </c>
      <c r="D8" s="161">
        <v>121819</v>
      </c>
      <c r="G8" s="161">
        <f t="shared" si="0"/>
        <v>516446</v>
      </c>
    </row>
    <row r="9" spans="1:7" ht="12.75">
      <c r="A9">
        <v>303200</v>
      </c>
      <c r="B9" t="s">
        <v>661</v>
      </c>
      <c r="C9" s="161">
        <v>953579</v>
      </c>
      <c r="D9" s="161">
        <v>0</v>
      </c>
      <c r="G9" s="161">
        <f t="shared" si="0"/>
        <v>953579</v>
      </c>
    </row>
    <row r="10" spans="1:7" ht="12.75">
      <c r="A10">
        <v>304100</v>
      </c>
      <c r="B10" t="s">
        <v>662</v>
      </c>
      <c r="C10" s="161">
        <v>16443841</v>
      </c>
      <c r="D10" s="161">
        <v>496909</v>
      </c>
      <c r="G10" s="161">
        <f t="shared" si="0"/>
        <v>15946932</v>
      </c>
    </row>
    <row r="11" spans="1:7" ht="12.75">
      <c r="A11">
        <v>305000</v>
      </c>
      <c r="B11" t="s">
        <v>663</v>
      </c>
      <c r="C11" s="161">
        <v>1005086</v>
      </c>
      <c r="D11" s="161">
        <v>370897</v>
      </c>
      <c r="G11" s="161">
        <f t="shared" si="0"/>
        <v>634189</v>
      </c>
    </row>
    <row r="12" spans="1:7" ht="12.75">
      <c r="A12">
        <v>306000</v>
      </c>
      <c r="B12" t="s">
        <v>664</v>
      </c>
      <c r="C12" s="161">
        <v>6166198</v>
      </c>
      <c r="D12" s="161">
        <v>153246</v>
      </c>
      <c r="G12" s="161">
        <f t="shared" si="0"/>
        <v>6012952</v>
      </c>
    </row>
    <row r="13" spans="1:7" ht="12.75">
      <c r="A13">
        <v>307000</v>
      </c>
      <c r="B13" t="s">
        <v>665</v>
      </c>
      <c r="C13" s="161">
        <v>0</v>
      </c>
      <c r="D13" s="161">
        <v>0</v>
      </c>
      <c r="G13" s="161">
        <f t="shared" si="0"/>
        <v>0</v>
      </c>
    </row>
    <row r="14" spans="1:7" ht="12.75">
      <c r="A14">
        <v>309000</v>
      </c>
      <c r="B14" t="s">
        <v>666</v>
      </c>
      <c r="C14" s="161">
        <v>5798649</v>
      </c>
      <c r="D14" s="161">
        <v>1297293</v>
      </c>
      <c r="G14" s="161">
        <f t="shared" si="0"/>
        <v>4501356</v>
      </c>
    </row>
    <row r="15" spans="1:7" ht="12.75">
      <c r="A15">
        <v>303300</v>
      </c>
      <c r="B15" t="s">
        <v>667</v>
      </c>
      <c r="C15" s="161">
        <v>195364</v>
      </c>
      <c r="D15" s="161">
        <v>0</v>
      </c>
      <c r="G15" s="161">
        <f t="shared" si="0"/>
        <v>195364</v>
      </c>
    </row>
    <row r="16" spans="1:7" ht="12.75">
      <c r="A16">
        <v>304200</v>
      </c>
      <c r="B16" t="s">
        <v>668</v>
      </c>
      <c r="C16" s="161">
        <v>10355253</v>
      </c>
      <c r="D16" s="161">
        <v>1753900</v>
      </c>
      <c r="G16" s="161">
        <f t="shared" si="0"/>
        <v>8601353</v>
      </c>
    </row>
    <row r="17" spans="1:7" ht="12.75">
      <c r="A17">
        <v>310000</v>
      </c>
      <c r="B17" t="s">
        <v>669</v>
      </c>
      <c r="C17" s="161">
        <v>3038304</v>
      </c>
      <c r="D17" s="161">
        <v>348264</v>
      </c>
      <c r="G17" s="161">
        <f t="shared" si="0"/>
        <v>2690040</v>
      </c>
    </row>
    <row r="18" spans="1:7" ht="12.75">
      <c r="A18">
        <v>311200</v>
      </c>
      <c r="B18" t="s">
        <v>670</v>
      </c>
      <c r="C18" s="161">
        <v>19587272</v>
      </c>
      <c r="D18" s="161">
        <v>5162619</v>
      </c>
      <c r="G18" s="161">
        <f t="shared" si="0"/>
        <v>14424653</v>
      </c>
    </row>
    <row r="19" spans="1:7" ht="12.75">
      <c r="A19">
        <v>311300</v>
      </c>
      <c r="B19" t="s">
        <v>671</v>
      </c>
      <c r="C19" s="161">
        <v>718476</v>
      </c>
      <c r="D19" s="161">
        <v>372275</v>
      </c>
      <c r="G19" s="161">
        <f t="shared" si="0"/>
        <v>346201</v>
      </c>
    </row>
    <row r="20" spans="1:7" ht="12.75">
      <c r="A20">
        <v>311400</v>
      </c>
      <c r="B20" t="s">
        <v>672</v>
      </c>
      <c r="C20" s="161">
        <v>8404</v>
      </c>
      <c r="D20" s="161">
        <v>387</v>
      </c>
      <c r="G20" s="161">
        <f t="shared" si="0"/>
        <v>8017</v>
      </c>
    </row>
    <row r="21" spans="1:7" ht="12.75">
      <c r="A21">
        <v>311500</v>
      </c>
      <c r="B21" t="s">
        <v>673</v>
      </c>
      <c r="C21" s="161">
        <v>0</v>
      </c>
      <c r="G21" s="161">
        <f t="shared" si="0"/>
        <v>0</v>
      </c>
    </row>
    <row r="22" spans="1:7" ht="12.75">
      <c r="A22">
        <v>311520</v>
      </c>
      <c r="B22" t="s">
        <v>674</v>
      </c>
      <c r="C22" s="161">
        <v>8386158</v>
      </c>
      <c r="D22" s="161">
        <v>392277</v>
      </c>
      <c r="G22" s="161">
        <f t="shared" si="0"/>
        <v>7993881</v>
      </c>
    </row>
    <row r="23" spans="1:8" ht="12.75">
      <c r="A23">
        <v>311540</v>
      </c>
      <c r="B23" t="s">
        <v>675</v>
      </c>
      <c r="C23" s="161">
        <v>176341</v>
      </c>
      <c r="D23" s="161">
        <v>14734</v>
      </c>
      <c r="G23" s="161">
        <f t="shared" si="0"/>
        <v>161607</v>
      </c>
      <c r="H23" s="161"/>
    </row>
    <row r="24" spans="1:7" ht="12.75">
      <c r="A24">
        <v>303400</v>
      </c>
      <c r="B24" t="s">
        <v>676</v>
      </c>
      <c r="C24" s="161">
        <v>561501</v>
      </c>
      <c r="D24" s="161">
        <v>0</v>
      </c>
      <c r="G24" s="161">
        <f t="shared" si="0"/>
        <v>561501</v>
      </c>
    </row>
    <row r="25" spans="1:7" ht="12.75">
      <c r="A25">
        <v>304300</v>
      </c>
      <c r="B25" t="s">
        <v>677</v>
      </c>
      <c r="C25" s="161">
        <v>44410740</v>
      </c>
      <c r="D25" s="161">
        <v>2321916</v>
      </c>
      <c r="G25" s="161">
        <f t="shared" si="0"/>
        <v>42088824</v>
      </c>
    </row>
    <row r="26" spans="1:7" ht="12.75">
      <c r="A26">
        <v>320100</v>
      </c>
      <c r="B26" t="s">
        <v>678</v>
      </c>
      <c r="C26" s="161">
        <v>30362579</v>
      </c>
      <c r="D26" s="161">
        <v>15605513</v>
      </c>
      <c r="G26" s="161">
        <f t="shared" si="0"/>
        <v>14757066</v>
      </c>
    </row>
    <row r="27" spans="1:7" ht="12.75">
      <c r="A27">
        <v>3201001</v>
      </c>
      <c r="B27" t="s">
        <v>679</v>
      </c>
      <c r="C27" s="161">
        <v>18347980</v>
      </c>
      <c r="G27" s="161">
        <f t="shared" si="0"/>
        <v>18347980</v>
      </c>
    </row>
    <row r="28" spans="1:8" ht="12.75">
      <c r="A28">
        <v>320200</v>
      </c>
      <c r="B28" t="s">
        <v>680</v>
      </c>
      <c r="C28" s="161">
        <v>168569</v>
      </c>
      <c r="D28" s="161">
        <v>25495</v>
      </c>
      <c r="G28" s="161">
        <f t="shared" si="0"/>
        <v>143074</v>
      </c>
      <c r="H28" s="161"/>
    </row>
    <row r="29" spans="1:7" ht="12.75">
      <c r="A29">
        <v>303500</v>
      </c>
      <c r="B29" t="s">
        <v>681</v>
      </c>
      <c r="C29" s="161">
        <v>8047212</v>
      </c>
      <c r="D29" s="161">
        <v>0</v>
      </c>
      <c r="G29" s="161">
        <f t="shared" si="0"/>
        <v>8047212</v>
      </c>
    </row>
    <row r="30" spans="1:7" ht="12.75">
      <c r="A30">
        <v>304400</v>
      </c>
      <c r="B30" t="s">
        <v>682</v>
      </c>
      <c r="C30" s="161">
        <v>1029339</v>
      </c>
      <c r="D30" s="161">
        <v>549464</v>
      </c>
      <c r="G30" s="161">
        <f t="shared" si="0"/>
        <v>479875</v>
      </c>
    </row>
    <row r="31" spans="1:34" ht="12.75">
      <c r="A31">
        <v>330000</v>
      </c>
      <c r="B31" t="s">
        <v>683</v>
      </c>
      <c r="C31" s="161">
        <v>3986193</v>
      </c>
      <c r="D31" s="161">
        <v>947292.998515258</v>
      </c>
      <c r="E31" s="161"/>
      <c r="G31" s="161">
        <f t="shared" si="0"/>
        <v>3038900.001484742</v>
      </c>
      <c r="N31" s="489"/>
      <c r="O31" s="489"/>
      <c r="P31" s="489"/>
      <c r="Q31" s="489"/>
      <c r="R31" s="489"/>
      <c r="S31" s="489"/>
      <c r="T31" s="489"/>
      <c r="U31" s="489"/>
      <c r="V31" s="489"/>
      <c r="W31" s="489"/>
      <c r="X31" s="489"/>
      <c r="Y31" s="489"/>
      <c r="Z31" s="489"/>
      <c r="AA31" s="489"/>
      <c r="AB31" s="489"/>
      <c r="AC31" s="489"/>
      <c r="AD31" s="489"/>
      <c r="AE31" s="489"/>
      <c r="AF31" s="489"/>
      <c r="AG31" s="489"/>
      <c r="AH31" s="489"/>
    </row>
    <row r="32" spans="1:34" ht="12.75">
      <c r="A32">
        <v>330100</v>
      </c>
      <c r="B32" t="s">
        <v>684</v>
      </c>
      <c r="C32" s="161">
        <v>10270432</v>
      </c>
      <c r="D32" s="161">
        <v>2440701.7736790613</v>
      </c>
      <c r="E32" s="161"/>
      <c r="G32" s="161">
        <f t="shared" si="0"/>
        <v>7829730.226320939</v>
      </c>
      <c r="H32" s="161"/>
      <c r="N32" s="489"/>
      <c r="O32" s="489"/>
      <c r="P32" s="489"/>
      <c r="Q32" s="560"/>
      <c r="R32" s="560"/>
      <c r="S32" s="560"/>
      <c r="T32" s="489"/>
      <c r="U32" s="489"/>
      <c r="V32" s="489"/>
      <c r="W32" s="489"/>
      <c r="X32" s="489"/>
      <c r="Y32" s="489"/>
      <c r="Z32" s="489"/>
      <c r="AA32" s="489"/>
      <c r="AB32" s="489"/>
      <c r="AC32" s="489"/>
      <c r="AD32" s="489"/>
      <c r="AE32" s="489"/>
      <c r="AF32" s="489"/>
      <c r="AG32" s="489"/>
      <c r="AH32" s="489"/>
    </row>
    <row r="33" spans="1:34" ht="12.75">
      <c r="A33">
        <v>330200</v>
      </c>
      <c r="B33" t="s">
        <v>685</v>
      </c>
      <c r="C33" s="161">
        <v>112147</v>
      </c>
      <c r="D33" s="161">
        <v>26651.009598504297</v>
      </c>
      <c r="E33" s="161"/>
      <c r="G33" s="161">
        <f t="shared" si="0"/>
        <v>85495.9904014957</v>
      </c>
      <c r="N33" s="561"/>
      <c r="O33" s="561"/>
      <c r="P33" s="562"/>
      <c r="Q33" s="562"/>
      <c r="R33" s="562"/>
      <c r="S33" s="562"/>
      <c r="T33" s="562"/>
      <c r="U33" s="489"/>
      <c r="V33" s="489"/>
      <c r="W33" s="489"/>
      <c r="X33" s="489"/>
      <c r="Y33" s="489"/>
      <c r="Z33" s="489"/>
      <c r="AA33" s="489"/>
      <c r="AB33" s="489"/>
      <c r="AC33" s="489"/>
      <c r="AD33" s="489"/>
      <c r="AE33" s="489"/>
      <c r="AF33" s="489"/>
      <c r="AG33" s="489"/>
      <c r="AH33" s="489"/>
    </row>
    <row r="34" spans="1:34" ht="12.75">
      <c r="A34">
        <v>330400</v>
      </c>
      <c r="B34" t="s">
        <v>686</v>
      </c>
      <c r="C34" s="161">
        <v>1524225</v>
      </c>
      <c r="D34" s="161">
        <v>362222.2182071764</v>
      </c>
      <c r="G34" s="161">
        <f t="shared" si="0"/>
        <v>1162002.7817928237</v>
      </c>
      <c r="H34" s="161"/>
      <c r="K34" s="492"/>
      <c r="N34" s="303"/>
      <c r="O34" s="303"/>
      <c r="P34" s="303"/>
      <c r="Q34" s="489"/>
      <c r="R34" s="489"/>
      <c r="S34" s="489"/>
      <c r="T34" s="489"/>
      <c r="U34" s="489"/>
      <c r="V34" s="489"/>
      <c r="W34" s="489"/>
      <c r="X34" s="489"/>
      <c r="Y34" s="489"/>
      <c r="Z34" s="489"/>
      <c r="AA34" s="489"/>
      <c r="AB34" s="489"/>
      <c r="AC34" s="489"/>
      <c r="AD34" s="489"/>
      <c r="AE34" s="489"/>
      <c r="AF34" s="489"/>
      <c r="AG34" s="489"/>
      <c r="AH34" s="489"/>
    </row>
    <row r="35" spans="1:34" ht="19.5" customHeight="1">
      <c r="A35">
        <v>331001</v>
      </c>
      <c r="B35" t="s">
        <v>736</v>
      </c>
      <c r="C35" s="161">
        <v>153654752.61941966</v>
      </c>
      <c r="D35" s="161">
        <v>19555352.45466363</v>
      </c>
      <c r="E35" s="161">
        <v>53564981</v>
      </c>
      <c r="F35" s="236">
        <v>-7665781.325009119</v>
      </c>
      <c r="G35" s="161">
        <f t="shared" si="0"/>
        <v>88200200.48976515</v>
      </c>
      <c r="H35" s="236"/>
      <c r="I35" s="236"/>
      <c r="J35" s="236"/>
      <c r="K35" s="492"/>
      <c r="N35" s="489"/>
      <c r="O35" s="563"/>
      <c r="P35" s="484"/>
      <c r="Q35" s="303"/>
      <c r="R35" s="303"/>
      <c r="S35" s="489"/>
      <c r="T35" s="303"/>
      <c r="U35" s="489"/>
      <c r="V35" s="489"/>
      <c r="W35" s="489"/>
      <c r="X35" s="489"/>
      <c r="Y35" s="489"/>
      <c r="Z35" s="489"/>
      <c r="AA35" s="489"/>
      <c r="AB35" s="489"/>
      <c r="AC35" s="489"/>
      <c r="AD35" s="489"/>
      <c r="AE35" s="489"/>
      <c r="AF35" s="489"/>
      <c r="AG35" s="489"/>
      <c r="AH35" s="489"/>
    </row>
    <row r="36" spans="2:34" ht="12.75">
      <c r="B36" t="s">
        <v>737</v>
      </c>
      <c r="C36" s="161">
        <v>96518656.38058028</v>
      </c>
      <c r="D36" s="161">
        <v>12283748.54533637</v>
      </c>
      <c r="E36" s="161"/>
      <c r="G36" s="161">
        <f t="shared" si="0"/>
        <v>84234907.83524391</v>
      </c>
      <c r="H36" s="236"/>
      <c r="I36" s="236"/>
      <c r="J36" s="236"/>
      <c r="K36" s="492"/>
      <c r="N36" s="489"/>
      <c r="O36" s="563"/>
      <c r="P36" s="484"/>
      <c r="Q36" s="303"/>
      <c r="R36" s="303"/>
      <c r="S36" s="303"/>
      <c r="T36" s="303"/>
      <c r="U36" s="489"/>
      <c r="V36" s="489"/>
      <c r="W36" s="489"/>
      <c r="X36" s="489"/>
      <c r="Y36" s="489"/>
      <c r="Z36" s="489"/>
      <c r="AA36" s="489"/>
      <c r="AB36" s="489"/>
      <c r="AC36" s="489"/>
      <c r="AD36" s="489"/>
      <c r="AE36" s="489"/>
      <c r="AF36" s="489"/>
      <c r="AG36" s="489"/>
      <c r="AH36" s="489"/>
    </row>
    <row r="37" spans="1:34" ht="12.75">
      <c r="A37">
        <v>333000</v>
      </c>
      <c r="B37" t="s">
        <v>687</v>
      </c>
      <c r="C37" s="161">
        <v>45025887</v>
      </c>
      <c r="D37" s="161">
        <v>17364527</v>
      </c>
      <c r="E37" s="161">
        <v>26270937</v>
      </c>
      <c r="F37" s="236">
        <v>-7440745.885005156</v>
      </c>
      <c r="G37" s="161">
        <f t="shared" si="0"/>
        <v>8831168.885005156</v>
      </c>
      <c r="H37" s="236"/>
      <c r="I37" s="236"/>
      <c r="J37" s="236"/>
      <c r="K37" s="492"/>
      <c r="N37" s="489"/>
      <c r="O37" s="489"/>
      <c r="P37" s="489"/>
      <c r="Q37" s="303"/>
      <c r="R37" s="489"/>
      <c r="S37" s="489"/>
      <c r="T37" s="303"/>
      <c r="U37" s="489"/>
      <c r="V37" s="489"/>
      <c r="W37" s="489"/>
      <c r="X37" s="489"/>
      <c r="Y37" s="489"/>
      <c r="Z37" s="489"/>
      <c r="AA37" s="489"/>
      <c r="AB37" s="489"/>
      <c r="AC37" s="489"/>
      <c r="AD37" s="489"/>
      <c r="AE37" s="489"/>
      <c r="AF37" s="489"/>
      <c r="AG37" s="489"/>
      <c r="AH37" s="489"/>
    </row>
    <row r="38" spans="1:34" ht="12.75">
      <c r="A38">
        <v>334100</v>
      </c>
      <c r="B38" t="s">
        <v>688</v>
      </c>
      <c r="C38" s="161">
        <v>1677849</v>
      </c>
      <c r="D38" s="161">
        <v>159597.48692666512</v>
      </c>
      <c r="E38" s="161">
        <v>30496.677297097453</v>
      </c>
      <c r="F38" s="236">
        <v>-6950.531605994444</v>
      </c>
      <c r="G38" s="161">
        <f t="shared" si="0"/>
        <v>1494705.3673822319</v>
      </c>
      <c r="H38" s="236"/>
      <c r="I38" s="236"/>
      <c r="J38" s="236"/>
      <c r="K38" s="492"/>
      <c r="N38" s="489"/>
      <c r="O38" s="489"/>
      <c r="P38" s="489"/>
      <c r="Q38" s="489"/>
      <c r="R38" s="489"/>
      <c r="S38" s="489"/>
      <c r="T38" s="489"/>
      <c r="U38" s="489"/>
      <c r="V38" s="489"/>
      <c r="W38" s="489"/>
      <c r="X38" s="489"/>
      <c r="Y38" s="489"/>
      <c r="Z38" s="489"/>
      <c r="AA38" s="489"/>
      <c r="AB38" s="489"/>
      <c r="AC38" s="489"/>
      <c r="AD38" s="489"/>
      <c r="AE38" s="489"/>
      <c r="AF38" s="489"/>
      <c r="AG38" s="489"/>
      <c r="AH38" s="489"/>
    </row>
    <row r="39" spans="1:34" ht="12.75">
      <c r="A39">
        <v>334110</v>
      </c>
      <c r="B39" t="s">
        <v>689</v>
      </c>
      <c r="C39" s="161">
        <v>6903779</v>
      </c>
      <c r="D39" s="161">
        <v>656689.4748556546</v>
      </c>
      <c r="E39" s="161">
        <v>125483.4733599258</v>
      </c>
      <c r="F39" s="236">
        <v>-28599.07783137858</v>
      </c>
      <c r="G39" s="161">
        <f t="shared" si="0"/>
        <v>6150205.129615798</v>
      </c>
      <c r="H39" s="236"/>
      <c r="I39" s="236"/>
      <c r="J39" s="236"/>
      <c r="K39" s="492"/>
      <c r="N39" s="489"/>
      <c r="O39" s="489"/>
      <c r="P39" s="489"/>
      <c r="Q39" s="489"/>
      <c r="R39" s="489"/>
      <c r="S39" s="489"/>
      <c r="T39" s="489"/>
      <c r="U39" s="489"/>
      <c r="V39" s="489"/>
      <c r="W39" s="489"/>
      <c r="X39" s="489"/>
      <c r="Y39" s="489"/>
      <c r="Z39" s="489"/>
      <c r="AA39" s="489"/>
      <c r="AB39" s="489"/>
      <c r="AC39" s="489"/>
      <c r="AD39" s="489"/>
      <c r="AE39" s="489"/>
      <c r="AF39" s="489"/>
      <c r="AG39" s="489"/>
      <c r="AH39" s="489"/>
    </row>
    <row r="40" spans="1:34" ht="12.75">
      <c r="A40">
        <v>334120</v>
      </c>
      <c r="B40" t="s">
        <v>690</v>
      </c>
      <c r="C40" s="161">
        <v>743856</v>
      </c>
      <c r="D40" s="161">
        <v>70755.79997682832</v>
      </c>
      <c r="E40" s="161">
        <v>13520.36827361087</v>
      </c>
      <c r="F40" s="236">
        <v>-3081.442154990469</v>
      </c>
      <c r="G40" s="161">
        <f t="shared" si="0"/>
        <v>662661.2739045514</v>
      </c>
      <c r="H40" s="236"/>
      <c r="I40" s="236"/>
      <c r="J40" s="236"/>
      <c r="K40" s="492"/>
      <c r="N40" s="489"/>
      <c r="O40" s="489"/>
      <c r="P40" s="489"/>
      <c r="Q40" s="489"/>
      <c r="R40" s="489"/>
      <c r="S40" s="489"/>
      <c r="T40" s="489"/>
      <c r="U40" s="489"/>
      <c r="V40" s="489"/>
      <c r="W40" s="489"/>
      <c r="X40" s="489"/>
      <c r="Y40" s="489"/>
      <c r="Z40" s="489"/>
      <c r="AA40" s="489"/>
      <c r="AB40" s="489"/>
      <c r="AC40" s="489"/>
      <c r="AD40" s="489"/>
      <c r="AE40" s="489"/>
      <c r="AF40" s="489"/>
      <c r="AG40" s="489"/>
      <c r="AH40" s="489"/>
    </row>
    <row r="41" spans="1:34" ht="12.75">
      <c r="A41">
        <v>334130</v>
      </c>
      <c r="B41" t="s">
        <v>691</v>
      </c>
      <c r="C41" s="161">
        <v>7790233</v>
      </c>
      <c r="D41" s="161">
        <v>741009.2382408519</v>
      </c>
      <c r="E41" s="161">
        <v>141595.7108596777</v>
      </c>
      <c r="F41" s="236">
        <v>-32271.23578138493</v>
      </c>
      <c r="G41" s="161">
        <f t="shared" si="0"/>
        <v>6939899.286680855</v>
      </c>
      <c r="H41" s="236"/>
      <c r="I41" s="236"/>
      <c r="J41" s="236"/>
      <c r="K41" s="492"/>
      <c r="N41" s="564"/>
      <c r="O41" s="489"/>
      <c r="P41" s="489"/>
      <c r="Q41" s="489"/>
      <c r="R41" s="489"/>
      <c r="S41" s="489"/>
      <c r="T41" s="489"/>
      <c r="U41" s="489"/>
      <c r="V41" s="489"/>
      <c r="W41" s="489"/>
      <c r="X41" s="489"/>
      <c r="Y41" s="489"/>
      <c r="Z41" s="489"/>
      <c r="AA41" s="489"/>
      <c r="AB41" s="489"/>
      <c r="AC41" s="489"/>
      <c r="AD41" s="489"/>
      <c r="AE41" s="489"/>
      <c r="AF41" s="489"/>
      <c r="AG41" s="489"/>
      <c r="AH41" s="489"/>
    </row>
    <row r="42" spans="1:34" ht="12.75">
      <c r="A42">
        <v>334200</v>
      </c>
      <c r="B42" t="s">
        <v>692</v>
      </c>
      <c r="C42" s="161">
        <v>16561899</v>
      </c>
      <c r="D42" s="161">
        <v>5271027</v>
      </c>
      <c r="E42" s="161">
        <v>301030.0028370378</v>
      </c>
      <c r="F42" s="236">
        <v>-68608.08240478601</v>
      </c>
      <c r="G42" s="161">
        <f t="shared" si="0"/>
        <v>11058450.079567749</v>
      </c>
      <c r="H42" s="236"/>
      <c r="I42" s="236"/>
      <c r="J42" s="236"/>
      <c r="K42" s="492"/>
      <c r="N42" s="489"/>
      <c r="O42" s="489"/>
      <c r="P42" s="489"/>
      <c r="Q42" s="560"/>
      <c r="R42" s="560"/>
      <c r="S42" s="560"/>
      <c r="T42" s="489"/>
      <c r="U42" s="489"/>
      <c r="V42" s="489"/>
      <c r="W42" s="489"/>
      <c r="X42" s="489"/>
      <c r="Y42" s="489"/>
      <c r="Z42" s="489"/>
      <c r="AA42" s="489"/>
      <c r="AB42" s="489"/>
      <c r="AC42" s="489"/>
      <c r="AD42" s="489"/>
      <c r="AE42" s="489"/>
      <c r="AF42" s="489"/>
      <c r="AG42" s="489"/>
      <c r="AH42" s="489"/>
    </row>
    <row r="43" spans="1:34" ht="12.75">
      <c r="A43">
        <v>334300</v>
      </c>
      <c r="B43" t="s">
        <v>693</v>
      </c>
      <c r="C43" s="161">
        <v>381148</v>
      </c>
      <c r="E43" s="161">
        <v>6927.767372650399</v>
      </c>
      <c r="F43" s="236">
        <v>-1578.9151589693533</v>
      </c>
      <c r="G43" s="161">
        <f t="shared" si="0"/>
        <v>375799.14778631896</v>
      </c>
      <c r="H43" s="236"/>
      <c r="I43" s="236"/>
      <c r="J43" s="236"/>
      <c r="K43" s="492"/>
      <c r="N43" s="561"/>
      <c r="O43" s="561"/>
      <c r="P43" s="562"/>
      <c r="Q43" s="562"/>
      <c r="R43" s="562"/>
      <c r="S43" s="562"/>
      <c r="T43" s="562"/>
      <c r="U43" s="489"/>
      <c r="V43" s="489"/>
      <c r="W43" s="489"/>
      <c r="X43" s="489"/>
      <c r="Y43" s="489"/>
      <c r="Z43" s="489"/>
      <c r="AA43" s="489"/>
      <c r="AB43" s="489"/>
      <c r="AC43" s="489"/>
      <c r="AD43" s="489"/>
      <c r="AE43" s="489"/>
      <c r="AF43" s="489"/>
      <c r="AG43" s="489"/>
      <c r="AH43" s="489"/>
    </row>
    <row r="44" spans="1:34" ht="12.75">
      <c r="A44">
        <v>335000</v>
      </c>
      <c r="B44" t="s">
        <v>694</v>
      </c>
      <c r="C44" s="161">
        <v>13228570</v>
      </c>
      <c r="D44" s="161">
        <v>3313637</v>
      </c>
      <c r="E44" s="161">
        <v>3183507</v>
      </c>
      <c r="F44" s="236">
        <v>-435790.5050482218</v>
      </c>
      <c r="G44" s="161">
        <f t="shared" si="0"/>
        <v>7167216.505048222</v>
      </c>
      <c r="H44" s="236"/>
      <c r="I44" s="236"/>
      <c r="J44" s="236"/>
      <c r="K44" s="492"/>
      <c r="N44" s="303"/>
      <c r="O44" s="303"/>
      <c r="P44" s="303"/>
      <c r="Q44" s="489"/>
      <c r="R44" s="489"/>
      <c r="S44" s="489"/>
      <c r="T44" s="489"/>
      <c r="U44" s="489"/>
      <c r="V44" s="562"/>
      <c r="W44" s="562"/>
      <c r="X44" s="562"/>
      <c r="Y44" s="562"/>
      <c r="Z44" s="562"/>
      <c r="AA44" s="562"/>
      <c r="AB44" s="489"/>
      <c r="AC44" s="489"/>
      <c r="AD44" s="489"/>
      <c r="AE44" s="489"/>
      <c r="AF44" s="489"/>
      <c r="AG44" s="489"/>
      <c r="AH44" s="489"/>
    </row>
    <row r="45" spans="1:34" ht="12.75">
      <c r="A45">
        <v>304500</v>
      </c>
      <c r="B45" t="s">
        <v>695</v>
      </c>
      <c r="C45" s="161">
        <v>3023405</v>
      </c>
      <c r="D45" s="161">
        <v>526972.9750279101</v>
      </c>
      <c r="G45" s="161">
        <f t="shared" si="0"/>
        <v>2496432.02497209</v>
      </c>
      <c r="H45" s="236"/>
      <c r="I45" s="236"/>
      <c r="J45" s="398"/>
      <c r="K45" s="492"/>
      <c r="N45" s="489"/>
      <c r="O45" s="563"/>
      <c r="P45" s="484"/>
      <c r="Q45" s="303"/>
      <c r="R45" s="303"/>
      <c r="S45" s="489"/>
      <c r="T45" s="303"/>
      <c r="U45" s="489"/>
      <c r="V45" s="565"/>
      <c r="W45" s="565"/>
      <c r="X45" s="565"/>
      <c r="Y45" s="566"/>
      <c r="Z45" s="565"/>
      <c r="AA45" s="565"/>
      <c r="AB45" s="489"/>
      <c r="AC45" s="489"/>
      <c r="AD45" s="489"/>
      <c r="AE45" s="489"/>
      <c r="AF45" s="489"/>
      <c r="AG45" s="489"/>
      <c r="AH45" s="489"/>
    </row>
    <row r="46" spans="1:34" ht="15">
      <c r="A46">
        <v>304600</v>
      </c>
      <c r="B46" t="s">
        <v>696</v>
      </c>
      <c r="C46" s="161">
        <v>3173087</v>
      </c>
      <c r="D46" s="161">
        <v>553062.2250119934</v>
      </c>
      <c r="G46" s="161">
        <f t="shared" si="0"/>
        <v>2620024.774988007</v>
      </c>
      <c r="H46" s="236"/>
      <c r="I46" s="236"/>
      <c r="J46" s="161"/>
      <c r="N46" s="489"/>
      <c r="O46" s="563"/>
      <c r="P46" s="484"/>
      <c r="Q46" s="303"/>
      <c r="R46" s="303"/>
      <c r="S46" s="303"/>
      <c r="T46" s="303"/>
      <c r="U46" s="489"/>
      <c r="V46" s="567"/>
      <c r="W46" s="567"/>
      <c r="X46" s="567"/>
      <c r="Y46" s="566"/>
      <c r="Z46" s="567"/>
      <c r="AA46" s="567"/>
      <c r="AB46" s="489"/>
      <c r="AC46" s="489"/>
      <c r="AD46" s="489"/>
      <c r="AE46" s="489"/>
      <c r="AF46" s="489"/>
      <c r="AG46" s="489"/>
      <c r="AH46" s="489"/>
    </row>
    <row r="47" spans="1:34" ht="12.75">
      <c r="A47">
        <v>304700</v>
      </c>
      <c r="B47" t="s">
        <v>697</v>
      </c>
      <c r="C47" s="161">
        <v>3267614</v>
      </c>
      <c r="D47" s="161">
        <v>569538.0773739705</v>
      </c>
      <c r="E47" s="161"/>
      <c r="G47" s="161">
        <f t="shared" si="0"/>
        <v>2698075.9226260297</v>
      </c>
      <c r="H47" s="236"/>
      <c r="I47" s="236"/>
      <c r="J47" s="236"/>
      <c r="N47" s="489"/>
      <c r="O47" s="489"/>
      <c r="P47" s="489"/>
      <c r="Q47" s="489"/>
      <c r="R47" s="489"/>
      <c r="S47" s="489"/>
      <c r="T47" s="303"/>
      <c r="U47" s="489"/>
      <c r="V47" s="565"/>
      <c r="W47" s="565"/>
      <c r="X47" s="565"/>
      <c r="Y47" s="489"/>
      <c r="Z47" s="565"/>
      <c r="AA47" s="565"/>
      <c r="AB47" s="489"/>
      <c r="AC47" s="489"/>
      <c r="AD47" s="489"/>
      <c r="AE47" s="489"/>
      <c r="AF47" s="489"/>
      <c r="AG47" s="489"/>
      <c r="AH47" s="489"/>
    </row>
    <row r="48" spans="1:34" ht="12.75">
      <c r="A48">
        <v>304800</v>
      </c>
      <c r="B48" t="s">
        <v>698</v>
      </c>
      <c r="C48" s="161">
        <v>1923367</v>
      </c>
      <c r="D48" s="161">
        <v>335238.722586126</v>
      </c>
      <c r="G48" s="161">
        <f t="shared" si="0"/>
        <v>1588128.277413874</v>
      </c>
      <c r="N48" s="489"/>
      <c r="O48" s="489"/>
      <c r="P48" s="489"/>
      <c r="Q48" s="489"/>
      <c r="R48" s="489"/>
      <c r="S48" s="489"/>
      <c r="T48" s="489"/>
      <c r="U48" s="489"/>
      <c r="V48" s="489"/>
      <c r="W48" s="489"/>
      <c r="X48" s="489"/>
      <c r="Y48" s="489"/>
      <c r="Z48" s="489"/>
      <c r="AA48" s="489"/>
      <c r="AB48" s="489"/>
      <c r="AC48" s="489"/>
      <c r="AD48" s="489"/>
      <c r="AE48" s="489"/>
      <c r="AF48" s="489"/>
      <c r="AG48" s="489"/>
      <c r="AH48" s="489"/>
    </row>
    <row r="49" spans="1:34" ht="12.75">
      <c r="A49">
        <v>340100</v>
      </c>
      <c r="B49" t="s">
        <v>699</v>
      </c>
      <c r="C49" s="161">
        <v>195029</v>
      </c>
      <c r="D49" s="161">
        <v>229808.00931452756</v>
      </c>
      <c r="G49" s="161">
        <f t="shared" si="0"/>
        <v>-34779.00931452756</v>
      </c>
      <c r="N49" s="489"/>
      <c r="O49" s="489"/>
      <c r="P49" s="489"/>
      <c r="Q49" s="489"/>
      <c r="R49" s="489"/>
      <c r="S49" s="489"/>
      <c r="T49" s="489"/>
      <c r="U49" s="489"/>
      <c r="V49" s="489"/>
      <c r="W49" s="489"/>
      <c r="X49" s="489"/>
      <c r="Y49" s="489"/>
      <c r="Z49" s="489"/>
      <c r="AA49" s="489"/>
      <c r="AB49" s="489"/>
      <c r="AC49" s="489"/>
      <c r="AD49" s="489"/>
      <c r="AE49" s="489"/>
      <c r="AF49" s="489"/>
      <c r="AG49" s="489"/>
      <c r="AH49" s="489"/>
    </row>
    <row r="50" spans="1:34" ht="12.75">
      <c r="A50">
        <v>3401001</v>
      </c>
      <c r="B50" t="s">
        <v>700</v>
      </c>
      <c r="C50" s="161">
        <v>538324</v>
      </c>
      <c r="D50" s="161">
        <v>634321.9049794325</v>
      </c>
      <c r="E50" s="161"/>
      <c r="G50" s="161">
        <f t="shared" si="0"/>
        <v>-95997.90497943247</v>
      </c>
      <c r="N50" s="489"/>
      <c r="O50" s="489"/>
      <c r="P50" s="489"/>
      <c r="Q50" s="489"/>
      <c r="R50" s="489"/>
      <c r="S50" s="489"/>
      <c r="T50" s="489"/>
      <c r="U50" s="489"/>
      <c r="V50" s="489"/>
      <c r="W50" s="489"/>
      <c r="X50" s="489"/>
      <c r="Y50" s="489"/>
      <c r="Z50" s="489"/>
      <c r="AA50" s="489"/>
      <c r="AB50" s="489"/>
      <c r="AC50" s="489"/>
      <c r="AD50" s="489"/>
      <c r="AE50" s="489"/>
      <c r="AF50" s="489"/>
      <c r="AG50" s="489"/>
      <c r="AH50" s="489"/>
    </row>
    <row r="51" spans="1:34" ht="12.75">
      <c r="A51">
        <v>340210</v>
      </c>
      <c r="B51" t="s">
        <v>701</v>
      </c>
      <c r="C51" s="161">
        <v>27295</v>
      </c>
      <c r="D51" s="161">
        <v>32162.445658030498</v>
      </c>
      <c r="G51" s="161">
        <f t="shared" si="0"/>
        <v>-4867.445658030498</v>
      </c>
      <c r="N51" s="489"/>
      <c r="O51" s="489"/>
      <c r="P51" s="489"/>
      <c r="Q51" s="489"/>
      <c r="R51" s="489"/>
      <c r="S51" s="489"/>
      <c r="T51" s="489"/>
      <c r="U51" s="489"/>
      <c r="V51" s="489"/>
      <c r="W51" s="489"/>
      <c r="X51" s="489"/>
      <c r="Y51" s="489"/>
      <c r="Z51" s="489"/>
      <c r="AA51" s="489"/>
      <c r="AB51" s="489"/>
      <c r="AC51" s="489"/>
      <c r="AD51" s="489"/>
      <c r="AE51" s="489"/>
      <c r="AF51" s="489"/>
      <c r="AG51" s="489"/>
      <c r="AH51" s="489"/>
    </row>
    <row r="52" spans="1:34" ht="12.75">
      <c r="A52">
        <v>3402101</v>
      </c>
      <c r="B52" t="s">
        <v>702</v>
      </c>
      <c r="C52" s="161">
        <v>228950</v>
      </c>
      <c r="D52" s="161">
        <v>269778.05214896804</v>
      </c>
      <c r="G52" s="161">
        <f t="shared" si="0"/>
        <v>-40828.05214896804</v>
      </c>
      <c r="N52" s="489"/>
      <c r="O52" s="489"/>
      <c r="P52" s="489"/>
      <c r="Q52" s="489"/>
      <c r="R52" s="489"/>
      <c r="S52" s="489"/>
      <c r="T52" s="489"/>
      <c r="U52" s="489"/>
      <c r="V52" s="489"/>
      <c r="W52" s="489"/>
      <c r="X52" s="489"/>
      <c r="Y52" s="489"/>
      <c r="Z52" s="489"/>
      <c r="AA52" s="489"/>
      <c r="AB52" s="489"/>
      <c r="AC52" s="489"/>
      <c r="AD52" s="489"/>
      <c r="AE52" s="489"/>
      <c r="AF52" s="489"/>
      <c r="AG52" s="489"/>
      <c r="AH52" s="489"/>
    </row>
    <row r="53" spans="1:34" ht="12.75">
      <c r="A53">
        <v>340220</v>
      </c>
      <c r="B53" t="s">
        <v>703</v>
      </c>
      <c r="C53" s="161">
        <v>328841</v>
      </c>
      <c r="D53" s="161">
        <v>387482.3518092107</v>
      </c>
      <c r="G53" s="161">
        <f t="shared" si="0"/>
        <v>-58641.351809210726</v>
      </c>
      <c r="N53" s="489"/>
      <c r="O53" s="489"/>
      <c r="P53" s="489"/>
      <c r="Q53" s="489"/>
      <c r="R53" s="489"/>
      <c r="S53" s="489"/>
      <c r="T53" s="489"/>
      <c r="U53" s="489"/>
      <c r="V53" s="489"/>
      <c r="W53" s="489"/>
      <c r="X53" s="489"/>
      <c r="Y53" s="489"/>
      <c r="Z53" s="489"/>
      <c r="AA53" s="489"/>
      <c r="AB53" s="489"/>
      <c r="AC53" s="489"/>
      <c r="AD53" s="489"/>
      <c r="AE53" s="489"/>
      <c r="AF53" s="489"/>
      <c r="AG53" s="489"/>
      <c r="AH53" s="489"/>
    </row>
    <row r="54" spans="1:34" ht="12.75">
      <c r="A54">
        <v>3402201</v>
      </c>
      <c r="B54" t="s">
        <v>704</v>
      </c>
      <c r="C54" s="161">
        <v>400086</v>
      </c>
      <c r="D54" s="161">
        <v>471432.2855299062</v>
      </c>
      <c r="G54" s="161">
        <f t="shared" si="0"/>
        <v>-71346.28552990622</v>
      </c>
      <c r="N54" s="489"/>
      <c r="O54" s="489"/>
      <c r="P54" s="489"/>
      <c r="Q54" s="489"/>
      <c r="R54" s="489"/>
      <c r="S54" s="489"/>
      <c r="T54" s="489"/>
      <c r="U54" s="489"/>
      <c r="V54" s="489"/>
      <c r="W54" s="489"/>
      <c r="X54" s="489"/>
      <c r="Y54" s="489"/>
      <c r="Z54" s="489"/>
      <c r="AA54" s="489"/>
      <c r="AB54" s="489"/>
      <c r="AC54" s="489"/>
      <c r="AD54" s="489"/>
      <c r="AE54" s="489"/>
      <c r="AF54" s="489"/>
      <c r="AG54" s="489"/>
      <c r="AH54" s="489"/>
    </row>
    <row r="55" spans="1:34" ht="12.75">
      <c r="A55">
        <v>340230</v>
      </c>
      <c r="B55" t="s">
        <v>705</v>
      </c>
      <c r="C55" s="161">
        <v>101976</v>
      </c>
      <c r="D55" s="161">
        <v>120161.11223386401</v>
      </c>
      <c r="G55" s="161">
        <f t="shared" si="0"/>
        <v>-18185.112233864013</v>
      </c>
      <c r="N55" s="489"/>
      <c r="O55" s="489"/>
      <c r="P55" s="489"/>
      <c r="Q55" s="489"/>
      <c r="R55" s="489"/>
      <c r="S55" s="489"/>
      <c r="T55" s="489"/>
      <c r="U55" s="489"/>
      <c r="V55" s="489"/>
      <c r="W55" s="489"/>
      <c r="X55" s="489"/>
      <c r="Y55" s="489"/>
      <c r="Z55" s="489"/>
      <c r="AA55" s="489"/>
      <c r="AB55" s="489"/>
      <c r="AC55" s="489"/>
      <c r="AD55" s="489"/>
      <c r="AE55" s="489"/>
      <c r="AF55" s="489"/>
      <c r="AG55" s="489"/>
      <c r="AH55" s="489"/>
    </row>
    <row r="56" spans="1:34" ht="12.75">
      <c r="A56">
        <v>3402301</v>
      </c>
      <c r="B56" t="s">
        <v>706</v>
      </c>
      <c r="C56" s="161">
        <v>176607</v>
      </c>
      <c r="D56" s="161">
        <v>208100.86244102553</v>
      </c>
      <c r="G56" s="161">
        <f t="shared" si="0"/>
        <v>-31493.86244102553</v>
      </c>
      <c r="N56" s="489"/>
      <c r="O56" s="489"/>
      <c r="P56" s="489"/>
      <c r="Q56" s="489"/>
      <c r="R56" s="489"/>
      <c r="S56" s="489"/>
      <c r="T56" s="489"/>
      <c r="U56" s="489"/>
      <c r="V56" s="489"/>
      <c r="W56" s="489"/>
      <c r="X56" s="489"/>
      <c r="Y56" s="489"/>
      <c r="Z56" s="489"/>
      <c r="AA56" s="489"/>
      <c r="AB56" s="489"/>
      <c r="AC56" s="489"/>
      <c r="AD56" s="489"/>
      <c r="AE56" s="489"/>
      <c r="AF56" s="489"/>
      <c r="AG56" s="489"/>
      <c r="AH56" s="489"/>
    </row>
    <row r="57" spans="1:7" ht="12.75">
      <c r="A57">
        <v>340300</v>
      </c>
      <c r="B57" t="s">
        <v>707</v>
      </c>
      <c r="C57" s="161">
        <v>3976525</v>
      </c>
      <c r="D57" s="161">
        <v>4685648.258666412</v>
      </c>
      <c r="G57" s="161">
        <f t="shared" si="0"/>
        <v>-709123.258666412</v>
      </c>
    </row>
    <row r="58" spans="1:7" ht="12.75">
      <c r="A58">
        <v>3403001</v>
      </c>
      <c r="B58" t="s">
        <v>708</v>
      </c>
      <c r="C58" s="161">
        <v>570993</v>
      </c>
      <c r="D58" s="161">
        <v>672816.6819423267</v>
      </c>
      <c r="G58" s="161">
        <f t="shared" si="0"/>
        <v>-101823.68194232672</v>
      </c>
    </row>
    <row r="59" spans="1:7" ht="12.75">
      <c r="A59">
        <v>340320</v>
      </c>
      <c r="B59" t="s">
        <v>709</v>
      </c>
      <c r="C59" s="161">
        <v>400</v>
      </c>
      <c r="D59" s="161">
        <v>471.3309493757904</v>
      </c>
      <c r="G59" s="161">
        <f t="shared" si="0"/>
        <v>-71.3309493757904</v>
      </c>
    </row>
    <row r="60" spans="1:7" ht="12.75">
      <c r="A60">
        <v>3403201</v>
      </c>
      <c r="B60" t="s">
        <v>710</v>
      </c>
      <c r="C60" s="161">
        <v>100330</v>
      </c>
      <c r="D60" s="161">
        <v>118221.58537718262</v>
      </c>
      <c r="G60" s="161">
        <f t="shared" si="0"/>
        <v>-17891.585377182622</v>
      </c>
    </row>
    <row r="61" spans="1:7" ht="12.75">
      <c r="A61">
        <v>340330</v>
      </c>
      <c r="B61" t="s">
        <v>711</v>
      </c>
      <c r="C61" s="161">
        <v>527874</v>
      </c>
      <c r="D61" s="161">
        <v>622008.38392699</v>
      </c>
      <c r="G61" s="161">
        <f t="shared" si="0"/>
        <v>-94134.38392698998</v>
      </c>
    </row>
    <row r="62" spans="1:7" ht="12.75">
      <c r="A62">
        <v>3403301</v>
      </c>
      <c r="B62" t="s">
        <v>712</v>
      </c>
      <c r="C62" s="161">
        <v>4470</v>
      </c>
      <c r="D62" s="161">
        <v>5267.1233592744575</v>
      </c>
      <c r="G62" s="161">
        <f t="shared" si="0"/>
        <v>-797.1233592744575</v>
      </c>
    </row>
    <row r="63" spans="1:7" ht="12.75">
      <c r="A63">
        <v>340500</v>
      </c>
      <c r="B63" t="s">
        <v>713</v>
      </c>
      <c r="C63" s="161">
        <v>18816</v>
      </c>
      <c r="D63" s="161">
        <v>22171.40785863718</v>
      </c>
      <c r="G63" s="161">
        <f t="shared" si="0"/>
        <v>-3355.4078586371797</v>
      </c>
    </row>
    <row r="64" spans="1:7" ht="12.75">
      <c r="A64">
        <v>3405001</v>
      </c>
      <c r="B64" t="s">
        <v>714</v>
      </c>
      <c r="C64" s="161">
        <v>69553</v>
      </c>
      <c r="D64" s="161">
        <v>81956.20380483588</v>
      </c>
      <c r="G64" s="161">
        <f t="shared" si="0"/>
        <v>-12403.20380483588</v>
      </c>
    </row>
    <row r="65" spans="1:7" ht="12.75">
      <c r="A65">
        <v>341100</v>
      </c>
      <c r="B65" t="s">
        <v>715</v>
      </c>
      <c r="C65" s="161">
        <v>1739314</v>
      </c>
      <c r="D65" s="236">
        <v>1094606.1513258533</v>
      </c>
      <c r="E65" s="398"/>
      <c r="G65" s="161">
        <f t="shared" si="0"/>
        <v>644707.8486741467</v>
      </c>
    </row>
    <row r="66" spans="1:7" ht="12.75">
      <c r="A66">
        <v>3411001</v>
      </c>
      <c r="B66" t="s">
        <v>716</v>
      </c>
      <c r="C66" s="161">
        <v>808964</v>
      </c>
      <c r="D66" s="236">
        <v>509107.02184951515</v>
      </c>
      <c r="G66" s="161">
        <f t="shared" si="0"/>
        <v>299856.97815048485</v>
      </c>
    </row>
    <row r="67" spans="1:7" ht="12.75">
      <c r="A67">
        <v>341200</v>
      </c>
      <c r="B67" t="s">
        <v>717</v>
      </c>
      <c r="C67" s="161">
        <v>1167938</v>
      </c>
      <c r="D67" s="236">
        <v>735020.8870665184</v>
      </c>
      <c r="G67" s="161">
        <f t="shared" si="0"/>
        <v>432917.1129334816</v>
      </c>
    </row>
    <row r="68" spans="1:7" ht="12.75">
      <c r="A68">
        <v>341300</v>
      </c>
      <c r="B68" t="s">
        <v>718</v>
      </c>
      <c r="C68" s="161">
        <v>194173</v>
      </c>
      <c r="D68" s="236">
        <v>122199.30399076585</v>
      </c>
      <c r="G68" s="161">
        <f t="shared" si="0"/>
        <v>71973.69600923415</v>
      </c>
    </row>
    <row r="69" spans="1:7" ht="12.75">
      <c r="A69">
        <v>3413001</v>
      </c>
      <c r="B69" t="s">
        <v>719</v>
      </c>
      <c r="C69" s="161">
        <v>110728</v>
      </c>
      <c r="D69" s="236">
        <v>69684.68598769922</v>
      </c>
      <c r="G69" s="161">
        <f t="shared" si="0"/>
        <v>41043.314012300776</v>
      </c>
    </row>
    <row r="70" spans="1:7" ht="12.75">
      <c r="A70">
        <v>341400</v>
      </c>
      <c r="B70" t="s">
        <v>720</v>
      </c>
      <c r="C70" s="161">
        <v>416327</v>
      </c>
      <c r="D70" s="236">
        <v>262007.94977964793</v>
      </c>
      <c r="G70" s="161">
        <f t="shared" si="0"/>
        <v>154319.05022035207</v>
      </c>
    </row>
    <row r="71" spans="1:7" ht="12.75">
      <c r="A71">
        <v>342000</v>
      </c>
      <c r="B71" t="s">
        <v>721</v>
      </c>
      <c r="C71" s="161">
        <v>2268</v>
      </c>
      <c r="D71" s="161">
        <v>34440</v>
      </c>
      <c r="G71" s="161">
        <f aca="true" t="shared" si="1" ref="G71:G85">+C71-D71-E71-F71</f>
        <v>-32172</v>
      </c>
    </row>
    <row r="72" spans="1:7" ht="12.75">
      <c r="A72">
        <v>3420001</v>
      </c>
      <c r="B72" t="s">
        <v>722</v>
      </c>
      <c r="C72" s="161">
        <v>31659</v>
      </c>
      <c r="G72" s="161">
        <f t="shared" si="1"/>
        <v>31659</v>
      </c>
    </row>
    <row r="73" spans="1:7" ht="12.75">
      <c r="A73">
        <v>343000</v>
      </c>
      <c r="B73" t="s">
        <v>723</v>
      </c>
      <c r="C73" s="161">
        <v>148915</v>
      </c>
      <c r="G73" s="161">
        <f t="shared" si="1"/>
        <v>148915</v>
      </c>
    </row>
    <row r="74" spans="1:7" ht="12.75">
      <c r="A74">
        <v>3430001</v>
      </c>
      <c r="B74" t="s">
        <v>724</v>
      </c>
      <c r="C74" s="161">
        <v>1911567</v>
      </c>
      <c r="D74" s="161">
        <v>971056</v>
      </c>
      <c r="G74" s="161">
        <f t="shared" si="1"/>
        <v>940511</v>
      </c>
    </row>
    <row r="75" spans="1:7" ht="12.75">
      <c r="A75">
        <v>344000</v>
      </c>
      <c r="B75" t="s">
        <v>725</v>
      </c>
      <c r="C75" s="161">
        <v>150397</v>
      </c>
      <c r="G75" s="161">
        <f t="shared" si="1"/>
        <v>150397</v>
      </c>
    </row>
    <row r="76" spans="1:7" ht="12.75">
      <c r="A76">
        <v>3440001</v>
      </c>
      <c r="B76" t="s">
        <v>726</v>
      </c>
      <c r="C76" s="161">
        <v>677631</v>
      </c>
      <c r="D76" s="161">
        <v>767693</v>
      </c>
      <c r="G76" s="161">
        <f t="shared" si="1"/>
        <v>-90062</v>
      </c>
    </row>
    <row r="77" spans="1:7" ht="12.75">
      <c r="A77">
        <v>345000</v>
      </c>
      <c r="B77" t="s">
        <v>727</v>
      </c>
      <c r="C77" s="161">
        <v>1526035</v>
      </c>
      <c r="D77" s="161">
        <v>934826</v>
      </c>
      <c r="G77" s="161">
        <f t="shared" si="1"/>
        <v>591209</v>
      </c>
    </row>
    <row r="78" spans="1:7" ht="12.75">
      <c r="A78">
        <v>346100</v>
      </c>
      <c r="B78" t="s">
        <v>728</v>
      </c>
      <c r="C78" s="161">
        <v>154632</v>
      </c>
      <c r="G78" s="161">
        <f t="shared" si="1"/>
        <v>154632</v>
      </c>
    </row>
    <row r="79" spans="1:7" ht="12.75">
      <c r="A79">
        <v>3461001</v>
      </c>
      <c r="B79" t="s">
        <v>729</v>
      </c>
      <c r="C79" s="161">
        <v>1692239</v>
      </c>
      <c r="D79" s="161">
        <v>1018006</v>
      </c>
      <c r="G79" s="161">
        <f t="shared" si="1"/>
        <v>674233</v>
      </c>
    </row>
    <row r="80" spans="1:7" ht="12.75">
      <c r="A80">
        <v>346190</v>
      </c>
      <c r="B80" t="s">
        <v>730</v>
      </c>
      <c r="C80" s="161">
        <v>22311</v>
      </c>
      <c r="G80" s="161">
        <f t="shared" si="1"/>
        <v>22311</v>
      </c>
    </row>
    <row r="81" spans="1:7" ht="12.75">
      <c r="A81">
        <v>346200</v>
      </c>
      <c r="B81" t="s">
        <v>731</v>
      </c>
      <c r="C81" s="161">
        <v>240800</v>
      </c>
      <c r="G81" s="161">
        <f t="shared" si="1"/>
        <v>240800</v>
      </c>
    </row>
    <row r="82" spans="1:7" ht="12.75">
      <c r="A82">
        <v>347000</v>
      </c>
      <c r="B82" t="s">
        <v>732</v>
      </c>
      <c r="C82" s="161">
        <v>115963</v>
      </c>
      <c r="D82" s="161">
        <v>527986</v>
      </c>
      <c r="G82" s="161">
        <f t="shared" si="1"/>
        <v>-412023</v>
      </c>
    </row>
    <row r="83" spans="1:7" ht="12.75">
      <c r="A83">
        <v>3470001</v>
      </c>
      <c r="B83" t="s">
        <v>733</v>
      </c>
      <c r="C83" s="161">
        <v>1215773</v>
      </c>
      <c r="G83" s="161">
        <f t="shared" si="1"/>
        <v>1215773</v>
      </c>
    </row>
    <row r="84" spans="1:7" ht="12.75">
      <c r="A84">
        <v>348000</v>
      </c>
      <c r="B84" t="s">
        <v>734</v>
      </c>
      <c r="C84" s="161">
        <v>138485</v>
      </c>
      <c r="D84" s="161">
        <v>309743</v>
      </c>
      <c r="G84" s="161">
        <f t="shared" si="1"/>
        <v>-171258</v>
      </c>
    </row>
    <row r="85" ht="12.75">
      <c r="G85" s="161">
        <f t="shared" si="1"/>
        <v>0</v>
      </c>
    </row>
    <row r="86" spans="3:7" ht="12.75">
      <c r="C86" s="236">
        <f>SUM(C5:C85)</f>
        <v>566014484</v>
      </c>
      <c r="D86" s="236">
        <f>SUM(D5:D85)</f>
        <v>110085250.99999997</v>
      </c>
      <c r="E86" s="236">
        <f>SUM(E5:E85)</f>
        <v>83638479</v>
      </c>
      <c r="F86" s="236">
        <f>SUM(F5:F85)</f>
        <v>-15683407</v>
      </c>
      <c r="G86" s="236">
        <f>SUM(G5:G85)</f>
        <v>387974160.99999994</v>
      </c>
    </row>
    <row r="87" spans="3:7" ht="12.75">
      <c r="C87" s="161"/>
      <c r="D87" s="161"/>
      <c r="E87" s="161"/>
      <c r="G87" s="398"/>
    </row>
    <row r="88" ht="12.75">
      <c r="E88" s="398"/>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C4:M100"/>
  <sheetViews>
    <sheetView workbookViewId="0" topLeftCell="A1">
      <selection activeCell="M5" sqref="M5"/>
    </sheetView>
  </sheetViews>
  <sheetFormatPr defaultColWidth="8.88671875" defaultRowHeight="12.75"/>
  <cols>
    <col min="3" max="4" width="3.88671875" style="0" customWidth="1"/>
    <col min="6" max="6" width="22.77734375" style="0" customWidth="1"/>
    <col min="7" max="7" width="17.77734375" style="0" customWidth="1"/>
    <col min="8" max="8" width="5.88671875" style="0" customWidth="1"/>
    <col min="9" max="9" width="10.21484375" style="0" customWidth="1"/>
    <col min="10" max="10" width="3.88671875" style="0" customWidth="1"/>
    <col min="11" max="11" width="19.21484375" style="0" customWidth="1"/>
    <col min="12" max="12" width="5.99609375" style="0" customWidth="1"/>
  </cols>
  <sheetData>
    <row r="4" spans="3:11" ht="15">
      <c r="C4" s="606" t="s">
        <v>369</v>
      </c>
      <c r="D4" s="606"/>
      <c r="E4" s="606"/>
      <c r="F4" s="606"/>
      <c r="G4" s="606"/>
      <c r="H4" s="606"/>
      <c r="I4" s="606"/>
      <c r="J4" s="606"/>
      <c r="K4" s="606"/>
    </row>
    <row r="5" spans="3:13" ht="15">
      <c r="C5" s="424"/>
      <c r="D5" s="424"/>
      <c r="E5" s="424"/>
      <c r="F5" s="424"/>
      <c r="G5" s="424"/>
      <c r="H5" s="424"/>
      <c r="I5" s="354"/>
      <c r="J5" s="424"/>
      <c r="K5" s="424"/>
      <c r="M5" s="247"/>
    </row>
    <row r="6" spans="3:11" ht="15">
      <c r="C6" s="606" t="s">
        <v>33</v>
      </c>
      <c r="D6" s="606"/>
      <c r="E6" s="606"/>
      <c r="F6" s="606"/>
      <c r="G6" s="606"/>
      <c r="H6" s="606"/>
      <c r="I6" s="606"/>
      <c r="J6" s="606"/>
      <c r="K6" s="606"/>
    </row>
    <row r="7" spans="3:11" ht="15">
      <c r="C7" s="424"/>
      <c r="D7" s="424"/>
      <c r="E7" s="424"/>
      <c r="F7" s="424"/>
      <c r="G7" s="424"/>
      <c r="H7" s="424"/>
      <c r="I7" s="354"/>
      <c r="J7" s="424"/>
      <c r="K7" s="424"/>
    </row>
    <row r="8" spans="3:11" ht="15">
      <c r="C8" s="424"/>
      <c r="D8" s="424"/>
      <c r="E8" s="247"/>
      <c r="F8" s="424"/>
      <c r="G8" s="424"/>
      <c r="H8" s="424"/>
      <c r="I8" s="354"/>
      <c r="J8" s="424"/>
      <c r="K8" s="424"/>
    </row>
    <row r="9" spans="3:11" ht="15">
      <c r="C9" s="605" t="s">
        <v>34</v>
      </c>
      <c r="D9" s="605"/>
      <c r="E9" s="605"/>
      <c r="F9" s="423"/>
      <c r="G9" s="425" t="s">
        <v>35</v>
      </c>
      <c r="H9" s="423"/>
      <c r="I9" s="426" t="s">
        <v>483</v>
      </c>
      <c r="J9" s="423"/>
      <c r="K9" s="425" t="s">
        <v>36</v>
      </c>
    </row>
    <row r="10" spans="3:11" ht="15">
      <c r="C10" s="427"/>
      <c r="D10" s="427"/>
      <c r="E10" s="427"/>
      <c r="F10" s="423"/>
      <c r="G10" s="427"/>
      <c r="H10" s="423"/>
      <c r="I10" s="428"/>
      <c r="J10" s="423"/>
      <c r="K10" s="427"/>
    </row>
    <row r="11" spans="3:11" ht="15">
      <c r="C11" s="429" t="s">
        <v>37</v>
      </c>
      <c r="D11" s="424"/>
      <c r="E11" s="424"/>
      <c r="F11" s="424"/>
      <c r="G11" s="424"/>
      <c r="H11" s="424"/>
      <c r="I11" s="354"/>
      <c r="J11" s="424"/>
      <c r="K11" s="424"/>
    </row>
    <row r="12" spans="3:11" ht="15">
      <c r="C12" s="424"/>
      <c r="D12" s="424" t="s">
        <v>38</v>
      </c>
      <c r="E12" s="424"/>
      <c r="F12" s="424"/>
      <c r="G12" s="424"/>
      <c r="H12" s="424"/>
      <c r="I12" s="354"/>
      <c r="J12" s="424"/>
      <c r="K12" s="424"/>
    </row>
    <row r="13" spans="3:11" ht="15">
      <c r="C13" s="424"/>
      <c r="D13" s="424"/>
      <c r="E13" s="424" t="s">
        <v>39</v>
      </c>
      <c r="F13" s="424"/>
      <c r="G13" s="424" t="s">
        <v>40</v>
      </c>
      <c r="H13" s="424"/>
      <c r="I13" s="354">
        <v>1250</v>
      </c>
      <c r="J13" s="424"/>
      <c r="K13" s="424" t="s">
        <v>395</v>
      </c>
    </row>
    <row r="14" spans="3:11" ht="15">
      <c r="C14" s="424"/>
      <c r="D14" s="424"/>
      <c r="E14" s="424" t="s">
        <v>41</v>
      </c>
      <c r="F14" s="424"/>
      <c r="G14" s="424" t="s">
        <v>40</v>
      </c>
      <c r="H14" s="424"/>
      <c r="I14" s="354">
        <v>1250</v>
      </c>
      <c r="J14" s="424"/>
      <c r="K14" s="424" t="s">
        <v>395</v>
      </c>
    </row>
    <row r="15" spans="3:11" ht="15">
      <c r="C15" s="424"/>
      <c r="D15" s="424"/>
      <c r="E15" s="424" t="s">
        <v>42</v>
      </c>
      <c r="F15" s="424"/>
      <c r="G15" s="424" t="s">
        <v>40</v>
      </c>
      <c r="H15" s="424"/>
      <c r="I15" s="354">
        <v>1250</v>
      </c>
      <c r="J15" s="424"/>
      <c r="K15" s="424" t="s">
        <v>395</v>
      </c>
    </row>
    <row r="16" spans="3:11" ht="15">
      <c r="C16" s="424"/>
      <c r="D16" s="424"/>
      <c r="E16" s="424" t="s">
        <v>43</v>
      </c>
      <c r="F16" s="424"/>
      <c r="G16" s="424" t="s">
        <v>40</v>
      </c>
      <c r="H16" s="424"/>
      <c r="I16" s="354">
        <v>1250</v>
      </c>
      <c r="J16" s="424"/>
      <c r="K16" s="424" t="s">
        <v>395</v>
      </c>
    </row>
    <row r="17" spans="3:11" ht="15">
      <c r="C17" s="424"/>
      <c r="D17" s="424"/>
      <c r="E17" s="424" t="s">
        <v>44</v>
      </c>
      <c r="F17" s="424"/>
      <c r="G17" s="424" t="s">
        <v>40</v>
      </c>
      <c r="H17" s="424"/>
      <c r="I17" s="354">
        <v>1250</v>
      </c>
      <c r="J17" s="424"/>
      <c r="K17" s="424" t="s">
        <v>395</v>
      </c>
    </row>
    <row r="18" spans="3:11" ht="15">
      <c r="C18" s="424"/>
      <c r="D18" s="424"/>
      <c r="E18" s="424" t="s">
        <v>45</v>
      </c>
      <c r="F18" s="424"/>
      <c r="G18" s="424" t="s">
        <v>40</v>
      </c>
      <c r="H18" s="424"/>
      <c r="I18" s="354">
        <v>1250</v>
      </c>
      <c r="J18" s="424"/>
      <c r="K18" s="424" t="s">
        <v>395</v>
      </c>
    </row>
    <row r="19" spans="3:11" ht="15">
      <c r="C19" s="424"/>
      <c r="D19" s="424" t="s">
        <v>46</v>
      </c>
      <c r="E19" s="424"/>
      <c r="F19" s="424"/>
      <c r="G19" s="424"/>
      <c r="H19" s="424"/>
      <c r="I19" s="354"/>
      <c r="J19" s="424"/>
      <c r="K19" s="424"/>
    </row>
    <row r="20" spans="3:11" ht="15">
      <c r="C20" s="424"/>
      <c r="D20" s="424"/>
      <c r="E20" s="424" t="s">
        <v>47</v>
      </c>
      <c r="F20" s="424"/>
      <c r="G20" s="424" t="s">
        <v>46</v>
      </c>
      <c r="H20" s="424"/>
      <c r="I20" s="354">
        <v>1000</v>
      </c>
      <c r="J20" s="424"/>
      <c r="K20" s="424" t="s">
        <v>395</v>
      </c>
    </row>
    <row r="21" spans="3:11" ht="15">
      <c r="C21" s="424"/>
      <c r="D21" s="424"/>
      <c r="E21" s="424" t="s">
        <v>48</v>
      </c>
      <c r="F21" s="424"/>
      <c r="G21" s="424" t="s">
        <v>46</v>
      </c>
      <c r="H21" s="424"/>
      <c r="I21" s="354">
        <v>1000</v>
      </c>
      <c r="J21" s="424"/>
      <c r="K21" s="424" t="s">
        <v>395</v>
      </c>
    </row>
    <row r="22" spans="3:11" ht="15">
      <c r="C22" s="424"/>
      <c r="D22" s="424" t="s">
        <v>49</v>
      </c>
      <c r="E22" s="424"/>
      <c r="F22" s="424"/>
      <c r="G22" s="424" t="s">
        <v>50</v>
      </c>
      <c r="H22" s="424"/>
      <c r="I22" s="354">
        <v>50</v>
      </c>
      <c r="J22" s="424"/>
      <c r="K22" s="424" t="s">
        <v>395</v>
      </c>
    </row>
    <row r="23" spans="3:11" ht="15">
      <c r="C23" s="424"/>
      <c r="D23" s="424" t="s">
        <v>49</v>
      </c>
      <c r="E23" s="424"/>
      <c r="F23" s="424"/>
      <c r="G23" s="424" t="s">
        <v>51</v>
      </c>
      <c r="H23" s="424"/>
      <c r="I23" s="354">
        <v>15</v>
      </c>
      <c r="J23" s="424"/>
      <c r="K23" s="424" t="s">
        <v>395</v>
      </c>
    </row>
    <row r="24" spans="3:11" ht="15">
      <c r="C24" s="424"/>
      <c r="D24" s="424" t="s">
        <v>52</v>
      </c>
      <c r="E24" s="424"/>
      <c r="F24" s="424"/>
      <c r="G24" s="424"/>
      <c r="H24" s="424"/>
      <c r="I24" s="354">
        <v>25</v>
      </c>
      <c r="J24" s="424"/>
      <c r="K24" s="424" t="s">
        <v>395</v>
      </c>
    </row>
    <row r="25" spans="3:11" ht="15">
      <c r="C25" s="424"/>
      <c r="D25" s="424" t="s">
        <v>53</v>
      </c>
      <c r="E25" s="424"/>
      <c r="F25" s="424"/>
      <c r="G25" s="424"/>
      <c r="H25" s="424"/>
      <c r="I25" s="430">
        <v>40</v>
      </c>
      <c r="J25" s="424"/>
      <c r="K25" s="424" t="s">
        <v>395</v>
      </c>
    </row>
    <row r="26" spans="3:11" ht="24.75" customHeight="1">
      <c r="C26" s="429" t="s">
        <v>54</v>
      </c>
      <c r="D26" s="424"/>
      <c r="E26" s="424"/>
      <c r="F26" s="424"/>
      <c r="G26" s="424"/>
      <c r="H26" s="424"/>
      <c r="I26" s="354"/>
      <c r="J26" s="424"/>
      <c r="K26" s="424"/>
    </row>
    <row r="27" spans="3:11" ht="15">
      <c r="C27" s="424"/>
      <c r="D27" s="424" t="s">
        <v>55</v>
      </c>
      <c r="E27" s="424"/>
      <c r="F27" s="424"/>
      <c r="G27" s="424"/>
      <c r="H27" s="424"/>
      <c r="I27" s="354"/>
      <c r="J27" s="424"/>
      <c r="K27" s="424"/>
    </row>
    <row r="28" spans="3:11" ht="15">
      <c r="C28" s="424"/>
      <c r="D28" s="424"/>
      <c r="E28" s="424" t="s">
        <v>56</v>
      </c>
      <c r="F28" s="424"/>
      <c r="G28" s="424" t="s">
        <v>57</v>
      </c>
      <c r="H28" s="424"/>
      <c r="I28" s="354">
        <v>100</v>
      </c>
      <c r="J28" s="424"/>
      <c r="K28" s="424" t="s">
        <v>395</v>
      </c>
    </row>
    <row r="29" spans="3:11" ht="15">
      <c r="C29" s="424"/>
      <c r="D29" s="424"/>
      <c r="E29" s="424" t="s">
        <v>58</v>
      </c>
      <c r="F29" s="424"/>
      <c r="G29" s="424" t="s">
        <v>57</v>
      </c>
      <c r="H29" s="424"/>
      <c r="I29" s="354">
        <v>100</v>
      </c>
      <c r="J29" s="424"/>
      <c r="K29" s="424" t="s">
        <v>395</v>
      </c>
    </row>
    <row r="30" spans="3:11" ht="15">
      <c r="C30" s="424"/>
      <c r="D30" s="424"/>
      <c r="E30" s="424" t="s">
        <v>59</v>
      </c>
      <c r="F30" s="424"/>
      <c r="G30" s="424" t="s">
        <v>57</v>
      </c>
      <c r="H30" s="424"/>
      <c r="I30" s="354">
        <v>400</v>
      </c>
      <c r="J30" s="424"/>
      <c r="K30" s="424" t="s">
        <v>395</v>
      </c>
    </row>
    <row r="31" spans="3:11" ht="15">
      <c r="C31" s="424"/>
      <c r="D31" s="424" t="s">
        <v>60</v>
      </c>
      <c r="E31" s="424"/>
      <c r="F31" s="424"/>
      <c r="G31" s="424"/>
      <c r="H31" s="424"/>
      <c r="I31" s="354"/>
      <c r="J31" s="424"/>
      <c r="K31" s="424"/>
    </row>
    <row r="32" spans="3:11" ht="15">
      <c r="C32" s="424"/>
      <c r="D32" s="424"/>
      <c r="E32" s="424" t="s">
        <v>61</v>
      </c>
      <c r="F32" s="424"/>
      <c r="G32" s="424" t="s">
        <v>57</v>
      </c>
      <c r="H32" s="424"/>
      <c r="I32" s="354">
        <v>60</v>
      </c>
      <c r="J32" s="424"/>
      <c r="K32" s="424" t="s">
        <v>395</v>
      </c>
    </row>
    <row r="33" spans="3:11" ht="15">
      <c r="C33" s="424"/>
      <c r="D33" s="424"/>
      <c r="E33" s="424" t="s">
        <v>62</v>
      </c>
      <c r="F33" s="424"/>
      <c r="G33" s="424" t="s">
        <v>57</v>
      </c>
      <c r="H33" s="424"/>
      <c r="I33" s="558">
        <v>40</v>
      </c>
      <c r="J33" s="424"/>
      <c r="K33" s="424" t="s">
        <v>395</v>
      </c>
    </row>
    <row r="34" spans="3:11" ht="15">
      <c r="C34" s="424"/>
      <c r="D34" s="424"/>
      <c r="E34" s="424"/>
      <c r="F34" s="424"/>
      <c r="G34" s="424"/>
      <c r="H34" s="424"/>
      <c r="I34" s="430"/>
      <c r="J34" s="424"/>
      <c r="K34" s="424"/>
    </row>
    <row r="35" spans="3:11" ht="15">
      <c r="C35" s="424"/>
      <c r="D35" s="424"/>
      <c r="E35" s="431" t="s">
        <v>63</v>
      </c>
      <c r="F35" s="424"/>
      <c r="G35" s="424"/>
      <c r="H35" s="424"/>
      <c r="I35" s="354">
        <f>SUM(I13:I34)</f>
        <v>10330</v>
      </c>
      <c r="J35" s="424"/>
      <c r="K35" s="424"/>
    </row>
    <row r="36" spans="3:11" ht="15">
      <c r="C36" s="424"/>
      <c r="D36" s="424"/>
      <c r="E36" s="424"/>
      <c r="F36" s="424"/>
      <c r="G36" s="424"/>
      <c r="H36" s="424"/>
      <c r="I36" s="354"/>
      <c r="J36" s="424"/>
      <c r="K36" s="424"/>
    </row>
    <row r="37" spans="3:11" ht="15">
      <c r="C37" s="429" t="s">
        <v>37</v>
      </c>
      <c r="D37" s="424"/>
      <c r="E37" s="424"/>
      <c r="F37" s="424"/>
      <c r="G37" s="424"/>
      <c r="H37" s="424"/>
      <c r="I37" s="354"/>
      <c r="J37" s="424"/>
      <c r="K37" s="424"/>
    </row>
    <row r="38" spans="3:11" ht="15">
      <c r="C38" s="424"/>
      <c r="D38" s="424" t="s">
        <v>64</v>
      </c>
      <c r="E38" s="424"/>
      <c r="F38" s="424"/>
      <c r="G38" s="424"/>
      <c r="H38" s="424"/>
      <c r="I38" s="354"/>
      <c r="J38" s="424"/>
      <c r="K38" s="424"/>
    </row>
    <row r="39" spans="3:11" ht="15">
      <c r="C39" s="424"/>
      <c r="D39" s="424"/>
      <c r="E39" s="424" t="s">
        <v>65</v>
      </c>
      <c r="F39" s="424"/>
      <c r="G39" s="424" t="s">
        <v>66</v>
      </c>
      <c r="H39" s="424"/>
      <c r="I39" s="354">
        <v>700</v>
      </c>
      <c r="J39" s="424"/>
      <c r="K39" s="424" t="s">
        <v>67</v>
      </c>
    </row>
    <row r="40" spans="3:11" ht="15">
      <c r="C40" s="424"/>
      <c r="D40" s="424"/>
      <c r="E40" s="424" t="s">
        <v>68</v>
      </c>
      <c r="F40" s="424"/>
      <c r="G40" s="424" t="s">
        <v>66</v>
      </c>
      <c r="H40" s="424"/>
      <c r="I40" s="354">
        <v>700</v>
      </c>
      <c r="J40" s="424"/>
      <c r="K40" s="424" t="s">
        <v>67</v>
      </c>
    </row>
    <row r="41" spans="3:11" ht="15">
      <c r="C41" s="424"/>
      <c r="D41" s="424"/>
      <c r="E41" s="424" t="s">
        <v>69</v>
      </c>
      <c r="F41" s="424"/>
      <c r="G41" s="424" t="s">
        <v>66</v>
      </c>
      <c r="H41" s="424"/>
      <c r="I41" s="354">
        <v>700</v>
      </c>
      <c r="J41" s="424"/>
      <c r="K41" s="424" t="s">
        <v>67</v>
      </c>
    </row>
    <row r="42" spans="3:11" ht="15">
      <c r="C42" s="424"/>
      <c r="D42" s="424"/>
      <c r="E42" s="424" t="s">
        <v>70</v>
      </c>
      <c r="F42" s="424"/>
      <c r="G42" s="424" t="s">
        <v>66</v>
      </c>
      <c r="H42" s="424"/>
      <c r="I42" s="354">
        <v>800</v>
      </c>
      <c r="J42" s="424"/>
      <c r="K42" s="424" t="s">
        <v>67</v>
      </c>
    </row>
    <row r="43" spans="3:11" ht="15">
      <c r="C43" s="424"/>
      <c r="D43" s="424"/>
      <c r="E43" s="424" t="s">
        <v>71</v>
      </c>
      <c r="F43" s="424"/>
      <c r="G43" s="424" t="s">
        <v>66</v>
      </c>
      <c r="H43" s="432"/>
      <c r="I43" s="354">
        <v>800</v>
      </c>
      <c r="J43" s="424"/>
      <c r="K43" s="424" t="s">
        <v>67</v>
      </c>
    </row>
    <row r="44" spans="3:11" ht="15">
      <c r="C44" s="424"/>
      <c r="D44" s="424"/>
      <c r="E44" s="424" t="s">
        <v>72</v>
      </c>
      <c r="F44" s="424"/>
      <c r="G44" s="424" t="s">
        <v>66</v>
      </c>
      <c r="H44" s="424"/>
      <c r="I44" s="354">
        <v>900</v>
      </c>
      <c r="J44" s="424"/>
      <c r="K44" s="424" t="s">
        <v>67</v>
      </c>
    </row>
    <row r="45" spans="3:11" ht="15">
      <c r="C45" s="424"/>
      <c r="D45" s="424" t="s">
        <v>73</v>
      </c>
      <c r="E45" s="424"/>
      <c r="F45" s="424"/>
      <c r="G45" s="424"/>
      <c r="H45" s="424"/>
      <c r="I45" s="354"/>
      <c r="J45" s="424"/>
      <c r="K45" s="424"/>
    </row>
    <row r="46" spans="3:11" ht="15">
      <c r="C46" s="424"/>
      <c r="D46" s="424"/>
      <c r="E46" s="424" t="s">
        <v>74</v>
      </c>
      <c r="F46" s="424"/>
      <c r="G46" s="424" t="s">
        <v>66</v>
      </c>
      <c r="H46" s="424"/>
      <c r="I46" s="354">
        <v>765</v>
      </c>
      <c r="J46" s="424"/>
      <c r="K46" s="424" t="s">
        <v>67</v>
      </c>
    </row>
    <row r="47" spans="3:11" ht="15">
      <c r="C47" s="424"/>
      <c r="D47" s="424" t="s">
        <v>64</v>
      </c>
      <c r="E47" s="424"/>
      <c r="F47" s="424"/>
      <c r="G47" s="424"/>
      <c r="H47" s="424"/>
      <c r="I47" s="354"/>
      <c r="J47" s="424"/>
      <c r="K47" s="424"/>
    </row>
    <row r="48" spans="3:11" ht="15">
      <c r="C48" s="424"/>
      <c r="D48" s="424"/>
      <c r="E48" s="424" t="s">
        <v>75</v>
      </c>
      <c r="F48" s="424"/>
      <c r="G48" s="424" t="s">
        <v>66</v>
      </c>
      <c r="H48" s="424"/>
      <c r="I48" s="354">
        <v>200</v>
      </c>
      <c r="J48" s="424"/>
      <c r="K48" s="424" t="s">
        <v>67</v>
      </c>
    </row>
    <row r="49" spans="3:11" ht="15">
      <c r="C49" s="424"/>
      <c r="D49" s="424"/>
      <c r="E49" s="424" t="s">
        <v>76</v>
      </c>
      <c r="F49" s="424"/>
      <c r="G49" s="424" t="s">
        <v>66</v>
      </c>
      <c r="H49" s="424"/>
      <c r="I49" s="354">
        <v>500</v>
      </c>
      <c r="J49" s="424"/>
      <c r="K49" s="424" t="s">
        <v>67</v>
      </c>
    </row>
    <row r="50" spans="3:11" ht="15">
      <c r="C50" s="424"/>
      <c r="D50" s="424"/>
      <c r="E50" s="424" t="s">
        <v>77</v>
      </c>
      <c r="F50" s="424"/>
      <c r="G50" s="424" t="s">
        <v>66</v>
      </c>
      <c r="H50" s="424"/>
      <c r="I50" s="354">
        <v>250</v>
      </c>
      <c r="J50" s="424"/>
      <c r="K50" s="424" t="s">
        <v>67</v>
      </c>
    </row>
    <row r="51" spans="3:11" ht="15">
      <c r="C51" s="424"/>
      <c r="D51" s="424" t="s">
        <v>78</v>
      </c>
      <c r="E51" s="424"/>
      <c r="F51" s="424"/>
      <c r="G51" s="424"/>
      <c r="H51" s="424"/>
      <c r="I51" s="354"/>
      <c r="J51" s="424"/>
      <c r="K51" s="424"/>
    </row>
    <row r="52" spans="3:11" ht="15">
      <c r="C52" s="424"/>
      <c r="D52" s="424"/>
      <c r="E52" s="424" t="s">
        <v>79</v>
      </c>
      <c r="F52" s="424"/>
      <c r="G52" s="424" t="s">
        <v>80</v>
      </c>
      <c r="H52" s="424"/>
      <c r="I52" s="354">
        <v>372</v>
      </c>
      <c r="J52" s="424"/>
      <c r="K52" s="424" t="s">
        <v>67</v>
      </c>
    </row>
    <row r="53" spans="3:11" ht="15">
      <c r="C53" s="424"/>
      <c r="D53" s="424"/>
      <c r="E53" s="424" t="s">
        <v>81</v>
      </c>
      <c r="F53" s="424"/>
      <c r="G53" s="424" t="s">
        <v>80</v>
      </c>
      <c r="H53" s="432"/>
      <c r="I53" s="354">
        <v>180</v>
      </c>
      <c r="J53" s="424"/>
      <c r="K53" s="424" t="s">
        <v>67</v>
      </c>
    </row>
    <row r="54" spans="3:11" ht="15">
      <c r="C54" s="424"/>
      <c r="D54" s="424"/>
      <c r="E54" s="424" t="s">
        <v>82</v>
      </c>
      <c r="F54" s="424"/>
      <c r="G54" s="424" t="s">
        <v>80</v>
      </c>
      <c r="H54" s="424"/>
      <c r="I54" s="558">
        <v>580</v>
      </c>
      <c r="J54" s="424"/>
      <c r="K54" s="424" t="s">
        <v>67</v>
      </c>
    </row>
    <row r="55" spans="3:11" ht="15">
      <c r="C55" s="424"/>
      <c r="D55" s="424"/>
      <c r="E55" s="424"/>
      <c r="F55" s="424"/>
      <c r="G55" s="424"/>
      <c r="H55" s="424"/>
      <c r="I55" s="354"/>
      <c r="J55" s="424"/>
      <c r="K55" s="424"/>
    </row>
    <row r="56" spans="3:11" ht="15">
      <c r="C56" s="424"/>
      <c r="D56" s="424"/>
      <c r="E56" s="433" t="s">
        <v>83</v>
      </c>
      <c r="F56" s="424"/>
      <c r="G56" s="424"/>
      <c r="H56" s="424"/>
      <c r="I56" s="354">
        <f>SUM(I39:I55)</f>
        <v>7447</v>
      </c>
      <c r="J56" s="424"/>
      <c r="K56" s="424"/>
    </row>
    <row r="57" spans="3:11" ht="15">
      <c r="C57" s="424"/>
      <c r="D57" s="424"/>
      <c r="E57" s="424"/>
      <c r="F57" s="424"/>
      <c r="G57" s="424"/>
      <c r="H57" s="424"/>
      <c r="I57" s="354"/>
      <c r="J57" s="424"/>
      <c r="K57" s="424"/>
    </row>
    <row r="58" spans="3:11" ht="15">
      <c r="C58" s="424" t="s">
        <v>84</v>
      </c>
      <c r="D58" s="424"/>
      <c r="E58" s="424"/>
      <c r="F58" s="424"/>
      <c r="G58" s="424" t="s">
        <v>85</v>
      </c>
      <c r="H58" s="424"/>
      <c r="I58" s="354">
        <v>350</v>
      </c>
      <c r="J58" s="424"/>
      <c r="K58" s="424" t="s">
        <v>431</v>
      </c>
    </row>
    <row r="59" spans="3:11" ht="15">
      <c r="C59" s="424" t="s">
        <v>86</v>
      </c>
      <c r="D59" s="424"/>
      <c r="E59" s="424"/>
      <c r="F59" s="424"/>
      <c r="G59" s="424" t="s">
        <v>85</v>
      </c>
      <c r="H59" s="424"/>
      <c r="I59" s="354">
        <v>350</v>
      </c>
      <c r="J59" s="424"/>
      <c r="K59" s="424" t="s">
        <v>431</v>
      </c>
    </row>
    <row r="60" spans="3:11" ht="15">
      <c r="C60" s="424" t="s">
        <v>87</v>
      </c>
      <c r="D60" s="424"/>
      <c r="E60" s="424"/>
      <c r="F60" s="424"/>
      <c r="G60" s="424" t="s">
        <v>85</v>
      </c>
      <c r="H60" s="424"/>
      <c r="I60" s="354">
        <v>40</v>
      </c>
      <c r="J60" s="424"/>
      <c r="K60" s="424" t="s">
        <v>431</v>
      </c>
    </row>
    <row r="61" spans="3:11" ht="15">
      <c r="C61" s="424" t="s">
        <v>88</v>
      </c>
      <c r="D61" s="424"/>
      <c r="E61" s="424"/>
      <c r="F61" s="424"/>
      <c r="G61" s="424" t="s">
        <v>85</v>
      </c>
      <c r="H61" s="424"/>
      <c r="I61" s="354">
        <v>100</v>
      </c>
      <c r="J61" s="424"/>
      <c r="K61" s="424" t="s">
        <v>431</v>
      </c>
    </row>
    <row r="62" spans="3:11" ht="15">
      <c r="C62" s="424" t="s">
        <v>89</v>
      </c>
      <c r="D62" s="424"/>
      <c r="E62" s="424"/>
      <c r="F62" s="424"/>
      <c r="G62" s="424" t="s">
        <v>85</v>
      </c>
      <c r="H62" s="424"/>
      <c r="I62" s="354">
        <v>75</v>
      </c>
      <c r="J62" s="424"/>
      <c r="K62" s="424" t="s">
        <v>431</v>
      </c>
    </row>
    <row r="63" spans="3:11" ht="15">
      <c r="C63" s="424" t="s">
        <v>90</v>
      </c>
      <c r="D63" s="424"/>
      <c r="E63" s="424"/>
      <c r="F63" s="424"/>
      <c r="G63" s="424" t="s">
        <v>85</v>
      </c>
      <c r="H63" s="424"/>
      <c r="I63" s="354">
        <v>20</v>
      </c>
      <c r="J63" s="424"/>
      <c r="K63" s="424" t="s">
        <v>431</v>
      </c>
    </row>
    <row r="64" spans="3:11" ht="15">
      <c r="C64" s="424" t="s">
        <v>91</v>
      </c>
      <c r="D64" s="424"/>
      <c r="E64" s="424"/>
      <c r="F64" s="424"/>
      <c r="G64" s="424" t="s">
        <v>85</v>
      </c>
      <c r="H64" s="424"/>
      <c r="I64" s="354">
        <v>20</v>
      </c>
      <c r="J64" s="424"/>
      <c r="K64" s="424" t="s">
        <v>431</v>
      </c>
    </row>
    <row r="65" spans="3:11" ht="15">
      <c r="C65" s="424" t="s">
        <v>92</v>
      </c>
      <c r="D65" s="424"/>
      <c r="E65" s="424"/>
      <c r="F65" s="424"/>
      <c r="G65" s="424" t="s">
        <v>85</v>
      </c>
      <c r="H65" s="424"/>
      <c r="I65" s="354">
        <v>100</v>
      </c>
      <c r="J65" s="424"/>
      <c r="K65" s="424" t="s">
        <v>431</v>
      </c>
    </row>
    <row r="66" spans="3:11" ht="15">
      <c r="C66" s="424" t="s">
        <v>93</v>
      </c>
      <c r="D66" s="424"/>
      <c r="E66" s="424"/>
      <c r="F66" s="424"/>
      <c r="G66" s="424" t="s">
        <v>85</v>
      </c>
      <c r="H66" s="424"/>
      <c r="I66" s="354">
        <v>150</v>
      </c>
      <c r="J66" s="424"/>
      <c r="K66" s="424" t="s">
        <v>431</v>
      </c>
    </row>
    <row r="67" spans="3:11" ht="15">
      <c r="C67" s="424" t="s">
        <v>94</v>
      </c>
      <c r="D67" s="424"/>
      <c r="E67" s="424"/>
      <c r="F67" s="424"/>
      <c r="G67" s="424" t="s">
        <v>85</v>
      </c>
      <c r="H67" s="424"/>
      <c r="I67" s="354">
        <v>300</v>
      </c>
      <c r="J67" s="424"/>
      <c r="K67" s="424" t="s">
        <v>431</v>
      </c>
    </row>
    <row r="68" spans="3:11" ht="15">
      <c r="C68" s="424" t="s">
        <v>95</v>
      </c>
      <c r="D68" s="424"/>
      <c r="E68" s="424"/>
      <c r="F68" s="424"/>
      <c r="G68" s="424" t="s">
        <v>85</v>
      </c>
      <c r="H68" s="424"/>
      <c r="I68" s="354">
        <v>25</v>
      </c>
      <c r="J68" s="424"/>
      <c r="K68" s="424" t="s">
        <v>431</v>
      </c>
    </row>
    <row r="69" spans="3:11" ht="15">
      <c r="C69" s="424" t="s">
        <v>96</v>
      </c>
      <c r="D69" s="424"/>
      <c r="E69" s="424"/>
      <c r="F69" s="424"/>
      <c r="G69" s="424" t="s">
        <v>85</v>
      </c>
      <c r="H69" s="424"/>
      <c r="I69" s="354">
        <v>25</v>
      </c>
      <c r="J69" s="424"/>
      <c r="K69" s="424" t="s">
        <v>431</v>
      </c>
    </row>
    <row r="70" spans="3:11" ht="15">
      <c r="C70" s="424" t="s">
        <v>97</v>
      </c>
      <c r="D70" s="424"/>
      <c r="E70" s="424"/>
      <c r="F70" s="424"/>
      <c r="G70" s="424" t="s">
        <v>85</v>
      </c>
      <c r="H70" s="424"/>
      <c r="I70" s="354">
        <v>15</v>
      </c>
      <c r="J70" s="424"/>
      <c r="K70" s="424" t="s">
        <v>431</v>
      </c>
    </row>
    <row r="71" spans="3:11" ht="15">
      <c r="C71" s="424" t="s">
        <v>98</v>
      </c>
      <c r="D71" s="424"/>
      <c r="E71" s="424"/>
      <c r="F71" s="424"/>
      <c r="G71" s="424" t="s">
        <v>85</v>
      </c>
      <c r="H71" s="424"/>
      <c r="I71" s="354">
        <v>50</v>
      </c>
      <c r="J71" s="424"/>
      <c r="K71" s="424" t="s">
        <v>431</v>
      </c>
    </row>
    <row r="72" spans="3:11" ht="15">
      <c r="C72" s="424" t="s">
        <v>99</v>
      </c>
      <c r="D72" s="424"/>
      <c r="E72" s="424"/>
      <c r="F72" s="424"/>
      <c r="G72" s="424" t="s">
        <v>85</v>
      </c>
      <c r="H72" s="424"/>
      <c r="I72" s="354">
        <v>50</v>
      </c>
      <c r="J72" s="424"/>
      <c r="K72" s="424" t="s">
        <v>431</v>
      </c>
    </row>
    <row r="73" spans="3:11" ht="15">
      <c r="C73" s="424" t="s">
        <v>100</v>
      </c>
      <c r="D73" s="424"/>
      <c r="E73" s="424"/>
      <c r="F73" s="424"/>
      <c r="G73" s="424" t="s">
        <v>85</v>
      </c>
      <c r="H73" s="424"/>
      <c r="I73" s="354">
        <v>3</v>
      </c>
      <c r="J73" s="424"/>
      <c r="K73" s="424" t="s">
        <v>431</v>
      </c>
    </row>
    <row r="74" spans="3:11" ht="15">
      <c r="C74" s="424" t="s">
        <v>101</v>
      </c>
      <c r="D74" s="424"/>
      <c r="E74" s="424"/>
      <c r="F74" s="424"/>
      <c r="G74" s="424" t="s">
        <v>85</v>
      </c>
      <c r="H74" s="424"/>
      <c r="I74" s="354">
        <v>3</v>
      </c>
      <c r="J74" s="424"/>
      <c r="K74" s="424" t="s">
        <v>431</v>
      </c>
    </row>
    <row r="75" spans="3:11" ht="15">
      <c r="C75" s="424" t="s">
        <v>102</v>
      </c>
      <c r="D75" s="424"/>
      <c r="E75" s="424"/>
      <c r="F75" s="424"/>
      <c r="G75" s="424" t="s">
        <v>85</v>
      </c>
      <c r="H75" s="424"/>
      <c r="I75" s="354">
        <v>40</v>
      </c>
      <c r="J75" s="424"/>
      <c r="K75" s="424" t="s">
        <v>431</v>
      </c>
    </row>
    <row r="76" spans="3:11" ht="15">
      <c r="C76" s="424" t="s">
        <v>103</v>
      </c>
      <c r="D76" s="424"/>
      <c r="E76" s="424"/>
      <c r="F76" s="424"/>
      <c r="G76" s="424" t="s">
        <v>85</v>
      </c>
      <c r="H76" s="424"/>
      <c r="I76" s="354">
        <v>500</v>
      </c>
      <c r="J76" s="424"/>
      <c r="K76" s="424" t="s">
        <v>431</v>
      </c>
    </row>
    <row r="77" spans="3:11" ht="15">
      <c r="C77" s="424" t="s">
        <v>104</v>
      </c>
      <c r="D77" s="424"/>
      <c r="E77" s="424"/>
      <c r="F77" s="424"/>
      <c r="G77" s="424" t="s">
        <v>85</v>
      </c>
      <c r="H77" s="424"/>
      <c r="I77" s="354">
        <v>500</v>
      </c>
      <c r="J77" s="424"/>
      <c r="K77" s="424" t="s">
        <v>431</v>
      </c>
    </row>
    <row r="78" spans="3:11" ht="15">
      <c r="C78" s="424" t="s">
        <v>105</v>
      </c>
      <c r="D78" s="424"/>
      <c r="E78" s="424"/>
      <c r="F78" s="424"/>
      <c r="G78" s="424" t="s">
        <v>85</v>
      </c>
      <c r="H78" s="424"/>
      <c r="I78" s="354">
        <v>200</v>
      </c>
      <c r="J78" s="424"/>
      <c r="K78" s="424" t="s">
        <v>431</v>
      </c>
    </row>
    <row r="79" spans="3:11" ht="15">
      <c r="C79" s="424" t="s">
        <v>106</v>
      </c>
      <c r="D79" s="424"/>
      <c r="E79" s="424"/>
      <c r="F79" s="424"/>
      <c r="G79" s="424" t="s">
        <v>85</v>
      </c>
      <c r="H79" s="424"/>
      <c r="I79" s="354">
        <v>200</v>
      </c>
      <c r="J79" s="424"/>
      <c r="K79" s="424" t="s">
        <v>431</v>
      </c>
    </row>
    <row r="80" spans="3:11" ht="15">
      <c r="C80" s="424" t="s">
        <v>107</v>
      </c>
      <c r="D80" s="424"/>
      <c r="E80" s="424"/>
      <c r="F80" s="424"/>
      <c r="G80" s="424" t="s">
        <v>85</v>
      </c>
      <c r="H80" s="424"/>
      <c r="I80" s="354">
        <v>40</v>
      </c>
      <c r="J80" s="424"/>
      <c r="K80" s="424" t="s">
        <v>431</v>
      </c>
    </row>
    <row r="81" spans="3:11" ht="15">
      <c r="C81" s="424" t="s">
        <v>108</v>
      </c>
      <c r="D81" s="424"/>
      <c r="E81" s="424"/>
      <c r="F81" s="424"/>
      <c r="G81" s="424" t="s">
        <v>85</v>
      </c>
      <c r="H81" s="424"/>
      <c r="I81" s="354">
        <v>125</v>
      </c>
      <c r="J81" s="424"/>
      <c r="K81" s="424" t="s">
        <v>431</v>
      </c>
    </row>
    <row r="82" spans="3:11" ht="15">
      <c r="C82" s="424" t="s">
        <v>109</v>
      </c>
      <c r="D82" s="424"/>
      <c r="E82" s="424"/>
      <c r="F82" s="424"/>
      <c r="G82" s="424" t="s">
        <v>85</v>
      </c>
      <c r="H82" s="424"/>
      <c r="I82" s="354">
        <v>125</v>
      </c>
      <c r="J82" s="424"/>
      <c r="K82" s="424" t="s">
        <v>431</v>
      </c>
    </row>
    <row r="83" spans="3:11" ht="15">
      <c r="C83" s="424" t="s">
        <v>110</v>
      </c>
      <c r="D83" s="424"/>
      <c r="E83" s="424"/>
      <c r="F83" s="424"/>
      <c r="G83" s="424" t="s">
        <v>85</v>
      </c>
      <c r="H83" s="424"/>
      <c r="I83" s="434">
        <v>7.5</v>
      </c>
      <c r="J83" s="424"/>
      <c r="K83" s="424" t="s">
        <v>431</v>
      </c>
    </row>
    <row r="84" spans="3:11" ht="15">
      <c r="C84" s="424" t="s">
        <v>111</v>
      </c>
      <c r="D84" s="424"/>
      <c r="E84" s="424"/>
      <c r="F84" s="424"/>
      <c r="G84" s="424" t="s">
        <v>85</v>
      </c>
      <c r="H84" s="424"/>
      <c r="I84" s="494">
        <v>7.5</v>
      </c>
      <c r="J84" s="424"/>
      <c r="K84" s="424" t="s">
        <v>431</v>
      </c>
    </row>
    <row r="85" spans="3:11" ht="12.75" customHeight="1">
      <c r="C85" s="424" t="s">
        <v>646</v>
      </c>
      <c r="D85" s="424"/>
      <c r="E85" s="424"/>
      <c r="F85" s="424"/>
      <c r="G85" s="424" t="s">
        <v>85</v>
      </c>
      <c r="H85" s="424"/>
      <c r="I85" s="354">
        <v>1000</v>
      </c>
      <c r="J85" s="424"/>
      <c r="K85" s="424"/>
    </row>
    <row r="86" spans="3:11" ht="15">
      <c r="C86" s="424" t="s">
        <v>647</v>
      </c>
      <c r="D86" s="424"/>
      <c r="E86" s="424"/>
      <c r="F86" s="424"/>
      <c r="G86" s="424" t="s">
        <v>85</v>
      </c>
      <c r="H86" s="424"/>
      <c r="I86" s="354">
        <v>1000</v>
      </c>
      <c r="J86" s="424"/>
      <c r="K86" s="424"/>
    </row>
    <row r="87" spans="3:11" ht="15">
      <c r="C87" s="424" t="s">
        <v>648</v>
      </c>
      <c r="D87" s="424"/>
      <c r="E87" s="424"/>
      <c r="F87" s="424"/>
      <c r="G87" s="424" t="s">
        <v>85</v>
      </c>
      <c r="H87" s="424"/>
      <c r="I87" s="354">
        <v>1000</v>
      </c>
      <c r="J87" s="424"/>
      <c r="K87" s="424"/>
    </row>
    <row r="88" spans="3:11" ht="15">
      <c r="C88" s="424"/>
      <c r="D88" s="424"/>
      <c r="E88" s="424"/>
      <c r="F88" s="424"/>
      <c r="G88" s="424"/>
      <c r="H88" s="424"/>
      <c r="I88" s="559"/>
      <c r="J88" s="424"/>
      <c r="K88" s="424"/>
    </row>
    <row r="89" spans="3:11" ht="15">
      <c r="C89" s="424" t="s">
        <v>649</v>
      </c>
      <c r="D89" s="424"/>
      <c r="E89" s="424"/>
      <c r="F89" s="424"/>
      <c r="G89" s="424"/>
      <c r="H89" s="424"/>
      <c r="I89" s="354">
        <v>10</v>
      </c>
      <c r="J89" s="424"/>
      <c r="K89" s="424"/>
    </row>
    <row r="90" spans="3:11" ht="15">
      <c r="C90" s="424" t="s">
        <v>649</v>
      </c>
      <c r="D90" s="424"/>
      <c r="E90" s="424"/>
      <c r="F90" s="424"/>
      <c r="G90" s="424"/>
      <c r="H90" s="424"/>
      <c r="I90" s="354">
        <v>10</v>
      </c>
      <c r="J90" s="424"/>
      <c r="K90" s="424"/>
    </row>
    <row r="91" spans="3:9" ht="15">
      <c r="C91" s="424" t="s">
        <v>650</v>
      </c>
      <c r="D91" s="424"/>
      <c r="E91" s="424"/>
      <c r="F91" s="424"/>
      <c r="G91" s="424"/>
      <c r="H91" s="424"/>
      <c r="I91" s="354">
        <v>25</v>
      </c>
    </row>
    <row r="92" spans="3:9" ht="15">
      <c r="C92" s="424" t="s">
        <v>651</v>
      </c>
      <c r="D92" s="424"/>
      <c r="E92" s="424"/>
      <c r="F92" s="424"/>
      <c r="G92" s="424"/>
      <c r="H92" s="424"/>
      <c r="I92" s="354">
        <v>25</v>
      </c>
    </row>
    <row r="93" spans="3:9" ht="15">
      <c r="C93" s="424" t="s">
        <v>652</v>
      </c>
      <c r="D93" s="424"/>
      <c r="E93" s="424"/>
      <c r="F93" s="424"/>
      <c r="G93" s="424"/>
      <c r="H93" s="424"/>
      <c r="I93" s="354">
        <v>25</v>
      </c>
    </row>
    <row r="94" spans="3:9" ht="15">
      <c r="C94" s="424" t="s">
        <v>653</v>
      </c>
      <c r="D94" s="424"/>
      <c r="E94" s="424"/>
      <c r="F94" s="424"/>
      <c r="G94" s="424"/>
      <c r="H94" s="424"/>
      <c r="I94" s="558">
        <v>25</v>
      </c>
    </row>
    <row r="95" spans="3:9" ht="15">
      <c r="C95" s="424"/>
      <c r="D95" s="424"/>
      <c r="E95" s="424"/>
      <c r="F95" s="424"/>
      <c r="G95" s="424"/>
      <c r="H95" s="424"/>
      <c r="I95" s="354"/>
    </row>
    <row r="96" spans="3:9" ht="15">
      <c r="C96" s="424"/>
      <c r="D96" s="424"/>
      <c r="E96" s="431" t="s">
        <v>112</v>
      </c>
      <c r="F96" s="424"/>
      <c r="G96" s="424"/>
      <c r="H96" s="424"/>
      <c r="I96" s="354">
        <f>SUM(I58:I95)</f>
        <v>6541</v>
      </c>
    </row>
    <row r="97" spans="3:9" ht="15">
      <c r="C97" s="424"/>
      <c r="D97" s="424"/>
      <c r="E97" s="424"/>
      <c r="F97" s="424"/>
      <c r="G97" s="424"/>
      <c r="H97" s="424"/>
      <c r="I97" s="354"/>
    </row>
    <row r="98" spans="3:9" ht="15">
      <c r="C98" s="424"/>
      <c r="D98" s="424"/>
      <c r="E98" s="424"/>
      <c r="F98" s="424"/>
      <c r="G98" s="424"/>
      <c r="H98" s="424"/>
      <c r="I98" s="354"/>
    </row>
    <row r="99" spans="3:9" ht="15">
      <c r="C99" s="424"/>
      <c r="D99" s="424"/>
      <c r="E99" s="431" t="s">
        <v>113</v>
      </c>
      <c r="F99" s="424"/>
      <c r="G99" s="424"/>
      <c r="H99" s="424"/>
      <c r="I99" s="354">
        <f>I35+I56+I96</f>
        <v>24318</v>
      </c>
    </row>
    <row r="100" spans="3:9" ht="15">
      <c r="C100" s="424"/>
      <c r="D100" s="424"/>
      <c r="E100" s="424"/>
      <c r="F100" s="424"/>
      <c r="G100" s="424"/>
      <c r="H100" s="424"/>
      <c r="I100" s="354"/>
    </row>
  </sheetData>
  <mergeCells count="3">
    <mergeCell ref="C9:E9"/>
    <mergeCell ref="C4:K4"/>
    <mergeCell ref="C6:K6"/>
  </mergeCells>
  <printOptions/>
  <pageMargins left="0.75" right="0.75" top="1" bottom="1" header="0.5" footer="0.5"/>
  <pageSetup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Z1599"/>
  <sheetViews>
    <sheetView workbookViewId="0" topLeftCell="A1">
      <selection activeCell="A1" sqref="A1"/>
    </sheetView>
  </sheetViews>
  <sheetFormatPr defaultColWidth="8.88671875" defaultRowHeight="12.75"/>
  <cols>
    <col min="1" max="1" width="9.6640625" style="38" bestFit="1" customWidth="1"/>
    <col min="2" max="3" width="7.77734375" style="38" customWidth="1"/>
    <col min="4" max="4" width="1.99609375" style="38" customWidth="1"/>
    <col min="5" max="5" width="8.6640625" style="38" customWidth="1"/>
    <col min="6" max="6" width="1.88671875" style="38" customWidth="1"/>
    <col min="7" max="7" width="8.6640625" style="38" customWidth="1"/>
    <col min="8" max="8" width="1.99609375" style="38" customWidth="1"/>
    <col min="9" max="9" width="8.6640625" style="38" customWidth="1"/>
    <col min="10" max="10" width="1.99609375" style="38" customWidth="1"/>
    <col min="11" max="11" width="8.6640625" style="38" customWidth="1"/>
    <col min="12" max="12" width="1.99609375" style="38" customWidth="1"/>
    <col min="13" max="13" width="8.6640625" style="38" customWidth="1"/>
    <col min="14" max="14" width="4.77734375" style="38" customWidth="1"/>
    <col min="15" max="15" width="9.77734375" style="38" customWidth="1"/>
    <col min="16" max="16" width="10.4453125" style="38" bestFit="1" customWidth="1"/>
    <col min="17" max="17" width="7.5546875" style="38" bestFit="1" customWidth="1"/>
    <col min="18" max="18" width="7.77734375" style="38" customWidth="1"/>
    <col min="19" max="19" width="10.77734375" style="38" customWidth="1"/>
    <col min="20" max="20" width="7.77734375" style="38" customWidth="1"/>
    <col min="21" max="21" width="8.77734375" style="38" customWidth="1"/>
    <col min="22" max="22" width="2.77734375" style="38" customWidth="1"/>
    <col min="23" max="23" width="9.77734375" style="38" customWidth="1"/>
    <col min="24" max="24" width="2.77734375" style="38" customWidth="1"/>
    <col min="25" max="25" width="7.77734375" style="38" customWidth="1"/>
    <col min="26" max="16384" width="9.77734375" style="38" customWidth="1"/>
  </cols>
  <sheetData>
    <row r="1" spans="2:13" ht="15">
      <c r="B1" s="37" t="s">
        <v>7</v>
      </c>
      <c r="C1" s="37"/>
      <c r="D1" s="37"/>
      <c r="E1" s="37"/>
      <c r="F1" s="37"/>
      <c r="G1" s="37"/>
      <c r="H1" s="37"/>
      <c r="I1" s="37"/>
      <c r="J1" s="37"/>
      <c r="K1" s="37"/>
      <c r="L1" s="37"/>
      <c r="M1" s="37"/>
    </row>
    <row r="2" spans="2:13" ht="15">
      <c r="B2" s="37"/>
      <c r="C2" s="37"/>
      <c r="D2" s="37"/>
      <c r="E2" s="37"/>
      <c r="F2" s="37"/>
      <c r="G2" s="37"/>
      <c r="H2" s="37"/>
      <c r="I2" s="37"/>
      <c r="J2" s="37"/>
      <c r="K2" s="37"/>
      <c r="L2" s="37"/>
      <c r="M2" s="37"/>
    </row>
    <row r="3" spans="2:13" ht="12.75" customHeight="1">
      <c r="B3" s="37"/>
      <c r="C3" s="37"/>
      <c r="D3" s="37"/>
      <c r="E3" s="37"/>
      <c r="F3" s="37"/>
      <c r="G3" s="37"/>
      <c r="H3" s="37"/>
      <c r="I3" s="37"/>
      <c r="J3" s="37"/>
      <c r="K3" s="37"/>
      <c r="L3" s="37"/>
      <c r="M3" s="37"/>
    </row>
    <row r="4" spans="2:26" ht="12.75" customHeight="1">
      <c r="B4" s="1" t="s">
        <v>371</v>
      </c>
      <c r="C4" s="1"/>
      <c r="D4" s="1"/>
      <c r="E4" s="1"/>
      <c r="F4" s="1"/>
      <c r="G4" s="1"/>
      <c r="H4" s="1"/>
      <c r="I4" s="1"/>
      <c r="J4" s="1"/>
      <c r="K4" s="1"/>
      <c r="L4" s="1"/>
      <c r="M4" s="1"/>
      <c r="N4" s="2"/>
      <c r="O4" s="2"/>
      <c r="P4" s="2"/>
      <c r="Q4" s="2"/>
      <c r="R4" s="2"/>
      <c r="S4" s="2"/>
      <c r="T4" s="2"/>
      <c r="U4" s="2"/>
      <c r="V4" s="2"/>
      <c r="W4" s="2"/>
      <c r="X4" s="2"/>
      <c r="Y4" s="2"/>
      <c r="Z4" s="2"/>
    </row>
    <row r="5" spans="2:26" ht="12.75" customHeight="1">
      <c r="B5" s="2"/>
      <c r="C5" s="2"/>
      <c r="D5" s="2"/>
      <c r="E5" s="2"/>
      <c r="F5" s="2"/>
      <c r="G5" s="2"/>
      <c r="H5" s="2"/>
      <c r="I5" s="2"/>
      <c r="J5" s="2"/>
      <c r="K5" s="2"/>
      <c r="L5" s="2"/>
      <c r="M5" s="2"/>
      <c r="N5" s="2"/>
      <c r="O5" s="2"/>
      <c r="P5" s="2"/>
      <c r="Q5" s="2"/>
      <c r="R5" s="2"/>
      <c r="S5" s="2"/>
      <c r="T5" s="2"/>
      <c r="U5" s="2"/>
      <c r="V5" s="2"/>
      <c r="W5" s="2"/>
      <c r="X5" s="2"/>
      <c r="Y5" s="2"/>
      <c r="Z5" s="2"/>
    </row>
    <row r="6" spans="2:26" ht="12.75" customHeight="1">
      <c r="B6" s="2"/>
      <c r="C6" s="2"/>
      <c r="D6" s="2"/>
      <c r="E6" s="2"/>
      <c r="F6" s="2"/>
      <c r="G6" s="2"/>
      <c r="H6" s="2"/>
      <c r="I6" s="2"/>
      <c r="J6" s="2"/>
      <c r="K6" s="2"/>
      <c r="L6" s="2"/>
      <c r="M6" s="2"/>
      <c r="N6" s="2"/>
      <c r="O6" s="2"/>
      <c r="P6" s="2"/>
      <c r="Q6" s="2"/>
      <c r="R6" s="2"/>
      <c r="S6" s="2"/>
      <c r="T6" s="2"/>
      <c r="U6" s="2"/>
      <c r="V6" s="2"/>
      <c r="W6" s="2"/>
      <c r="X6" s="2"/>
      <c r="Y6" s="2"/>
      <c r="Z6" s="2"/>
    </row>
    <row r="7" spans="2:26" ht="12.75" customHeight="1">
      <c r="B7" s="2" t="s">
        <v>372</v>
      </c>
      <c r="C7" s="2"/>
      <c r="D7" s="2"/>
      <c r="E7" s="2"/>
      <c r="F7" s="2"/>
      <c r="G7" s="2"/>
      <c r="H7" s="2"/>
      <c r="I7" s="2"/>
      <c r="J7" s="2"/>
      <c r="K7" s="2"/>
      <c r="L7" s="2"/>
      <c r="M7" s="2"/>
      <c r="N7" s="2"/>
      <c r="O7" s="2"/>
      <c r="P7" s="2"/>
      <c r="Q7" s="2"/>
      <c r="R7" s="2"/>
      <c r="S7" s="2"/>
      <c r="T7" s="2"/>
      <c r="U7" s="2"/>
      <c r="V7" s="2"/>
      <c r="W7" s="2"/>
      <c r="X7" s="2"/>
      <c r="Y7" s="2"/>
      <c r="Z7" s="2"/>
    </row>
    <row r="8" spans="2:26" ht="12.75" customHeight="1">
      <c r="B8" s="2"/>
      <c r="C8" s="2"/>
      <c r="D8" s="2"/>
      <c r="E8" s="2"/>
      <c r="F8" s="2"/>
      <c r="G8" s="2"/>
      <c r="H8" s="2"/>
      <c r="I8" s="2"/>
      <c r="J8" s="2"/>
      <c r="K8" s="2"/>
      <c r="L8" s="2"/>
      <c r="M8" s="2"/>
      <c r="N8" s="2"/>
      <c r="O8" s="2"/>
      <c r="P8" s="2"/>
      <c r="Q8" s="2"/>
      <c r="R8" s="2"/>
      <c r="S8" s="2"/>
      <c r="T8" s="2"/>
      <c r="U8" s="2"/>
      <c r="V8" s="2"/>
      <c r="W8" s="2"/>
      <c r="X8" s="2"/>
      <c r="Y8" s="2"/>
      <c r="Z8" s="2"/>
    </row>
    <row r="9" spans="2:26" ht="24.75" customHeight="1">
      <c r="B9" s="583" t="s">
        <v>373</v>
      </c>
      <c r="C9" s="583"/>
      <c r="D9" s="583"/>
      <c r="E9" s="583"/>
      <c r="F9" s="583"/>
      <c r="G9" s="583"/>
      <c r="H9" s="583"/>
      <c r="I9" s="583"/>
      <c r="J9" s="583"/>
      <c r="K9" s="583"/>
      <c r="L9" s="583"/>
      <c r="M9" s="583"/>
      <c r="N9" s="2"/>
      <c r="O9" s="2"/>
      <c r="P9" s="2"/>
      <c r="Q9" s="2"/>
      <c r="R9" s="2"/>
      <c r="S9" s="2"/>
      <c r="T9" s="2"/>
      <c r="U9" s="2"/>
      <c r="V9" s="2"/>
      <c r="W9" s="2"/>
      <c r="X9" s="2"/>
      <c r="Y9" s="2"/>
      <c r="Z9" s="2"/>
    </row>
    <row r="10" spans="2:26" ht="10.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2.75" customHeight="1">
      <c r="B11" s="2"/>
      <c r="C11" s="2"/>
      <c r="D11" s="2"/>
      <c r="E11" s="2"/>
      <c r="F11" s="1" t="s">
        <v>374</v>
      </c>
      <c r="G11" s="37"/>
      <c r="H11" s="1"/>
      <c r="I11" s="2"/>
      <c r="J11" s="2"/>
      <c r="K11" s="2"/>
      <c r="L11" s="2"/>
      <c r="M11" s="2"/>
      <c r="N11" s="2"/>
      <c r="O11" s="2"/>
      <c r="P11" s="2"/>
      <c r="Q11" s="2"/>
      <c r="R11" s="2"/>
      <c r="S11" s="2"/>
      <c r="T11" s="2"/>
      <c r="U11" s="2"/>
      <c r="V11" s="2"/>
      <c r="W11" s="2"/>
      <c r="X11" s="2"/>
      <c r="Y11" s="2"/>
      <c r="Z11" s="2"/>
    </row>
    <row r="12" spans="2:26" ht="12.75" customHeight="1">
      <c r="B12" s="1" t="s">
        <v>375</v>
      </c>
      <c r="C12" s="1"/>
      <c r="D12" s="2"/>
      <c r="E12" s="2"/>
      <c r="F12" s="1" t="s">
        <v>376</v>
      </c>
      <c r="G12" s="37"/>
      <c r="H12" s="1"/>
      <c r="I12" s="2"/>
      <c r="J12" s="1" t="s">
        <v>377</v>
      </c>
      <c r="K12" s="37"/>
      <c r="L12" s="1"/>
      <c r="M12" s="2"/>
      <c r="N12" s="2"/>
      <c r="O12" s="2"/>
      <c r="P12" s="2"/>
      <c r="Q12" s="2"/>
      <c r="R12" s="2"/>
      <c r="S12" s="2"/>
      <c r="T12" s="2"/>
      <c r="U12" s="2"/>
      <c r="V12" s="2"/>
      <c r="W12" s="2"/>
      <c r="X12" s="2"/>
      <c r="Y12" s="2"/>
      <c r="Z12" s="2"/>
    </row>
    <row r="13" spans="2:26" ht="12.75" customHeight="1">
      <c r="B13" s="1" t="s">
        <v>378</v>
      </c>
      <c r="C13" s="1"/>
      <c r="D13" s="2"/>
      <c r="E13" s="2"/>
      <c r="F13" s="1" t="s">
        <v>9</v>
      </c>
      <c r="G13" s="37"/>
      <c r="H13" s="1"/>
      <c r="I13" s="2"/>
      <c r="J13" s="1" t="s">
        <v>379</v>
      </c>
      <c r="K13" s="37"/>
      <c r="L13" s="1"/>
      <c r="M13" s="2"/>
      <c r="N13" s="2"/>
      <c r="O13"/>
      <c r="P13"/>
      <c r="Q13"/>
      <c r="R13"/>
      <c r="S13"/>
      <c r="T13"/>
      <c r="U13"/>
      <c r="V13"/>
      <c r="W13" s="2"/>
      <c r="X13" s="2"/>
      <c r="Y13" s="2"/>
      <c r="Z13" s="2"/>
    </row>
    <row r="14" spans="2:26" ht="12.75" customHeight="1">
      <c r="B14" s="3" t="s">
        <v>380</v>
      </c>
      <c r="C14" s="3"/>
      <c r="D14" s="2"/>
      <c r="E14" s="2"/>
      <c r="F14" s="3" t="s">
        <v>381</v>
      </c>
      <c r="G14" s="134"/>
      <c r="H14" s="3"/>
      <c r="I14" s="2"/>
      <c r="J14" s="3" t="s">
        <v>382</v>
      </c>
      <c r="K14" s="134"/>
      <c r="L14" s="3"/>
      <c r="M14" s="2"/>
      <c r="N14" s="2"/>
      <c r="O14" s="146"/>
      <c r="P14"/>
      <c r="Q14" s="146"/>
      <c r="R14"/>
      <c r="S14"/>
      <c r="T14"/>
      <c r="U14"/>
      <c r="V14"/>
      <c r="W14" s="2"/>
      <c r="X14" s="2"/>
      <c r="Y14" s="2"/>
      <c r="Z14" s="2"/>
    </row>
    <row r="15" spans="2:26" ht="12.75" customHeight="1">
      <c r="B15" s="2"/>
      <c r="C15" s="2"/>
      <c r="D15" s="2"/>
      <c r="E15" s="2"/>
      <c r="F15" s="2"/>
      <c r="G15" s="2"/>
      <c r="H15" s="2"/>
      <c r="I15" s="2"/>
      <c r="J15" s="2"/>
      <c r="K15" s="2"/>
      <c r="L15" s="2"/>
      <c r="M15" s="2"/>
      <c r="N15" s="2"/>
      <c r="O15" s="236"/>
      <c r="P15"/>
      <c r="Q15" s="161"/>
      <c r="R15" s="161"/>
      <c r="S15" s="161"/>
      <c r="T15" s="161"/>
      <c r="U15" s="161"/>
      <c r="V15"/>
      <c r="W15" s="2"/>
      <c r="X15" s="2"/>
      <c r="Y15" s="2"/>
      <c r="Z15" s="2"/>
    </row>
    <row r="16" spans="1:26" ht="12.75" customHeight="1">
      <c r="A16" s="325"/>
      <c r="B16" s="2" t="s">
        <v>383</v>
      </c>
      <c r="C16" s="2"/>
      <c r="D16" s="2"/>
      <c r="E16" s="2"/>
      <c r="F16" s="2"/>
      <c r="G16" s="399">
        <v>22576</v>
      </c>
      <c r="I16" s="2"/>
      <c r="J16" s="2"/>
      <c r="K16" s="5">
        <f>ROUND(G16/G$24,4)</f>
        <v>0.4883</v>
      </c>
      <c r="L16" s="2"/>
      <c r="M16" s="2"/>
      <c r="N16" s="2"/>
      <c r="O16" s="236"/>
      <c r="P16"/>
      <c r="Q16" s="161"/>
      <c r="R16" s="161"/>
      <c r="S16" s="161"/>
      <c r="T16" s="161"/>
      <c r="U16" s="161"/>
      <c r="V16"/>
      <c r="W16" s="2"/>
      <c r="X16" s="2"/>
      <c r="Y16" s="2"/>
      <c r="Z16" s="2"/>
    </row>
    <row r="17" spans="1:26" ht="12.75" customHeight="1">
      <c r="A17" s="325"/>
      <c r="B17" s="2" t="s">
        <v>384</v>
      </c>
      <c r="C17" s="2"/>
      <c r="D17" s="2"/>
      <c r="E17" s="2"/>
      <c r="F17" s="2"/>
      <c r="G17" s="399">
        <v>14136</v>
      </c>
      <c r="I17" s="2"/>
      <c r="J17" s="2"/>
      <c r="K17" s="5">
        <f aca="true" t="shared" si="0" ref="K17:K22">ROUND(G17/G$24,4)</f>
        <v>0.3058</v>
      </c>
      <c r="L17" s="2"/>
      <c r="M17" s="2"/>
      <c r="N17" s="2"/>
      <c r="O17" s="236"/>
      <c r="P17"/>
      <c r="Q17" s="161"/>
      <c r="R17" s="161"/>
      <c r="S17"/>
      <c r="T17"/>
      <c r="U17" s="161"/>
      <c r="V17"/>
      <c r="W17" s="2"/>
      <c r="X17" s="2"/>
      <c r="Y17" s="2"/>
      <c r="Z17" s="2"/>
    </row>
    <row r="18" spans="1:26" ht="12.75" customHeight="1">
      <c r="A18" s="325"/>
      <c r="B18" s="2" t="s">
        <v>385</v>
      </c>
      <c r="C18" s="2"/>
      <c r="D18" s="2"/>
      <c r="E18" s="2"/>
      <c r="F18" s="2"/>
      <c r="G18" s="399">
        <v>1894</v>
      </c>
      <c r="I18" s="2"/>
      <c r="J18" s="2"/>
      <c r="K18" s="5">
        <f t="shared" si="0"/>
        <v>0.041</v>
      </c>
      <c r="L18" s="2"/>
      <c r="M18" s="2"/>
      <c r="N18" s="2"/>
      <c r="O18" s="236"/>
      <c r="P18"/>
      <c r="Q18" s="161"/>
      <c r="R18" s="161"/>
      <c r="S18"/>
      <c r="T18"/>
      <c r="U18" s="161"/>
      <c r="V18"/>
      <c r="W18" s="2"/>
      <c r="X18" s="2"/>
      <c r="Y18" s="2"/>
      <c r="Z18" s="2"/>
    </row>
    <row r="19" spans="1:26" ht="12.75" customHeight="1">
      <c r="A19" s="325"/>
      <c r="B19" s="2" t="s">
        <v>387</v>
      </c>
      <c r="C19" s="2"/>
      <c r="D19" s="2"/>
      <c r="E19" s="2"/>
      <c r="F19" s="2"/>
      <c r="G19" s="399">
        <v>5656</v>
      </c>
      <c r="I19" s="2"/>
      <c r="J19" s="2"/>
      <c r="K19" s="5">
        <f t="shared" si="0"/>
        <v>0.1223</v>
      </c>
      <c r="L19" s="2"/>
      <c r="M19" s="2"/>
      <c r="N19" s="2"/>
      <c r="O19" s="236"/>
      <c r="P19" s="161"/>
      <c r="Q19" s="161"/>
      <c r="R19" s="161"/>
      <c r="S19"/>
      <c r="T19"/>
      <c r="U19" s="161"/>
      <c r="V19"/>
      <c r="W19" s="2"/>
      <c r="X19" s="2"/>
      <c r="Y19" s="2"/>
      <c r="Z19" s="2"/>
    </row>
    <row r="20" spans="1:26" ht="12.75" customHeight="1">
      <c r="A20" s="325"/>
      <c r="B20" s="2" t="s">
        <v>508</v>
      </c>
      <c r="C20" s="2"/>
      <c r="D20" s="2"/>
      <c r="E20" s="2"/>
      <c r="F20" s="2"/>
      <c r="G20" s="399">
        <v>1717</v>
      </c>
      <c r="I20" s="2"/>
      <c r="J20" s="2"/>
      <c r="K20" s="5">
        <f t="shared" si="0"/>
        <v>0.0371</v>
      </c>
      <c r="L20" s="2"/>
      <c r="M20" s="2"/>
      <c r="N20" s="2"/>
      <c r="O20" s="236"/>
      <c r="P20" s="236"/>
      <c r="Q20"/>
      <c r="R20"/>
      <c r="S20"/>
      <c r="T20"/>
      <c r="U20" s="161"/>
      <c r="V20"/>
      <c r="W20" s="2"/>
      <c r="X20" s="2"/>
      <c r="Y20" s="2"/>
      <c r="Z20" s="2"/>
    </row>
    <row r="21" spans="2:26" ht="12.75" customHeight="1">
      <c r="B21" s="2" t="s">
        <v>389</v>
      </c>
      <c r="C21" s="2"/>
      <c r="D21" s="2"/>
      <c r="E21" s="2"/>
      <c r="F21" s="2"/>
      <c r="G21" s="399">
        <v>114.18223840744267</v>
      </c>
      <c r="I21" s="2"/>
      <c r="J21" s="2"/>
      <c r="K21" s="5">
        <f t="shared" si="0"/>
        <v>0.0025</v>
      </c>
      <c r="L21" s="2"/>
      <c r="M21" s="2"/>
      <c r="N21" s="2"/>
      <c r="O21"/>
      <c r="P21" s="398"/>
      <c r="Q21"/>
      <c r="R21"/>
      <c r="S21"/>
      <c r="T21"/>
      <c r="U21"/>
      <c r="V21"/>
      <c r="W21" s="2"/>
      <c r="X21" s="2"/>
      <c r="Y21" s="2"/>
      <c r="Z21" s="2"/>
    </row>
    <row r="22" spans="2:26" ht="12.75" customHeight="1">
      <c r="B22" s="2" t="s">
        <v>390</v>
      </c>
      <c r="C22" s="2"/>
      <c r="D22" s="2"/>
      <c r="E22" s="2"/>
      <c r="F22" s="2"/>
      <c r="G22" s="400">
        <v>140.4614690132591</v>
      </c>
      <c r="I22" s="2"/>
      <c r="J22" s="2"/>
      <c r="K22" s="5">
        <f t="shared" si="0"/>
        <v>0.003</v>
      </c>
      <c r="L22" s="2"/>
      <c r="M22" s="2"/>
      <c r="N22" s="2"/>
      <c r="O22" s="247"/>
      <c r="P22"/>
      <c r="Q22"/>
      <c r="R22"/>
      <c r="S22"/>
      <c r="T22"/>
      <c r="U22"/>
      <c r="V22"/>
      <c r="W22" s="2"/>
      <c r="X22" s="2"/>
      <c r="Y22" s="2"/>
      <c r="Z22" s="2"/>
    </row>
    <row r="23" spans="2:26" ht="12.75" customHeight="1">
      <c r="B23" s="2"/>
      <c r="C23" s="2"/>
      <c r="D23" s="2"/>
      <c r="E23" s="2"/>
      <c r="F23" s="2"/>
      <c r="G23" s="399"/>
      <c r="I23" s="2"/>
      <c r="J23" s="2"/>
      <c r="K23" s="7"/>
      <c r="L23" s="2"/>
      <c r="M23" s="2"/>
      <c r="N23" s="2"/>
      <c r="O23"/>
      <c r="P23"/>
      <c r="Q23" s="401"/>
      <c r="R23"/>
      <c r="S23"/>
      <c r="T23"/>
      <c r="U23"/>
      <c r="V23"/>
      <c r="W23" s="2"/>
      <c r="X23" s="2"/>
      <c r="Y23" s="2"/>
      <c r="Z23" s="2"/>
    </row>
    <row r="24" spans="2:26" ht="12.75" customHeight="1" thickBot="1">
      <c r="B24" s="2" t="s">
        <v>391</v>
      </c>
      <c r="C24" s="2"/>
      <c r="D24" s="2"/>
      <c r="E24" s="2"/>
      <c r="F24" s="2"/>
      <c r="G24" s="183">
        <f>SUM(G16:G23)</f>
        <v>46233.6437074207</v>
      </c>
      <c r="I24" s="2"/>
      <c r="J24" s="2"/>
      <c r="K24" s="5">
        <f>SUM(K16:K23)</f>
        <v>1</v>
      </c>
      <c r="L24" s="2"/>
      <c r="M24" s="2"/>
      <c r="N24" s="2"/>
      <c r="O24"/>
      <c r="P24" s="401"/>
      <c r="Q24" s="401"/>
      <c r="R24"/>
      <c r="S24"/>
      <c r="T24"/>
      <c r="U24"/>
      <c r="V24"/>
      <c r="W24" s="2"/>
      <c r="X24" s="2"/>
      <c r="Y24" s="2"/>
      <c r="Z24" s="2"/>
    </row>
    <row r="25" spans="2:26" ht="12.75" customHeight="1" thickTop="1">
      <c r="B25" s="2"/>
      <c r="C25" s="2"/>
      <c r="D25" s="2"/>
      <c r="E25" s="2"/>
      <c r="F25" s="2"/>
      <c r="G25" s="170"/>
      <c r="H25" s="2"/>
      <c r="I25" s="2"/>
      <c r="J25" s="2"/>
      <c r="K25" s="9"/>
      <c r="L25" s="2"/>
      <c r="M25" s="2"/>
      <c r="N25" s="2"/>
      <c r="O25"/>
      <c r="P25" s="401"/>
      <c r="Q25" s="401"/>
      <c r="R25"/>
      <c r="S25"/>
      <c r="T25"/>
      <c r="U25"/>
      <c r="V25"/>
      <c r="W25" s="2"/>
      <c r="X25" s="2"/>
      <c r="Y25" s="2"/>
      <c r="Z25" s="2"/>
    </row>
    <row r="26" spans="2:26" ht="12.75" customHeight="1">
      <c r="B26" s="2"/>
      <c r="C26" s="2"/>
      <c r="D26" s="2"/>
      <c r="E26" s="2"/>
      <c r="F26" s="2"/>
      <c r="G26" s="10"/>
      <c r="H26" s="2"/>
      <c r="I26" s="2"/>
      <c r="J26" s="2"/>
      <c r="K26" s="2"/>
      <c r="L26" s="2"/>
      <c r="M26" s="2"/>
      <c r="N26" s="2"/>
      <c r="O26" s="2"/>
      <c r="P26" s="402"/>
      <c r="Q26" s="403"/>
      <c r="R26" s="2"/>
      <c r="S26" s="2"/>
      <c r="T26" s="2"/>
      <c r="U26" s="2"/>
      <c r="V26" s="2"/>
      <c r="W26" s="2"/>
      <c r="X26" s="2"/>
      <c r="Y26" s="2"/>
      <c r="Z26" s="2"/>
    </row>
    <row r="27" spans="2:26" ht="12.75" customHeight="1">
      <c r="B27" s="2" t="s">
        <v>392</v>
      </c>
      <c r="C27" s="2"/>
      <c r="D27" s="2"/>
      <c r="E27" s="2"/>
      <c r="F27" s="2"/>
      <c r="G27" s="2"/>
      <c r="H27" s="2"/>
      <c r="I27" s="2"/>
      <c r="J27" s="2"/>
      <c r="K27" s="2"/>
      <c r="L27" s="2"/>
      <c r="M27" s="2"/>
      <c r="N27" s="2"/>
      <c r="O27" s="2"/>
      <c r="P27" s="2"/>
      <c r="Q27" s="2"/>
      <c r="R27" s="2"/>
      <c r="S27" s="2"/>
      <c r="T27" s="2"/>
      <c r="U27" s="2"/>
      <c r="V27" s="2"/>
      <c r="W27" s="2"/>
      <c r="X27" s="2"/>
      <c r="Y27" s="2"/>
      <c r="Z27" s="2"/>
    </row>
    <row r="28" spans="2:26" ht="12.75" customHeight="1">
      <c r="B28" s="2" t="s">
        <v>393</v>
      </c>
      <c r="C28" s="2"/>
      <c r="D28" s="2"/>
      <c r="E28" s="2"/>
      <c r="F28" s="2"/>
      <c r="G28" s="2"/>
      <c r="H28" s="2"/>
      <c r="I28" s="2"/>
      <c r="J28" s="2"/>
      <c r="K28" s="2"/>
      <c r="L28" s="2"/>
      <c r="M28" s="2"/>
      <c r="N28" s="2"/>
      <c r="O28" s="2"/>
      <c r="P28" s="2"/>
      <c r="Q28" s="2"/>
      <c r="R28" s="2"/>
      <c r="S28" s="2"/>
      <c r="T28" s="2"/>
      <c r="U28" s="2"/>
      <c r="V28" s="2"/>
      <c r="W28" s="2"/>
      <c r="X28" s="2"/>
      <c r="Y28" s="2"/>
      <c r="Z28" s="2"/>
    </row>
    <row r="29" spans="2:26" ht="9" customHeight="1">
      <c r="B29" s="2"/>
      <c r="C29" s="2"/>
      <c r="D29" s="2"/>
      <c r="E29" s="2"/>
      <c r="F29" s="2"/>
      <c r="G29" s="2"/>
      <c r="H29" s="2"/>
      <c r="I29" s="2"/>
      <c r="J29" s="2"/>
      <c r="K29" s="2"/>
      <c r="L29" s="2"/>
      <c r="M29" s="2"/>
      <c r="N29" s="2"/>
      <c r="O29" s="2"/>
      <c r="P29" s="2"/>
      <c r="Q29" s="2"/>
      <c r="R29" s="2"/>
      <c r="S29" s="2"/>
      <c r="T29" s="2"/>
      <c r="U29" s="2"/>
      <c r="V29" s="2"/>
      <c r="W29" s="2"/>
      <c r="X29" s="2"/>
      <c r="Y29" s="2"/>
      <c r="Z29" s="2"/>
    </row>
    <row r="30" spans="2:26" ht="27" customHeight="1">
      <c r="B30" s="583" t="s">
        <v>394</v>
      </c>
      <c r="C30" s="583"/>
      <c r="D30" s="583"/>
      <c r="E30" s="583"/>
      <c r="F30" s="583"/>
      <c r="G30" s="583"/>
      <c r="H30" s="583"/>
      <c r="I30" s="583"/>
      <c r="J30" s="583"/>
      <c r="K30" s="583"/>
      <c r="L30" s="583"/>
      <c r="M30" s="583"/>
      <c r="N30" s="2"/>
      <c r="O30" s="2"/>
      <c r="P30" s="2"/>
      <c r="Q30" s="2"/>
      <c r="R30" s="2"/>
      <c r="S30" s="2"/>
      <c r="T30" s="2"/>
      <c r="U30" s="2"/>
      <c r="V30" s="2"/>
      <c r="W30" s="2"/>
      <c r="X30" s="2"/>
      <c r="Y30" s="2"/>
      <c r="Z30" s="2"/>
    </row>
    <row r="31" spans="2:26" ht="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12.75" customHeight="1">
      <c r="B32" s="2"/>
      <c r="C32" s="2"/>
      <c r="D32" s="2"/>
      <c r="E32" s="1" t="s">
        <v>374</v>
      </c>
      <c r="F32" s="1"/>
      <c r="G32" s="1"/>
      <c r="H32" s="2"/>
      <c r="I32" s="1" t="s">
        <v>395</v>
      </c>
      <c r="J32" s="1"/>
      <c r="K32" s="1"/>
      <c r="L32" s="2"/>
      <c r="M32" s="2"/>
      <c r="N32" s="2"/>
      <c r="O32" s="2"/>
      <c r="P32" s="2"/>
      <c r="Q32" s="2"/>
      <c r="R32" s="2"/>
      <c r="S32" s="2"/>
      <c r="T32" s="2"/>
      <c r="U32" s="2"/>
      <c r="V32" s="2"/>
      <c r="W32" s="2"/>
      <c r="X32" s="2"/>
      <c r="Y32" s="2"/>
      <c r="Z32" s="2"/>
    </row>
    <row r="33" spans="2:26" ht="12.75" customHeight="1">
      <c r="B33" s="2"/>
      <c r="C33" s="2"/>
      <c r="D33" s="2"/>
      <c r="E33" s="1" t="s">
        <v>396</v>
      </c>
      <c r="F33" s="1"/>
      <c r="G33" s="1"/>
      <c r="H33" s="2"/>
      <c r="I33" s="1" t="s">
        <v>397</v>
      </c>
      <c r="J33" s="1"/>
      <c r="K33" s="1"/>
      <c r="L33" s="2"/>
      <c r="M33" s="2"/>
      <c r="N33" s="2"/>
      <c r="O33" s="2"/>
      <c r="P33" s="2"/>
      <c r="Q33" s="2"/>
      <c r="R33" s="2"/>
      <c r="S33" s="2"/>
      <c r="T33" s="2"/>
      <c r="U33" s="2"/>
      <c r="V33" s="2"/>
      <c r="W33" s="2"/>
      <c r="X33" s="2"/>
      <c r="Y33" s="2"/>
      <c r="Z33" s="2"/>
    </row>
    <row r="34" spans="2:26" ht="12.75" customHeight="1">
      <c r="B34" s="1" t="s">
        <v>375</v>
      </c>
      <c r="C34" s="1"/>
      <c r="D34" s="2"/>
      <c r="E34" s="11" t="s">
        <v>377</v>
      </c>
      <c r="F34" s="11"/>
      <c r="G34" s="11" t="s">
        <v>398</v>
      </c>
      <c r="H34" s="12"/>
      <c r="I34" s="11" t="s">
        <v>377</v>
      </c>
      <c r="J34" s="11"/>
      <c r="K34" s="11" t="s">
        <v>398</v>
      </c>
      <c r="L34" s="12"/>
      <c r="M34" s="12" t="s">
        <v>377</v>
      </c>
      <c r="N34" s="2"/>
      <c r="O34" s="2"/>
      <c r="P34" s="2"/>
      <c r="Q34" s="2"/>
      <c r="R34" s="2"/>
      <c r="S34" s="2"/>
      <c r="T34" s="2"/>
      <c r="U34" s="2"/>
      <c r="V34" s="2"/>
      <c r="W34" s="2"/>
      <c r="X34" s="2"/>
      <c r="Y34" s="2"/>
      <c r="Z34" s="2"/>
    </row>
    <row r="35" spans="2:26" ht="12.75" customHeight="1">
      <c r="B35" s="1" t="s">
        <v>378</v>
      </c>
      <c r="C35" s="1"/>
      <c r="D35" s="2"/>
      <c r="E35" s="12" t="s">
        <v>399</v>
      </c>
      <c r="F35" s="12"/>
      <c r="G35" s="12" t="s">
        <v>379</v>
      </c>
      <c r="H35" s="12"/>
      <c r="I35" s="12" t="s">
        <v>379</v>
      </c>
      <c r="J35" s="12"/>
      <c r="K35" s="12" t="s">
        <v>379</v>
      </c>
      <c r="L35" s="12"/>
      <c r="M35" s="12" t="s">
        <v>379</v>
      </c>
      <c r="N35" s="2"/>
      <c r="O35" s="2"/>
      <c r="P35" s="2"/>
      <c r="Q35" s="2"/>
      <c r="R35" s="2"/>
      <c r="S35" s="2"/>
      <c r="T35" s="2"/>
      <c r="U35" s="2"/>
      <c r="V35" s="2"/>
      <c r="W35" s="2"/>
      <c r="X35" s="2"/>
      <c r="Y35" s="2"/>
      <c r="Z35" s="2"/>
    </row>
    <row r="36" spans="2:26" ht="12.75" customHeight="1">
      <c r="B36" s="3" t="s">
        <v>380</v>
      </c>
      <c r="C36" s="3"/>
      <c r="D36" s="2"/>
      <c r="E36" s="11" t="s">
        <v>400</v>
      </c>
      <c r="F36" s="2"/>
      <c r="G36" s="13" t="s">
        <v>401</v>
      </c>
      <c r="H36" s="2"/>
      <c r="I36" s="11" t="s">
        <v>402</v>
      </c>
      <c r="J36" s="2"/>
      <c r="K36" s="13" t="s">
        <v>403</v>
      </c>
      <c r="L36" s="2"/>
      <c r="M36" s="11" t="s">
        <v>404</v>
      </c>
      <c r="N36" s="2"/>
      <c r="O36" s="2"/>
      <c r="P36" s="2"/>
      <c r="Q36" s="2"/>
      <c r="R36" s="2"/>
      <c r="S36" s="2"/>
      <c r="T36" s="2"/>
      <c r="U36" s="2"/>
      <c r="V36" s="2"/>
      <c r="W36" s="2"/>
      <c r="X36" s="2"/>
      <c r="Y36" s="2"/>
      <c r="Z36" s="2"/>
    </row>
    <row r="37" spans="2:26" ht="12.75" customHeight="1">
      <c r="B37" s="2"/>
      <c r="C37" s="2"/>
      <c r="D37" s="2"/>
      <c r="E37" s="2"/>
      <c r="F37" s="2"/>
      <c r="G37" s="5">
        <f>'F 2 B'!$H$33</f>
        <v>0.6061</v>
      </c>
      <c r="H37" s="2"/>
      <c r="I37" s="2"/>
      <c r="J37" s="2"/>
      <c r="K37" s="5">
        <f>'F 2 B'!$H$35</f>
        <v>0.3939</v>
      </c>
      <c r="L37" s="2"/>
      <c r="M37" s="2"/>
      <c r="N37" s="2"/>
      <c r="O37" s="2"/>
      <c r="P37" s="2"/>
      <c r="Q37" s="2"/>
      <c r="R37" s="2"/>
      <c r="S37" s="2"/>
      <c r="T37" s="2"/>
      <c r="U37" s="2"/>
      <c r="V37" s="2"/>
      <c r="W37" s="2"/>
      <c r="X37" s="2"/>
      <c r="Y37" s="2"/>
      <c r="Z37" s="2"/>
    </row>
    <row r="38" spans="2:26" ht="8.25" customHeight="1">
      <c r="B38" s="2"/>
      <c r="C38" s="2"/>
      <c r="D38" s="2"/>
      <c r="E38" s="2"/>
      <c r="F38" s="2"/>
      <c r="G38" s="2"/>
      <c r="H38" s="2"/>
      <c r="I38" s="2"/>
      <c r="J38" s="2"/>
      <c r="K38" s="2"/>
      <c r="L38" s="2"/>
      <c r="M38" s="2"/>
      <c r="N38" s="2"/>
      <c r="O38" s="2"/>
      <c r="P38" s="2"/>
      <c r="Q38" s="2"/>
      <c r="R38" s="2"/>
      <c r="S38" s="2"/>
      <c r="T38" s="2"/>
      <c r="U38" s="2"/>
      <c r="V38" s="2"/>
      <c r="W38" s="2"/>
      <c r="X38" s="2"/>
      <c r="Y38" s="2"/>
      <c r="Z38" s="2"/>
    </row>
    <row r="39" spans="2:26" ht="12.75" customHeight="1">
      <c r="B39" s="2" t="s">
        <v>383</v>
      </c>
      <c r="C39" s="2"/>
      <c r="D39" s="2"/>
      <c r="E39" s="5">
        <f aca="true" t="shared" si="1" ref="E39:E45">K16</f>
        <v>0.4883</v>
      </c>
      <c r="F39" s="2"/>
      <c r="G39" s="5">
        <f aca="true" t="shared" si="2" ref="G39:G44">ROUND(E39*G$37,4)</f>
        <v>0.296</v>
      </c>
      <c r="H39" s="2"/>
      <c r="I39" s="5">
        <f>'F 2 B'!$J$17</f>
        <v>0.5196</v>
      </c>
      <c r="J39" s="2"/>
      <c r="K39" s="5">
        <f>ROUND(I39*K$37,4)</f>
        <v>0.2047</v>
      </c>
      <c r="L39" s="2"/>
      <c r="M39" s="5">
        <f aca="true" t="shared" si="3" ref="M39:M45">G39+K39</f>
        <v>0.5006999999999999</v>
      </c>
      <c r="N39" s="2"/>
      <c r="O39" s="5"/>
      <c r="P39" s="2"/>
      <c r="Q39" s="2"/>
      <c r="R39" s="2"/>
      <c r="S39" s="2"/>
      <c r="T39" s="2"/>
      <c r="U39" s="2"/>
      <c r="V39" s="2"/>
      <c r="W39" s="2"/>
      <c r="X39" s="2"/>
      <c r="Y39" s="2"/>
      <c r="Z39" s="2"/>
    </row>
    <row r="40" spans="2:26" ht="12.75" customHeight="1">
      <c r="B40" s="2" t="s">
        <v>384</v>
      </c>
      <c r="C40" s="2"/>
      <c r="D40" s="2"/>
      <c r="E40" s="5">
        <f t="shared" si="1"/>
        <v>0.3058</v>
      </c>
      <c r="F40" s="2"/>
      <c r="G40" s="5">
        <f t="shared" si="2"/>
        <v>0.1853</v>
      </c>
      <c r="H40" s="2"/>
      <c r="I40" s="5">
        <f>'F 2 B'!$J$18</f>
        <v>0.3073</v>
      </c>
      <c r="J40" s="2"/>
      <c r="K40" s="5">
        <f>ROUND(I40*K$37,4)</f>
        <v>0.121</v>
      </c>
      <c r="L40" s="2"/>
      <c r="M40" s="5">
        <f t="shared" si="3"/>
        <v>0.3063</v>
      </c>
      <c r="N40" s="2"/>
      <c r="O40" s="5"/>
      <c r="P40" s="2"/>
      <c r="Q40" s="2"/>
      <c r="R40" s="2"/>
      <c r="S40" s="2"/>
      <c r="T40" s="2"/>
      <c r="U40" s="2"/>
      <c r="V40" s="2"/>
      <c r="W40" s="2"/>
      <c r="X40" s="2"/>
      <c r="Y40" s="2"/>
      <c r="Z40" s="2"/>
    </row>
    <row r="41" spans="2:26" ht="12.75" customHeight="1">
      <c r="B41" s="2" t="s">
        <v>385</v>
      </c>
      <c r="C41" s="2"/>
      <c r="D41" s="2"/>
      <c r="E41" s="5">
        <f t="shared" si="1"/>
        <v>0.041</v>
      </c>
      <c r="F41" s="2"/>
      <c r="G41" s="5">
        <f t="shared" si="2"/>
        <v>0.0249</v>
      </c>
      <c r="H41" s="2"/>
      <c r="I41" s="5">
        <f>'F 2 B'!$J$19</f>
        <v>0.0339</v>
      </c>
      <c r="J41" s="2"/>
      <c r="K41" s="5">
        <f>ROUND(I41*K$37,4)</f>
        <v>0.0134</v>
      </c>
      <c r="L41" s="2"/>
      <c r="M41" s="5">
        <f t="shared" si="3"/>
        <v>0.0383</v>
      </c>
      <c r="N41" s="2"/>
      <c r="O41" s="5"/>
      <c r="P41" s="2"/>
      <c r="Q41" s="2"/>
      <c r="R41" s="2"/>
      <c r="S41" s="2"/>
      <c r="T41" s="2"/>
      <c r="U41" s="2"/>
      <c r="V41" s="2"/>
      <c r="W41" s="2"/>
      <c r="X41" s="2"/>
      <c r="Y41" s="2"/>
      <c r="Z41" s="2"/>
    </row>
    <row r="42" spans="2:26" ht="12.75" customHeight="1">
      <c r="B42" s="2" t="s">
        <v>387</v>
      </c>
      <c r="C42" s="2"/>
      <c r="D42" s="2"/>
      <c r="E42" s="5">
        <f t="shared" si="1"/>
        <v>0.1223</v>
      </c>
      <c r="F42" s="2"/>
      <c r="G42" s="5">
        <f t="shared" si="2"/>
        <v>0.0741</v>
      </c>
      <c r="H42" s="2"/>
      <c r="I42" s="5">
        <f>'F 2 B'!$J$20</f>
        <v>0.1085</v>
      </c>
      <c r="J42" s="2"/>
      <c r="K42" s="5">
        <f>ROUND(I42*K$37,4)</f>
        <v>0.0427</v>
      </c>
      <c r="L42" s="2"/>
      <c r="M42" s="5">
        <f t="shared" si="3"/>
        <v>0.1168</v>
      </c>
      <c r="N42" s="2"/>
      <c r="O42" s="5"/>
      <c r="P42" s="2"/>
      <c r="Q42" s="2"/>
      <c r="R42" s="2"/>
      <c r="S42" s="2"/>
      <c r="T42" s="2"/>
      <c r="U42" s="2"/>
      <c r="V42" s="2"/>
      <c r="W42" s="2"/>
      <c r="X42" s="2"/>
      <c r="Y42" s="2"/>
      <c r="Z42" s="2"/>
    </row>
    <row r="43" spans="2:26" ht="12.75" customHeight="1">
      <c r="B43" s="2" t="s">
        <v>508</v>
      </c>
      <c r="C43" s="2"/>
      <c r="D43" s="2"/>
      <c r="E43" s="5">
        <f t="shared" si="1"/>
        <v>0.0371</v>
      </c>
      <c r="F43" s="2"/>
      <c r="G43" s="5">
        <f t="shared" si="2"/>
        <v>0.0225</v>
      </c>
      <c r="H43" s="2"/>
      <c r="I43" s="5">
        <f>'F 2 B'!$J$21</f>
        <v>0.0307</v>
      </c>
      <c r="J43" s="2"/>
      <c r="K43" s="5">
        <f>ROUND(I43*K$37,4)</f>
        <v>0.0121</v>
      </c>
      <c r="L43" s="2"/>
      <c r="M43" s="5">
        <f t="shared" si="3"/>
        <v>0.0346</v>
      </c>
      <c r="N43" s="2"/>
      <c r="O43" s="5"/>
      <c r="P43" s="2"/>
      <c r="Q43" s="2"/>
      <c r="R43" s="2"/>
      <c r="S43" s="2"/>
      <c r="T43" s="2"/>
      <c r="U43" s="2"/>
      <c r="V43" s="2"/>
      <c r="W43" s="2"/>
      <c r="X43" s="2"/>
      <c r="Y43" s="2"/>
      <c r="Z43" s="2"/>
    </row>
    <row r="44" spans="2:26" ht="12.75" customHeight="1">
      <c r="B44" s="2" t="s">
        <v>389</v>
      </c>
      <c r="C44" s="2"/>
      <c r="D44" s="2"/>
      <c r="E44" s="5">
        <f t="shared" si="1"/>
        <v>0.0025</v>
      </c>
      <c r="F44" s="2"/>
      <c r="G44" s="5">
        <f t="shared" si="2"/>
        <v>0.0015</v>
      </c>
      <c r="H44" s="2"/>
      <c r="I44" s="2"/>
      <c r="J44" s="2"/>
      <c r="K44" s="2"/>
      <c r="L44" s="2"/>
      <c r="M44" s="5">
        <f t="shared" si="3"/>
        <v>0.0015</v>
      </c>
      <c r="N44" s="2"/>
      <c r="O44" s="5"/>
      <c r="P44" s="2"/>
      <c r="Q44" s="2"/>
      <c r="R44" s="2"/>
      <c r="S44" s="2"/>
      <c r="T44" s="2"/>
      <c r="U44" s="2"/>
      <c r="V44" s="2"/>
      <c r="W44" s="2"/>
      <c r="X44" s="2"/>
      <c r="Y44" s="2"/>
      <c r="Z44" s="2"/>
    </row>
    <row r="45" spans="2:26" ht="12.75" customHeight="1">
      <c r="B45" s="2" t="s">
        <v>390</v>
      </c>
      <c r="C45" s="2"/>
      <c r="D45" s="2"/>
      <c r="E45" s="5">
        <f t="shared" si="1"/>
        <v>0.003</v>
      </c>
      <c r="F45" s="2"/>
      <c r="G45" s="326">
        <f>ROUND(E45*G$37,4)+0</f>
        <v>0.0018</v>
      </c>
      <c r="H45" s="2"/>
      <c r="I45" s="2"/>
      <c r="J45" s="2"/>
      <c r="K45" s="2"/>
      <c r="L45" s="2"/>
      <c r="M45" s="5">
        <f t="shared" si="3"/>
        <v>0.0018</v>
      </c>
      <c r="N45" s="2"/>
      <c r="O45" s="5"/>
      <c r="P45" s="2"/>
      <c r="Q45" s="2"/>
      <c r="R45" s="2"/>
      <c r="S45" s="2"/>
      <c r="T45" s="2"/>
      <c r="U45" s="2"/>
      <c r="V45" s="2"/>
      <c r="W45" s="2"/>
      <c r="X45" s="2"/>
      <c r="Y45" s="2"/>
      <c r="Z45" s="2"/>
    </row>
    <row r="46" spans="2:26" ht="8.25" customHeight="1">
      <c r="B46" s="2"/>
      <c r="C46" s="2"/>
      <c r="D46" s="2"/>
      <c r="E46" s="7"/>
      <c r="F46" s="2"/>
      <c r="G46" s="7"/>
      <c r="H46" s="2"/>
      <c r="I46" s="7"/>
      <c r="J46" s="2"/>
      <c r="K46" s="7"/>
      <c r="L46" s="2"/>
      <c r="M46" s="7"/>
      <c r="N46" s="2"/>
      <c r="O46" s="14"/>
      <c r="P46" s="2"/>
      <c r="Q46" s="2"/>
      <c r="R46" s="2"/>
      <c r="S46" s="2"/>
      <c r="T46" s="2"/>
      <c r="U46" s="2"/>
      <c r="V46" s="2"/>
      <c r="W46" s="2"/>
      <c r="X46" s="2"/>
      <c r="Y46" s="2"/>
      <c r="Z46" s="2"/>
    </row>
    <row r="47" spans="2:26" ht="12.75" customHeight="1" thickBot="1">
      <c r="B47" s="2" t="s">
        <v>391</v>
      </c>
      <c r="C47" s="2"/>
      <c r="D47" s="2"/>
      <c r="E47" s="5">
        <f>SUM(E39:E46)</f>
        <v>1</v>
      </c>
      <c r="F47" s="2"/>
      <c r="G47" s="166">
        <f>SUM(G39:G46)</f>
        <v>0.6061</v>
      </c>
      <c r="H47" s="2"/>
      <c r="I47" s="5">
        <f>SUM(I39:I46)</f>
        <v>1</v>
      </c>
      <c r="J47" s="2"/>
      <c r="K47" s="5">
        <f>SUM(K39:K46)</f>
        <v>0.39390000000000003</v>
      </c>
      <c r="L47" s="2"/>
      <c r="M47" s="5">
        <f>SUM(M39:M46)</f>
        <v>0.9999999999999999</v>
      </c>
      <c r="N47" s="2"/>
      <c r="O47" s="5"/>
      <c r="P47" s="2"/>
      <c r="Q47" s="2"/>
      <c r="R47" s="2"/>
      <c r="S47" s="2"/>
      <c r="T47" s="2"/>
      <c r="U47" s="2"/>
      <c r="V47" s="2"/>
      <c r="W47" s="2"/>
      <c r="X47" s="2"/>
      <c r="Y47" s="2"/>
      <c r="Z47" s="2"/>
    </row>
    <row r="48" spans="5:26" ht="12.75" customHeight="1" thickTop="1">
      <c r="E48" s="327"/>
      <c r="G48" s="328"/>
      <c r="I48" s="327"/>
      <c r="K48" s="327"/>
      <c r="M48" s="327"/>
      <c r="N48" s="2"/>
      <c r="O48" s="2"/>
      <c r="P48" s="2"/>
      <c r="Q48" s="2"/>
      <c r="R48" s="2"/>
      <c r="S48" s="2"/>
      <c r="T48" s="2"/>
      <c r="U48" s="2"/>
      <c r="V48" s="2"/>
      <c r="W48" s="2"/>
      <c r="X48" s="2"/>
      <c r="Y48" s="2"/>
      <c r="Z48" s="2"/>
    </row>
    <row r="49" spans="2:26" ht="25.5" customHeight="1">
      <c r="B49" s="584" t="s">
        <v>405</v>
      </c>
      <c r="C49" s="584"/>
      <c r="D49" s="584"/>
      <c r="E49" s="584"/>
      <c r="F49" s="584"/>
      <c r="G49" s="584"/>
      <c r="H49" s="584"/>
      <c r="I49" s="584"/>
      <c r="J49" s="584"/>
      <c r="K49" s="584"/>
      <c r="L49" s="584"/>
      <c r="M49" s="584"/>
      <c r="N49" s="2"/>
      <c r="O49" s="2"/>
      <c r="P49" s="2"/>
      <c r="Q49" s="2"/>
      <c r="R49" s="2"/>
      <c r="S49" s="2"/>
      <c r="T49" s="2"/>
      <c r="U49" s="2"/>
      <c r="V49" s="2"/>
      <c r="W49" s="2"/>
      <c r="X49" s="2"/>
      <c r="Y49" s="2"/>
      <c r="Z49" s="2"/>
    </row>
    <row r="50" spans="14:26" ht="12.75" customHeight="1">
      <c r="N50" s="2"/>
      <c r="O50" s="2"/>
      <c r="P50" s="2"/>
      <c r="Q50" s="2"/>
      <c r="R50" s="2"/>
      <c r="S50" s="2"/>
      <c r="T50" s="2"/>
      <c r="U50" s="2"/>
      <c r="V50" s="2"/>
      <c r="W50" s="2"/>
      <c r="X50" s="2"/>
      <c r="Y50" s="2"/>
      <c r="Z50" s="2"/>
    </row>
    <row r="51" spans="2:26" ht="12.7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 r="B52" s="2"/>
      <c r="C52" s="2"/>
      <c r="D52" s="2"/>
      <c r="E52" s="2"/>
      <c r="F52" s="2"/>
      <c r="G52" s="2"/>
      <c r="H52" s="2"/>
      <c r="I52" s="2"/>
      <c r="J52" s="2"/>
      <c r="K52" s="2"/>
      <c r="L52" s="2"/>
      <c r="M52" s="2"/>
      <c r="N52" s="2"/>
      <c r="O52" s="2"/>
      <c r="P52" s="2"/>
      <c r="Q52" s="2"/>
      <c r="R52" s="2"/>
      <c r="S52" s="2"/>
      <c r="T52" s="2"/>
      <c r="U52" s="2"/>
      <c r="V52" s="2"/>
      <c r="W52" s="2"/>
      <c r="X52" s="2"/>
      <c r="Y52" s="2"/>
      <c r="Z52" s="2"/>
    </row>
    <row r="53" spans="2:26" ht="15">
      <c r="B53" s="2"/>
      <c r="C53" s="2"/>
      <c r="D53" s="2"/>
      <c r="E53" s="2"/>
      <c r="F53" s="2"/>
      <c r="G53" s="2"/>
      <c r="H53" s="2"/>
      <c r="I53" s="2"/>
      <c r="J53" s="2"/>
      <c r="K53" s="2"/>
      <c r="L53" s="2"/>
      <c r="M53" s="2"/>
      <c r="N53" s="2"/>
      <c r="O53" s="2"/>
      <c r="P53" s="2"/>
      <c r="Q53" s="2"/>
      <c r="R53" s="2"/>
      <c r="S53" s="2"/>
      <c r="T53" s="2"/>
      <c r="U53" s="2"/>
      <c r="V53" s="2"/>
      <c r="W53" s="2"/>
      <c r="X53" s="2"/>
      <c r="Y53" s="2"/>
      <c r="Z53" s="2"/>
    </row>
    <row r="54" spans="2:26" ht="15">
      <c r="B54" s="2"/>
      <c r="C54" s="2"/>
      <c r="D54" s="2"/>
      <c r="E54" s="2"/>
      <c r="F54" s="2"/>
      <c r="G54" s="2"/>
      <c r="H54" s="2"/>
      <c r="I54" s="2"/>
      <c r="J54" s="2"/>
      <c r="K54" s="2"/>
      <c r="L54" s="2"/>
      <c r="M54" s="2"/>
      <c r="N54" s="2"/>
      <c r="O54" s="2"/>
      <c r="P54" s="2"/>
      <c r="Q54" s="2"/>
      <c r="R54" s="2"/>
      <c r="S54" s="2"/>
      <c r="T54" s="2"/>
      <c r="U54" s="2"/>
      <c r="V54" s="2"/>
      <c r="W54" s="2"/>
      <c r="X54" s="2"/>
      <c r="Y54" s="2"/>
      <c r="Z54" s="2"/>
    </row>
    <row r="55" spans="2:26" ht="15">
      <c r="B55" s="2"/>
      <c r="C55" s="2"/>
      <c r="D55" s="2"/>
      <c r="E55" s="2"/>
      <c r="F55" s="2"/>
      <c r="G55" s="2"/>
      <c r="H55" s="2"/>
      <c r="I55" s="2"/>
      <c r="J55" s="2"/>
      <c r="K55" s="2"/>
      <c r="L55" s="2"/>
      <c r="M55" s="2"/>
      <c r="N55" s="2"/>
      <c r="O55" s="2"/>
      <c r="P55" s="2"/>
      <c r="Q55" s="2"/>
      <c r="R55" s="2"/>
      <c r="S55" s="2"/>
      <c r="T55" s="2"/>
      <c r="U55" s="2"/>
      <c r="V55" s="2"/>
      <c r="W55" s="2"/>
      <c r="X55" s="2"/>
      <c r="Y55" s="2"/>
      <c r="Z55" s="2"/>
    </row>
    <row r="56" spans="2:26" ht="15">
      <c r="B56" s="2"/>
      <c r="C56" s="2"/>
      <c r="D56" s="2"/>
      <c r="E56" s="2"/>
      <c r="F56" s="2"/>
      <c r="G56" s="2"/>
      <c r="H56" s="2"/>
      <c r="I56" s="2"/>
      <c r="J56" s="2"/>
      <c r="K56" s="2"/>
      <c r="L56" s="2"/>
      <c r="M56" s="2"/>
      <c r="N56" s="2"/>
      <c r="O56" s="2"/>
      <c r="P56" s="2"/>
      <c r="Q56" s="2"/>
      <c r="R56" s="2"/>
      <c r="S56" s="2"/>
      <c r="T56" s="2"/>
      <c r="U56" s="2"/>
      <c r="V56" s="2"/>
      <c r="W56" s="2"/>
      <c r="X56" s="2"/>
      <c r="Y56" s="2"/>
      <c r="Z56" s="2"/>
    </row>
    <row r="57" spans="2:26" ht="15">
      <c r="B57" s="2"/>
      <c r="C57" s="2"/>
      <c r="D57" s="2"/>
      <c r="E57" s="2"/>
      <c r="F57" s="2"/>
      <c r="G57" s="2"/>
      <c r="H57" s="2"/>
      <c r="I57" s="2"/>
      <c r="J57" s="2"/>
      <c r="K57" s="2"/>
      <c r="L57" s="2"/>
      <c r="M57" s="2"/>
      <c r="N57" s="2"/>
      <c r="O57" s="2"/>
      <c r="P57" s="2"/>
      <c r="Q57" s="2"/>
      <c r="R57" s="2"/>
      <c r="S57" s="2"/>
      <c r="T57" s="2"/>
      <c r="U57" s="2"/>
      <c r="V57" s="2"/>
      <c r="W57" s="2"/>
      <c r="X57" s="2"/>
      <c r="Y57" s="2"/>
      <c r="Z57" s="2"/>
    </row>
    <row r="58" spans="2:26" ht="15">
      <c r="B58" s="2"/>
      <c r="C58" s="2"/>
      <c r="D58" s="2"/>
      <c r="E58" s="2"/>
      <c r="F58" s="2"/>
      <c r="G58" s="2"/>
      <c r="H58" s="2"/>
      <c r="I58" s="2"/>
      <c r="J58" s="2"/>
      <c r="K58" s="2"/>
      <c r="L58" s="2"/>
      <c r="M58" s="2"/>
      <c r="N58" s="2"/>
      <c r="O58" s="2"/>
      <c r="P58" s="2"/>
      <c r="Q58" s="2"/>
      <c r="R58" s="2"/>
      <c r="S58" s="2"/>
      <c r="T58" s="2"/>
      <c r="U58" s="2"/>
      <c r="V58" s="2"/>
      <c r="W58" s="2"/>
      <c r="X58" s="2"/>
      <c r="Y58" s="2"/>
      <c r="Z58" s="2"/>
    </row>
    <row r="59" spans="2:26" ht="15">
      <c r="B59" s="2"/>
      <c r="C59" s="2"/>
      <c r="D59" s="2"/>
      <c r="E59" s="2"/>
      <c r="F59" s="2"/>
      <c r="G59" s="2"/>
      <c r="H59" s="2"/>
      <c r="I59" s="2"/>
      <c r="J59" s="2"/>
      <c r="K59" s="2"/>
      <c r="L59" s="2"/>
      <c r="M59" s="2"/>
      <c r="N59" s="2"/>
      <c r="O59" s="2"/>
      <c r="P59" s="2"/>
      <c r="Q59" s="2"/>
      <c r="R59" s="2"/>
      <c r="S59" s="2"/>
      <c r="T59" s="2"/>
      <c r="U59" s="2"/>
      <c r="V59" s="2"/>
      <c r="W59" s="2"/>
      <c r="X59" s="2"/>
      <c r="Y59" s="2"/>
      <c r="Z59" s="2"/>
    </row>
    <row r="60" spans="2:26" ht="15">
      <c r="B60" s="2"/>
      <c r="C60" s="2"/>
      <c r="D60" s="2"/>
      <c r="E60" s="2"/>
      <c r="F60" s="2"/>
      <c r="G60" s="2"/>
      <c r="H60" s="2"/>
      <c r="I60" s="2"/>
      <c r="J60" s="2"/>
      <c r="K60" s="2"/>
      <c r="L60" s="2"/>
      <c r="M60" s="2"/>
      <c r="N60" s="2"/>
      <c r="O60" s="2"/>
      <c r="P60" s="2"/>
      <c r="Q60" s="2"/>
      <c r="R60" s="2"/>
      <c r="S60" s="2"/>
      <c r="T60" s="2"/>
      <c r="U60" s="2"/>
      <c r="V60" s="2"/>
      <c r="W60" s="2"/>
      <c r="X60" s="2"/>
      <c r="Y60" s="2"/>
      <c r="Z60" s="2"/>
    </row>
    <row r="61" spans="2:26" ht="15">
      <c r="B61" s="2"/>
      <c r="C61" s="2"/>
      <c r="D61" s="2"/>
      <c r="E61" s="2"/>
      <c r="F61" s="2"/>
      <c r="G61" s="2"/>
      <c r="H61" s="2"/>
      <c r="I61" s="2"/>
      <c r="J61" s="2"/>
      <c r="K61" s="2"/>
      <c r="L61" s="2"/>
      <c r="M61" s="2"/>
      <c r="N61" s="2"/>
      <c r="O61" s="2"/>
      <c r="P61" s="2"/>
      <c r="Q61" s="2"/>
      <c r="R61" s="2"/>
      <c r="S61" s="2"/>
      <c r="T61" s="2"/>
      <c r="U61" s="2"/>
      <c r="V61" s="2"/>
      <c r="W61" s="2"/>
      <c r="X61" s="2"/>
      <c r="Y61" s="2"/>
      <c r="Z61" s="2"/>
    </row>
    <row r="62" spans="2:26" ht="15">
      <c r="B62" s="2"/>
      <c r="C62" s="2"/>
      <c r="D62" s="2"/>
      <c r="E62" s="2"/>
      <c r="F62" s="2"/>
      <c r="G62" s="2"/>
      <c r="H62" s="2"/>
      <c r="I62" s="2"/>
      <c r="J62" s="2"/>
      <c r="K62" s="2"/>
      <c r="L62" s="2"/>
      <c r="M62" s="2"/>
      <c r="N62" s="2"/>
      <c r="O62" s="2"/>
      <c r="P62" s="2"/>
      <c r="Q62" s="2"/>
      <c r="R62" s="2"/>
      <c r="S62" s="2"/>
      <c r="T62" s="2"/>
      <c r="U62" s="2"/>
      <c r="V62" s="2"/>
      <c r="W62" s="2"/>
      <c r="X62" s="2"/>
      <c r="Y62" s="2"/>
      <c r="Z62" s="2"/>
    </row>
    <row r="63" spans="2:26" ht="15">
      <c r="B63" s="2"/>
      <c r="C63" s="2"/>
      <c r="D63" s="2"/>
      <c r="E63" s="2"/>
      <c r="F63" s="2"/>
      <c r="G63" s="2"/>
      <c r="H63" s="2"/>
      <c r="I63" s="2"/>
      <c r="J63" s="2"/>
      <c r="K63" s="2"/>
      <c r="L63" s="2"/>
      <c r="M63" s="2"/>
      <c r="N63" s="2"/>
      <c r="O63" s="2"/>
      <c r="P63" s="2"/>
      <c r="Q63" s="2"/>
      <c r="R63" s="2"/>
      <c r="S63" s="2"/>
      <c r="T63" s="2"/>
      <c r="U63" s="2"/>
      <c r="V63" s="2"/>
      <c r="W63" s="2"/>
      <c r="X63" s="2"/>
      <c r="Y63" s="2"/>
      <c r="Z63" s="2"/>
    </row>
    <row r="64" spans="2:26" ht="15">
      <c r="B64" s="2"/>
      <c r="C64" s="2"/>
      <c r="D64" s="2"/>
      <c r="E64" s="2"/>
      <c r="F64" s="2"/>
      <c r="G64" s="2"/>
      <c r="H64" s="2"/>
      <c r="I64" s="2"/>
      <c r="J64" s="2"/>
      <c r="K64" s="2"/>
      <c r="L64" s="2"/>
      <c r="M64" s="2"/>
      <c r="N64" s="2"/>
      <c r="O64" s="2"/>
      <c r="Z64" s="2"/>
    </row>
    <row r="65" spans="2:26" ht="15">
      <c r="B65" s="2"/>
      <c r="C65" s="2"/>
      <c r="D65" s="2"/>
      <c r="E65" s="2"/>
      <c r="F65" s="2"/>
      <c r="G65" s="2"/>
      <c r="H65" s="2"/>
      <c r="I65" s="2"/>
      <c r="J65" s="2"/>
      <c r="K65" s="2"/>
      <c r="L65" s="2"/>
      <c r="M65" s="2"/>
      <c r="N65" s="2"/>
      <c r="O65" s="2"/>
      <c r="Z65" s="2"/>
    </row>
    <row r="66" spans="2:26" ht="15">
      <c r="B66" s="2"/>
      <c r="C66" s="2"/>
      <c r="D66" s="2"/>
      <c r="E66" s="2"/>
      <c r="F66" s="2"/>
      <c r="G66" s="2"/>
      <c r="H66" s="2"/>
      <c r="I66" s="2"/>
      <c r="J66" s="2"/>
      <c r="K66" s="2"/>
      <c r="L66" s="2"/>
      <c r="M66" s="2"/>
      <c r="N66" s="2"/>
      <c r="O66" s="2"/>
      <c r="Z66" s="2"/>
    </row>
    <row r="67" spans="2:26" ht="15">
      <c r="B67" s="2"/>
      <c r="C67" s="2"/>
      <c r="D67" s="2"/>
      <c r="E67" s="2"/>
      <c r="F67" s="2"/>
      <c r="G67" s="2"/>
      <c r="H67" s="2"/>
      <c r="I67" s="2"/>
      <c r="J67" s="2"/>
      <c r="K67" s="2"/>
      <c r="L67" s="2"/>
      <c r="M67" s="2"/>
      <c r="N67" s="2"/>
      <c r="O67" s="2"/>
      <c r="Z67" s="2"/>
    </row>
    <row r="68" spans="2:26" ht="15">
      <c r="B68" s="2"/>
      <c r="C68" s="2"/>
      <c r="D68" s="2"/>
      <c r="E68" s="2"/>
      <c r="F68" s="2"/>
      <c r="G68" s="2"/>
      <c r="H68" s="2"/>
      <c r="I68" s="2"/>
      <c r="J68" s="2"/>
      <c r="K68" s="2"/>
      <c r="L68" s="2"/>
      <c r="M68" s="2"/>
      <c r="N68" s="2"/>
      <c r="O68" s="2"/>
      <c r="Z68" s="2"/>
    </row>
    <row r="69" spans="2:26" ht="15">
      <c r="B69" s="2"/>
      <c r="C69" s="2"/>
      <c r="D69" s="2"/>
      <c r="E69" s="2"/>
      <c r="F69" s="2"/>
      <c r="G69" s="2"/>
      <c r="H69" s="2"/>
      <c r="I69" s="2"/>
      <c r="J69" s="2"/>
      <c r="K69" s="2"/>
      <c r="L69" s="2"/>
      <c r="M69" s="2"/>
      <c r="N69" s="2"/>
      <c r="O69" s="2"/>
      <c r="Z69" s="2"/>
    </row>
    <row r="70" spans="2:26" ht="15">
      <c r="B70" s="2"/>
      <c r="C70" s="2"/>
      <c r="D70" s="2"/>
      <c r="E70" s="2"/>
      <c r="F70" s="2"/>
      <c r="G70" s="2"/>
      <c r="H70" s="2"/>
      <c r="I70" s="2"/>
      <c r="J70" s="2"/>
      <c r="K70" s="2"/>
      <c r="L70" s="2"/>
      <c r="M70" s="2"/>
      <c r="N70" s="2"/>
      <c r="O70" s="2"/>
      <c r="Z70" s="2"/>
    </row>
    <row r="71" spans="2:26" ht="15">
      <c r="B71" s="2"/>
      <c r="C71" s="2"/>
      <c r="D71" s="2"/>
      <c r="E71" s="2"/>
      <c r="F71" s="2"/>
      <c r="G71" s="2"/>
      <c r="H71" s="2"/>
      <c r="I71" s="2"/>
      <c r="J71" s="2"/>
      <c r="K71" s="2"/>
      <c r="L71" s="2"/>
      <c r="M71" s="2"/>
      <c r="N71" s="2"/>
      <c r="O71" s="2"/>
      <c r="Z71" s="2"/>
    </row>
    <row r="72" spans="2:26" ht="15">
      <c r="B72" s="2"/>
      <c r="C72" s="2"/>
      <c r="D72" s="2"/>
      <c r="E72" s="2"/>
      <c r="F72" s="2"/>
      <c r="G72" s="2"/>
      <c r="H72" s="2"/>
      <c r="I72" s="2"/>
      <c r="J72" s="2"/>
      <c r="K72" s="2"/>
      <c r="L72" s="2"/>
      <c r="M72" s="2"/>
      <c r="N72" s="2"/>
      <c r="O72" s="2"/>
      <c r="Z72" s="2"/>
    </row>
    <row r="73" spans="2:26" ht="15">
      <c r="B73" s="2"/>
      <c r="C73" s="2"/>
      <c r="D73" s="2"/>
      <c r="E73" s="2"/>
      <c r="F73" s="2"/>
      <c r="G73" s="2"/>
      <c r="H73" s="2"/>
      <c r="I73" s="2"/>
      <c r="J73" s="2"/>
      <c r="K73" s="2"/>
      <c r="L73" s="2"/>
      <c r="M73" s="2"/>
      <c r="N73" s="2"/>
      <c r="O73" s="2"/>
      <c r="Z73" s="2"/>
    </row>
    <row r="74" spans="2:26" ht="15">
      <c r="B74" s="2"/>
      <c r="C74" s="2"/>
      <c r="D74" s="2"/>
      <c r="E74" s="2"/>
      <c r="F74" s="2"/>
      <c r="G74" s="2"/>
      <c r="H74" s="2"/>
      <c r="I74" s="2"/>
      <c r="J74" s="2"/>
      <c r="K74" s="2"/>
      <c r="L74" s="2"/>
      <c r="M74" s="2"/>
      <c r="N74" s="2"/>
      <c r="O74" s="2"/>
      <c r="Z74" s="2"/>
    </row>
    <row r="75" spans="2:26" ht="15">
      <c r="B75" s="2"/>
      <c r="C75" s="2"/>
      <c r="D75" s="2"/>
      <c r="E75" s="2"/>
      <c r="F75" s="2"/>
      <c r="G75" s="2"/>
      <c r="H75" s="2"/>
      <c r="I75" s="2"/>
      <c r="J75" s="2"/>
      <c r="K75" s="2"/>
      <c r="L75" s="2"/>
      <c r="M75" s="2"/>
      <c r="N75" s="2"/>
      <c r="O75" s="2"/>
      <c r="Z75" s="2"/>
    </row>
    <row r="76" spans="2:26" ht="15">
      <c r="B76" s="2"/>
      <c r="C76" s="2"/>
      <c r="D76" s="2"/>
      <c r="E76" s="2"/>
      <c r="F76" s="2"/>
      <c r="G76" s="2"/>
      <c r="H76" s="2"/>
      <c r="I76" s="2"/>
      <c r="J76" s="2"/>
      <c r="K76" s="2"/>
      <c r="L76" s="2"/>
      <c r="M76" s="2"/>
      <c r="N76" s="2"/>
      <c r="O76" s="2"/>
      <c r="Z76" s="2"/>
    </row>
    <row r="77" spans="2:26" ht="15">
      <c r="B77" s="2"/>
      <c r="C77" s="2"/>
      <c r="D77" s="2"/>
      <c r="E77" s="2"/>
      <c r="F77" s="2"/>
      <c r="G77" s="2"/>
      <c r="H77" s="2"/>
      <c r="I77" s="2"/>
      <c r="J77" s="2"/>
      <c r="K77" s="2"/>
      <c r="L77" s="2"/>
      <c r="M77" s="2"/>
      <c r="N77" s="2"/>
      <c r="O77" s="2"/>
      <c r="Z77" s="2"/>
    </row>
    <row r="78" spans="2:26" ht="12.75" customHeight="1">
      <c r="B78" s="2"/>
      <c r="C78" s="2"/>
      <c r="D78" s="2"/>
      <c r="E78" s="2"/>
      <c r="F78" s="2"/>
      <c r="G78" s="2"/>
      <c r="H78" s="2"/>
      <c r="I78" s="2"/>
      <c r="J78" s="2"/>
      <c r="K78" s="2"/>
      <c r="L78" s="2"/>
      <c r="M78" s="2"/>
      <c r="N78" s="2"/>
      <c r="O78" s="2"/>
      <c r="Z78" s="2"/>
    </row>
    <row r="79" spans="2:26" ht="15">
      <c r="B79" s="2"/>
      <c r="C79" s="2"/>
      <c r="D79" s="2"/>
      <c r="E79" s="2"/>
      <c r="F79" s="2"/>
      <c r="G79" s="2"/>
      <c r="H79" s="2"/>
      <c r="I79" s="2"/>
      <c r="J79" s="2"/>
      <c r="K79" s="2"/>
      <c r="L79" s="2"/>
      <c r="M79" s="2"/>
      <c r="N79" s="2"/>
      <c r="O79" s="2"/>
      <c r="Z79" s="2"/>
    </row>
    <row r="80" spans="2:26" ht="15">
      <c r="B80" s="2"/>
      <c r="C80" s="2"/>
      <c r="D80" s="2"/>
      <c r="E80" s="2"/>
      <c r="F80" s="2"/>
      <c r="G80" s="2"/>
      <c r="H80" s="2"/>
      <c r="I80" s="2"/>
      <c r="J80" s="2"/>
      <c r="K80" s="2"/>
      <c r="L80" s="2"/>
      <c r="M80" s="2"/>
      <c r="N80" s="2"/>
      <c r="O80" s="2"/>
      <c r="Z80" s="2"/>
    </row>
    <row r="81" spans="2:26" ht="15">
      <c r="B81" s="2"/>
      <c r="C81" s="2"/>
      <c r="D81" s="2"/>
      <c r="E81" s="2"/>
      <c r="F81" s="2"/>
      <c r="G81" s="2"/>
      <c r="H81" s="2"/>
      <c r="I81" s="2"/>
      <c r="J81" s="2"/>
      <c r="K81" s="2"/>
      <c r="L81" s="2"/>
      <c r="M81" s="2"/>
      <c r="N81" s="2"/>
      <c r="O81" s="2"/>
      <c r="Z81" s="2"/>
    </row>
    <row r="82" spans="2:26" ht="15">
      <c r="B82" s="2"/>
      <c r="C82" s="2"/>
      <c r="D82" s="2"/>
      <c r="E82" s="2"/>
      <c r="F82" s="2"/>
      <c r="G82" s="2"/>
      <c r="H82" s="2"/>
      <c r="I82" s="2"/>
      <c r="J82" s="2"/>
      <c r="K82" s="2"/>
      <c r="L82" s="2"/>
      <c r="M82" s="2"/>
      <c r="N82" s="2"/>
      <c r="O82" s="2"/>
      <c r="Z82" s="2"/>
    </row>
    <row r="83" spans="2:26" ht="15">
      <c r="B83" s="2"/>
      <c r="C83" s="2"/>
      <c r="D83" s="2"/>
      <c r="E83" s="2"/>
      <c r="F83" s="2"/>
      <c r="G83" s="2"/>
      <c r="H83" s="2"/>
      <c r="I83" s="2"/>
      <c r="J83" s="2"/>
      <c r="K83" s="2"/>
      <c r="L83" s="2"/>
      <c r="M83" s="2"/>
      <c r="N83" s="2"/>
      <c r="O83" s="2"/>
      <c r="Z83" s="2"/>
    </row>
    <row r="84" spans="2:26" ht="15">
      <c r="B84" s="2"/>
      <c r="C84" s="2"/>
      <c r="D84" s="2"/>
      <c r="E84" s="2"/>
      <c r="F84" s="2"/>
      <c r="G84" s="2"/>
      <c r="H84" s="2"/>
      <c r="I84" s="2"/>
      <c r="J84" s="2"/>
      <c r="K84" s="2"/>
      <c r="L84" s="2"/>
      <c r="M84" s="2"/>
      <c r="N84" s="2"/>
      <c r="O84" s="2"/>
      <c r="Z84" s="2"/>
    </row>
    <row r="85" spans="2:26" ht="15">
      <c r="B85" s="2"/>
      <c r="C85" s="2"/>
      <c r="D85" s="2"/>
      <c r="E85" s="2"/>
      <c r="F85" s="2"/>
      <c r="G85" s="2"/>
      <c r="H85" s="2"/>
      <c r="I85" s="2"/>
      <c r="J85" s="2"/>
      <c r="K85" s="2"/>
      <c r="L85" s="2"/>
      <c r="M85" s="2"/>
      <c r="N85" s="2"/>
      <c r="O85" s="2"/>
      <c r="Y85" s="329"/>
      <c r="Z85" s="2"/>
    </row>
    <row r="86" spans="2:26" ht="15">
      <c r="B86" s="2"/>
      <c r="C86" s="2"/>
      <c r="D86" s="2"/>
      <c r="E86" s="2"/>
      <c r="F86" s="2"/>
      <c r="G86" s="2"/>
      <c r="H86" s="2"/>
      <c r="I86" s="2"/>
      <c r="J86" s="2"/>
      <c r="K86" s="2"/>
      <c r="L86" s="2"/>
      <c r="M86" s="2"/>
      <c r="N86" s="2"/>
      <c r="O86" s="2"/>
      <c r="Y86" s="329"/>
      <c r="Z86" s="2"/>
    </row>
    <row r="87" spans="2:26" ht="15">
      <c r="B87" s="2"/>
      <c r="C87" s="2"/>
      <c r="D87" s="2"/>
      <c r="E87" s="2"/>
      <c r="F87" s="2"/>
      <c r="G87" s="2"/>
      <c r="H87" s="2"/>
      <c r="I87" s="2"/>
      <c r="J87" s="2"/>
      <c r="K87" s="2"/>
      <c r="L87" s="2"/>
      <c r="M87" s="2"/>
      <c r="N87" s="2"/>
      <c r="O87" s="2"/>
      <c r="Z87" s="2"/>
    </row>
    <row r="88" spans="2:26" ht="15">
      <c r="B88" s="2"/>
      <c r="C88" s="2"/>
      <c r="D88" s="2"/>
      <c r="E88" s="2"/>
      <c r="F88" s="2"/>
      <c r="G88" s="2"/>
      <c r="H88" s="2"/>
      <c r="I88" s="2"/>
      <c r="J88" s="2"/>
      <c r="K88" s="2"/>
      <c r="L88" s="2"/>
      <c r="M88" s="2"/>
      <c r="N88" s="2"/>
      <c r="O88" s="2"/>
      <c r="Z88" s="2"/>
    </row>
    <row r="89" spans="2:26" ht="15">
      <c r="B89" s="2"/>
      <c r="C89" s="2"/>
      <c r="D89" s="2"/>
      <c r="E89" s="2"/>
      <c r="F89" s="2"/>
      <c r="G89" s="2"/>
      <c r="H89" s="2"/>
      <c r="I89" s="2"/>
      <c r="J89" s="2"/>
      <c r="K89" s="2"/>
      <c r="L89" s="2"/>
      <c r="M89" s="2"/>
      <c r="N89" s="2"/>
      <c r="O89" s="2"/>
      <c r="Z89" s="2"/>
    </row>
    <row r="90" spans="2:26" ht="15">
      <c r="B90" s="2"/>
      <c r="C90" s="2"/>
      <c r="D90" s="2"/>
      <c r="E90" s="2"/>
      <c r="F90" s="2"/>
      <c r="G90" s="2"/>
      <c r="H90" s="2"/>
      <c r="I90" s="2"/>
      <c r="J90" s="2"/>
      <c r="K90" s="2"/>
      <c r="L90" s="2"/>
      <c r="M90" s="2"/>
      <c r="N90" s="2"/>
      <c r="O90" s="2"/>
      <c r="Z90" s="2"/>
    </row>
    <row r="91" spans="2:26" ht="15">
      <c r="B91" s="2"/>
      <c r="C91" s="2"/>
      <c r="D91" s="2"/>
      <c r="E91" s="2"/>
      <c r="F91" s="2"/>
      <c r="G91" s="2"/>
      <c r="H91" s="2"/>
      <c r="I91" s="2"/>
      <c r="J91" s="2"/>
      <c r="K91" s="2"/>
      <c r="L91" s="2"/>
      <c r="M91" s="2"/>
      <c r="N91" s="2"/>
      <c r="O91" s="2"/>
      <c r="Z91" s="2"/>
    </row>
    <row r="92" spans="2:26" ht="15">
      <c r="B92" s="2"/>
      <c r="C92" s="2"/>
      <c r="D92" s="2"/>
      <c r="E92" s="2"/>
      <c r="F92" s="2"/>
      <c r="G92" s="2"/>
      <c r="H92" s="2"/>
      <c r="I92" s="2"/>
      <c r="J92" s="2"/>
      <c r="K92" s="2"/>
      <c r="L92" s="2"/>
      <c r="M92" s="2"/>
      <c r="N92" s="2"/>
      <c r="O92" s="2"/>
      <c r="Z92" s="2"/>
    </row>
    <row r="93" spans="2:26" ht="15">
      <c r="B93" s="2"/>
      <c r="C93" s="2"/>
      <c r="D93" s="2"/>
      <c r="E93" s="2"/>
      <c r="F93" s="2"/>
      <c r="G93" s="2"/>
      <c r="H93" s="2"/>
      <c r="I93" s="2"/>
      <c r="J93" s="2"/>
      <c r="K93" s="2"/>
      <c r="L93" s="2"/>
      <c r="M93" s="2"/>
      <c r="N93" s="2"/>
      <c r="O93" s="2"/>
      <c r="Z93" s="2"/>
    </row>
    <row r="94" spans="2:26" ht="15">
      <c r="B94" s="2"/>
      <c r="C94" s="2"/>
      <c r="D94" s="2"/>
      <c r="E94" s="2"/>
      <c r="F94" s="2"/>
      <c r="G94" s="2"/>
      <c r="H94" s="2"/>
      <c r="I94" s="2"/>
      <c r="J94" s="2"/>
      <c r="K94" s="2"/>
      <c r="L94" s="2"/>
      <c r="M94" s="2"/>
      <c r="N94" s="2"/>
      <c r="O94" s="2"/>
      <c r="Z94" s="2"/>
    </row>
    <row r="95" spans="2:26" ht="15">
      <c r="B95" s="2"/>
      <c r="C95" s="2"/>
      <c r="D95" s="2"/>
      <c r="E95" s="2"/>
      <c r="F95" s="2"/>
      <c r="G95" s="2"/>
      <c r="H95" s="2"/>
      <c r="I95" s="2"/>
      <c r="J95" s="2"/>
      <c r="K95" s="2"/>
      <c r="L95" s="2"/>
      <c r="M95" s="2"/>
      <c r="N95" s="2"/>
      <c r="O95" s="2"/>
      <c r="Z95" s="2"/>
    </row>
    <row r="96" spans="2:26" ht="15">
      <c r="B96" s="2"/>
      <c r="C96" s="2"/>
      <c r="D96" s="2"/>
      <c r="E96" s="2"/>
      <c r="F96" s="2"/>
      <c r="G96" s="2"/>
      <c r="H96" s="2"/>
      <c r="I96" s="2"/>
      <c r="J96" s="2"/>
      <c r="K96" s="2"/>
      <c r="L96" s="2"/>
      <c r="M96" s="2"/>
      <c r="N96" s="2"/>
      <c r="O96" s="2"/>
      <c r="Z96" s="2"/>
    </row>
    <row r="97" spans="2:26" ht="15">
      <c r="B97" s="2"/>
      <c r="C97" s="2"/>
      <c r="D97" s="2"/>
      <c r="E97" s="2"/>
      <c r="F97" s="2"/>
      <c r="G97" s="2"/>
      <c r="H97" s="2"/>
      <c r="I97" s="2"/>
      <c r="J97" s="2"/>
      <c r="K97" s="2"/>
      <c r="L97" s="2"/>
      <c r="M97" s="2"/>
      <c r="N97" s="2"/>
      <c r="O97" s="2"/>
      <c r="Z97" s="2"/>
    </row>
    <row r="98" spans="2:26" ht="15">
      <c r="B98" s="2"/>
      <c r="C98" s="2"/>
      <c r="D98" s="2"/>
      <c r="E98" s="2"/>
      <c r="F98" s="2"/>
      <c r="G98" s="2"/>
      <c r="H98" s="2"/>
      <c r="I98" s="2"/>
      <c r="J98" s="2"/>
      <c r="K98" s="2"/>
      <c r="L98" s="2"/>
      <c r="M98" s="2"/>
      <c r="N98" s="2"/>
      <c r="O98" s="2"/>
      <c r="Z98" s="2"/>
    </row>
    <row r="99" spans="2:26" ht="15">
      <c r="B99" s="2"/>
      <c r="C99" s="2"/>
      <c r="D99" s="2"/>
      <c r="E99" s="2"/>
      <c r="F99" s="2"/>
      <c r="G99" s="2"/>
      <c r="H99" s="2"/>
      <c r="I99" s="2"/>
      <c r="J99" s="2"/>
      <c r="K99" s="2"/>
      <c r="L99" s="2"/>
      <c r="M99" s="2"/>
      <c r="N99" s="2"/>
      <c r="O99" s="2"/>
      <c r="Z99" s="2"/>
    </row>
    <row r="100" spans="2:26" ht="15">
      <c r="B100" s="2"/>
      <c r="C100" s="2"/>
      <c r="D100" s="2"/>
      <c r="E100" s="2"/>
      <c r="F100" s="2"/>
      <c r="G100" s="2"/>
      <c r="H100" s="2"/>
      <c r="I100" s="2"/>
      <c r="J100" s="2"/>
      <c r="K100" s="2"/>
      <c r="L100" s="2"/>
      <c r="M100" s="2"/>
      <c r="N100" s="2"/>
      <c r="O100" s="2"/>
      <c r="Z100" s="2"/>
    </row>
    <row r="101" spans="2:26" ht="15">
      <c r="B101" s="2"/>
      <c r="C101" s="2"/>
      <c r="D101" s="2"/>
      <c r="E101" s="2"/>
      <c r="F101" s="2"/>
      <c r="G101" s="2"/>
      <c r="H101" s="2"/>
      <c r="I101" s="2"/>
      <c r="J101" s="2"/>
      <c r="K101" s="2"/>
      <c r="L101" s="2"/>
      <c r="M101" s="2"/>
      <c r="N101" s="2"/>
      <c r="O101" s="2"/>
      <c r="Z101" s="2"/>
    </row>
    <row r="102" spans="2:26" ht="15">
      <c r="B102" s="2"/>
      <c r="C102" s="2"/>
      <c r="D102" s="2"/>
      <c r="E102" s="2"/>
      <c r="F102" s="2"/>
      <c r="G102" s="2"/>
      <c r="H102" s="2"/>
      <c r="I102" s="2"/>
      <c r="J102" s="2"/>
      <c r="K102" s="2"/>
      <c r="L102" s="2"/>
      <c r="M102" s="2"/>
      <c r="N102" s="2"/>
      <c r="O102" s="2"/>
      <c r="Z102" s="2"/>
    </row>
    <row r="103" spans="2:26" ht="15">
      <c r="B103" s="2"/>
      <c r="C103" s="2"/>
      <c r="D103" s="2"/>
      <c r="E103" s="2"/>
      <c r="F103" s="2"/>
      <c r="G103" s="2"/>
      <c r="H103" s="2"/>
      <c r="I103" s="2"/>
      <c r="J103" s="2"/>
      <c r="K103" s="2"/>
      <c r="L103" s="2"/>
      <c r="M103" s="2"/>
      <c r="N103" s="2"/>
      <c r="O103" s="2"/>
      <c r="Z103" s="2"/>
    </row>
    <row r="104" spans="2:26" ht="15">
      <c r="B104" s="2"/>
      <c r="C104" s="2"/>
      <c r="D104" s="2"/>
      <c r="E104" s="2"/>
      <c r="F104" s="2"/>
      <c r="G104" s="2"/>
      <c r="H104" s="2"/>
      <c r="I104" s="2"/>
      <c r="J104" s="2"/>
      <c r="K104" s="2"/>
      <c r="L104" s="2"/>
      <c r="M104" s="2"/>
      <c r="N104" s="2"/>
      <c r="O104" s="2"/>
      <c r="Z104" s="2"/>
    </row>
    <row r="105" spans="2:26" ht="15">
      <c r="B105" s="2"/>
      <c r="C105" s="2"/>
      <c r="D105" s="2"/>
      <c r="E105" s="2"/>
      <c r="F105" s="2"/>
      <c r="G105" s="2"/>
      <c r="H105" s="2"/>
      <c r="I105" s="2"/>
      <c r="J105" s="2"/>
      <c r="K105" s="2"/>
      <c r="L105" s="2"/>
      <c r="M105" s="2"/>
      <c r="N105" s="2"/>
      <c r="O105" s="2"/>
      <c r="Z105" s="2"/>
    </row>
    <row r="106" spans="2:26" ht="15">
      <c r="B106" s="2"/>
      <c r="C106" s="2"/>
      <c r="D106" s="2"/>
      <c r="E106" s="2"/>
      <c r="F106" s="2"/>
      <c r="G106" s="2"/>
      <c r="H106" s="2"/>
      <c r="I106" s="2"/>
      <c r="J106" s="2"/>
      <c r="K106" s="2"/>
      <c r="L106" s="2"/>
      <c r="M106" s="2"/>
      <c r="N106" s="2"/>
      <c r="O106" s="2"/>
      <c r="Z106" s="2"/>
    </row>
    <row r="107" spans="2:26" ht="15">
      <c r="B107" s="2"/>
      <c r="C107" s="2"/>
      <c r="D107" s="2"/>
      <c r="E107" s="2"/>
      <c r="F107" s="2"/>
      <c r="G107" s="2"/>
      <c r="H107" s="2"/>
      <c r="I107" s="2"/>
      <c r="J107" s="2"/>
      <c r="K107" s="2"/>
      <c r="L107" s="2"/>
      <c r="M107" s="2"/>
      <c r="N107" s="2"/>
      <c r="O107" s="2"/>
      <c r="Z107" s="2"/>
    </row>
    <row r="108" spans="2:26" ht="15">
      <c r="B108" s="2"/>
      <c r="C108" s="2"/>
      <c r="D108" s="2"/>
      <c r="E108" s="2"/>
      <c r="F108" s="2"/>
      <c r="G108" s="2"/>
      <c r="H108" s="2"/>
      <c r="I108" s="2"/>
      <c r="J108" s="2"/>
      <c r="K108" s="2"/>
      <c r="L108" s="2"/>
      <c r="M108" s="2"/>
      <c r="N108" s="2"/>
      <c r="O108" s="2"/>
      <c r="P108" s="2" t="s">
        <v>406</v>
      </c>
      <c r="Q108" s="2"/>
      <c r="R108" s="2"/>
      <c r="S108" s="2"/>
      <c r="T108" s="2"/>
      <c r="U108" s="2"/>
      <c r="V108" s="2"/>
      <c r="W108" s="2"/>
      <c r="X108" s="2"/>
      <c r="Y108" s="2"/>
      <c r="Z108" s="2"/>
    </row>
    <row r="109" spans="2:26" ht="15">
      <c r="B109" s="2"/>
      <c r="C109" s="2"/>
      <c r="D109" s="2"/>
      <c r="E109" s="2"/>
      <c r="F109" s="2"/>
      <c r="G109" s="2"/>
      <c r="H109" s="2"/>
      <c r="I109" s="2"/>
      <c r="J109" s="2"/>
      <c r="K109" s="2"/>
      <c r="L109" s="2"/>
      <c r="M109" s="2"/>
      <c r="N109" s="2"/>
      <c r="O109" s="2"/>
      <c r="P109" s="2"/>
      <c r="Q109" s="2"/>
      <c r="R109" s="2"/>
      <c r="S109" s="2"/>
      <c r="T109" s="2"/>
      <c r="U109" s="14"/>
      <c r="V109" s="2"/>
      <c r="W109" s="2"/>
      <c r="X109" s="2"/>
      <c r="Y109" s="2"/>
      <c r="Z109" s="2"/>
    </row>
    <row r="110" spans="2:2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2:2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2:2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2:2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2:2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2:2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2:2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2:2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2:2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2:2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2:2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2:2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2:2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2:2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2:2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2:2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2:2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2:2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2:2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2:2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2:2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2:2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2:2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2:2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2:2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2:2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2:2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2:2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2:2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2:2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2:2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2:2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2:2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2:2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2:2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2:2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2:2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2:2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2:2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2:2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2:2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2:2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2:2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2:2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2:2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2:2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2:2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2:2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2:2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2:2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2:2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2:2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2:2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2:2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2:2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2:2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2:2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2:2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2:2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2:2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2:2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2:2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2:2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2:2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2:2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2:2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2:2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2:2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2:2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2:2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2:2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2:2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2:26"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2:26"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2:26"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2:26"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2:26"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2:26"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2:26"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2:26"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2:26" ht="1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2:26" ht="1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2:26" ht="1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2:26" ht="1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2:26" ht="1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2:26" ht="1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2:26" ht="1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2:26" ht="1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2:26" ht="1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2:26" ht="1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2:26" ht="1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2:26" ht="1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2:26" ht="1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2:26" ht="1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2:26" ht="1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2:26" ht="1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2:26" ht="1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2:26" ht="1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2:26" ht="1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2:26" ht="1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2:26" ht="1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2:26" ht="1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2:26" ht="1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2:26" ht="1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2:26" ht="1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2:26" ht="1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2:26" ht="1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2:26" ht="1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2:26" ht="1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2:26" ht="1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2:26" ht="1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2:26" ht="1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2:26" ht="1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2:26" ht="1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2:26" ht="1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2:26" ht="1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2:26" ht="1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2:26" ht="1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2:26" ht="1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2:26" ht="1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2:26" ht="1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2:26" ht="1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2:26" ht="1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2:26" ht="1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2:26" ht="1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2:26" ht="1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2:26" ht="1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2:26" ht="1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2:26" ht="1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2:26" ht="1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2:26" ht="1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2:26" ht="1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2:26" ht="1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2:26" ht="1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2:26" ht="1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2:26" ht="15">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2:26" ht="15">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2:26" ht="15">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2:26" ht="15">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2:26" ht="15">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2:26" ht="15">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2:26" ht="15">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2:26" ht="15">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2:26" ht="15">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2:26" ht="1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2:26" ht="15">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2:26" ht="15">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2:26" ht="15">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2:26" ht="15">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2:26" ht="15">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2:26" ht="15">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2:26" ht="15">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2:26" ht="15">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2:26" ht="15">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2:26" ht="15">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2:26" ht="15">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2:26" ht="15">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2:26" ht="15">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2:26" ht="15">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2:26" ht="15">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2:26" ht="15">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2:26" ht="15">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2:26" ht="15">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2:26" ht="15">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2:26" ht="15">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2:26" ht="15">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2:26" ht="15">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2:26" ht="15">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2:26" ht="15">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2:26" ht="15">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2:26" ht="15">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2:26" ht="15">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2:26" ht="15">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2:26" ht="15">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2:26" ht="15">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2:26" ht="15">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2:26" ht="15">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2:26" ht="15">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2:26" ht="15">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2:26" ht="15">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2:26" ht="15">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2:26" ht="15">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2:26" ht="15">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2:26" ht="15">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2:26" ht="15">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2:26" ht="15">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2:26" ht="15">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2:26" ht="15">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2:26" ht="15">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2:26" ht="15">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2:26" ht="15">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2:26" ht="15">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2:26" ht="15">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2:26" ht="15">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2:26" ht="15">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2:26" ht="15">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2:26" ht="15">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2:26" ht="15">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2:26" ht="15">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2:26" ht="15">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2:26" ht="15">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2:26" ht="15">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2:26" ht="15">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2:26" ht="15">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2:26" ht="15">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2:26" ht="15">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2:26" ht="15">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2:26" ht="15">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2:26" ht="15">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2:26" ht="15">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2:26" ht="15">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2:26" ht="15">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2:26" ht="15">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2:26" ht="15">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2:26" ht="15">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2:26" ht="15">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2:26" ht="15">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2:26" ht="15">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2:26" ht="15">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2:26" ht="15">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2:26" ht="15">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2:26" ht="15">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2:26" ht="15">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2:26" ht="15">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2:26" ht="15">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2:26" ht="15">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2:26" ht="15">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2:26" ht="15">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2:26" ht="15">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2:26" ht="15">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2:26" ht="15">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2:26" ht="15">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2:26" ht="15">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2:26" ht="15">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2:26" ht="15">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2:26" ht="15">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2:26" ht="15">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2:26" ht="15">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2:26" ht="15">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2:26" ht="15">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2:26" ht="15">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2:26" ht="15">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2:26" ht="15">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2:26" ht="15">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2:26" ht="15">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2:26" ht="15">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2:26" ht="15">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2:26" ht="15">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2:26" ht="15">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2:26" ht="15">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2:26" ht="15">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2:26" ht="15">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2:26" ht="15">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2:26" ht="15">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2:26" ht="15">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2:26" ht="15">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2:26" ht="15">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2:26" ht="15">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2:26" ht="15">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2:26" ht="15">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2:26" ht="15">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2:26" ht="15">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2:26" ht="15">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2:26" ht="15">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2:26" ht="15">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2:26" ht="15">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2:26" ht="15">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2:26" ht="15">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2:26" ht="15">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2:26" ht="15">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2:26" ht="15">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2:26" ht="15">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2:26" ht="15">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2:26" ht="15">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2:26" ht="15">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2:26" ht="15">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2:26" ht="15">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2:26" ht="15">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2:26" ht="15">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2:26" ht="15">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2:26" ht="15">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2:26" ht="15">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2:26" ht="15">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2:26" ht="15">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2:26" ht="15">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2:26" ht="15">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2:26" ht="15">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2:26" ht="15">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2:26" ht="15">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2:26" ht="15">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2:26" ht="15">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2:26" ht="15">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2:26" ht="15">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2:26" ht="15">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2:26" ht="15">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2:26" ht="15">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2:26" ht="15">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2:26" ht="15">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2:26" ht="15">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2:26" ht="15">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2:26" ht="15">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2:26" ht="15">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2:26" ht="15">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2:26" ht="15">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2:26" ht="15">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2:26" ht="15">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2:26" ht="15">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2:26" ht="15">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2:26" ht="15">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2:26" ht="15">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2:26" ht="15">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2:26" ht="15">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2:26" ht="15">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2:26" ht="15">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2:26" ht="15">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2:26" ht="15">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2:26" ht="15">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2:26" ht="15">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2:26" ht="15">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2:26" ht="15">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2:26" ht="15">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2:26" ht="15">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2:26" ht="15">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2:26" ht="15">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2:26" ht="15">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2:26" ht="15">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2:26" ht="15">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2:26" ht="15">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2:26" ht="15">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2:26" ht="15">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2:26" ht="15">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2:26" ht="15">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2:26" ht="15">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2:26" ht="15">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2:26" ht="15">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2:26" ht="15">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2:26" ht="15">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2:26" ht="15">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2:26" ht="15">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2:26" ht="15">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2:26" ht="15">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2:26" ht="15">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2:26" ht="15">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2:26" ht="15">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2:26" ht="15">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2:26" ht="15">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2:26" ht="15">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2:26" ht="15">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2:26" ht="15">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2:26" ht="15">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2:26" ht="15">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2:26" ht="15">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2:26" ht="15">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2:26" ht="15">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2:26" ht="15">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2:26" ht="15">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2:26" ht="15">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2:26" ht="15">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2:26" ht="15">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2:26" ht="15">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2:26" ht="15">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2:26" ht="15">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2:26" ht="15">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2:26" ht="15">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2:26" ht="15">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2:26" ht="15">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2:26" ht="15">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2:26" ht="15">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2:26" ht="15">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2:26" ht="15">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2:26" ht="15">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2:26" ht="15">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2:26" ht="15">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2:26" ht="15">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2:26" ht="15">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2:26" ht="15">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2:26" ht="15">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2:26" ht="15">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2:26" ht="15">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2:26" ht="15">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2:26" ht="15">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2:26" ht="15">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2:26" ht="15">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2:26" ht="15">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2:26" ht="15">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2:26" ht="15">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2:26" ht="15">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2:26" ht="15">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2:26" ht="15">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2:26" ht="15">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2:26" ht="15">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2:26" ht="15">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2:26" ht="15">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2:26" ht="15">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2:26" ht="15">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2:26" ht="15">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2:26" ht="15">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2:26" ht="15">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2:26" ht="15">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2:26" ht="15">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2:26" ht="15">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2:26" ht="15">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2:26" ht="15">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2:26" ht="15">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2:26" ht="15">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2:26" ht="15">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2:26" ht="15">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2:26" ht="15">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2:26" ht="15">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2:26" ht="15">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2:26" ht="15">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2:26" ht="15">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2:26" ht="15">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2:26" ht="15">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2:26" ht="15">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2:26" ht="15">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2:26" ht="15">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2:26" ht="15">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2:26" ht="15">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2:26" ht="15">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2:26" ht="15">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2:26" ht="15">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2:26" ht="15">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2:26" ht="15">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2:26" ht="15">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2:26" ht="15">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2:26" ht="15">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2:26" ht="15">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2:26" ht="15">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2:26" ht="15">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2:26" ht="15">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2:26" ht="15">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2:26" ht="15">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2:26" ht="15">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2:26" ht="15">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2:26" ht="15">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2:26" ht="15">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2:26" ht="15">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2:26" ht="15">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2:26" ht="15">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2:26" ht="15">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2:26" ht="15">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2:26" ht="15">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2:26" ht="15">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2:26" ht="15">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2:26" ht="15">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2:26" ht="15">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2:26" ht="15">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2:26" ht="15">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2:26" ht="15">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2:26" ht="15">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2:26" ht="15">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2:26" ht="15">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2:26" ht="15">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2:26" ht="15">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2:26" ht="15">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2:26" ht="15">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2:26" ht="15">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2:26" ht="15">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2:26" ht="15">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2:26" ht="15">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2:26" ht="15">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2:26" ht="15">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2:26" ht="15">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2:26" ht="15">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2:26" ht="15">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2:26" ht="15">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2:26" ht="15">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2:26" ht="15">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2:26" ht="15">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2:26" ht="15">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2:26" ht="15">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2:26" ht="15">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2:26" ht="15">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2:26" ht="15">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2:26" ht="15">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2:26" ht="15">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2:26" ht="15">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2:26" ht="15">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2:26" ht="15">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2:26" ht="15">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2:26" ht="15">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2:26" ht="15">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2:26" ht="15">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2:26" ht="15">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2:26" ht="15">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2:26" ht="15">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2:26" ht="15">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2:26" ht="15">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2:26" ht="15">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2:26" ht="15">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2:26" ht="15">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2:26" ht="15">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2:26" ht="15">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2:26" ht="15">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2:26" ht="15">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2:26" ht="15">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2:26" ht="15">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2:26" ht="15">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2:26" ht="15">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2:26" ht="15">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2:26" ht="15">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2:26" ht="15">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2:26" ht="15">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2:26" ht="15">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2:26" ht="15">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2:26" ht="15">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2:26" ht="15">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2:26" ht="15">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2:26" ht="15">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2:26" ht="15">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2:26" ht="15">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2:26" ht="15">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2:26" ht="15">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2:26" ht="15">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2:26" ht="15">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2:26" ht="15">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2:26" ht="15">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2:26" ht="15">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2:26" ht="15">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2:26" ht="15">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2:26" ht="15">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2:26" ht="15">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2:26" ht="15">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2:26" ht="15">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2:26" ht="15">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2:26" ht="15">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2:26" ht="15">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2:26" ht="15">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2:26" ht="15">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2:26" ht="15">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2:26" ht="15">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2:26" ht="15">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2:26" ht="15">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2:26" ht="15">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2:26" ht="15">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2:26" ht="15">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2:26" ht="15">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2:26" ht="15">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2:26" ht="15">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2:26" ht="15">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2:26" ht="15">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2:26" ht="15">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2:26" ht="15">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2:26" ht="15">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2:26" ht="15">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2:26" ht="15">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2:26" ht="15">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2:26" ht="15">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2:26" ht="15">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2:26" ht="15">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2:26" ht="15">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2:26" ht="15">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2:26" ht="15">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2:26" ht="15">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2:26" ht="15">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2:26" ht="15">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2:26" ht="15">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2:26" ht="15">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2:26" ht="15">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2:26" ht="15">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2:26" ht="15">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2:26" ht="15">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2:26" ht="15">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2:26" ht="15">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2:26" ht="15">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2:26" ht="15">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2:26" ht="15">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2:26" ht="15">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2:26" ht="15">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2:26" ht="15">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2:26" ht="15">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2:26" ht="15">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2:26" ht="15">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2:26" ht="15">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2:26" ht="15">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2:26" ht="15">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2:26" ht="15">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2:26" ht="15">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2:26" ht="15">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2:26" ht="15">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2:26" ht="15">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2:26" ht="15">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2:26" ht="15">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2:26" ht="15">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2:26" ht="15">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2:26" ht="15">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2:26" ht="15">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2:26" ht="15">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2:26" ht="15">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2:26" ht="15">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2:26" ht="15">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2:26" ht="15">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2:26" ht="15">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2:26" ht="15">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2:26" ht="15">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2:26" ht="15">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2:26" ht="15">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2:26" ht="15">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2:26" ht="15">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2:26" ht="15">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2:26" ht="15">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2:26" ht="15">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2:26" ht="15">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2:26" ht="15">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2:26" ht="15">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2:26" ht="15">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2:26" ht="15">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2:26" ht="15">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2:26" ht="15">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2:26" ht="15">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2:26" ht="15">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2:26" ht="15">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2:26" ht="15">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2:26" ht="15">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2:26" ht="15">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2:26" ht="15">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2:26" ht="15">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2:26" ht="15">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2:26" ht="15">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2:26" ht="15">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2:26" ht="15">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2:26" ht="15">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2:26" ht="15">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2:26" ht="15">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2:26" ht="15">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2:26" ht="15">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2:26" ht="15">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2:26" ht="15">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2:26" ht="15">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2:26" ht="15">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2:26" ht="15">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2:26" ht="15">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2:26" ht="15">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2:26" ht="15">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2:26" ht="15">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2:26" ht="15">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2:26" ht="15">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2:26" ht="15">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2:26" ht="15">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2:26" ht="15">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2:26" ht="15">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2:26" ht="15">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2:26" ht="15">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2:26" ht="15">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2:26" ht="15">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2:26" ht="15">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2:26" ht="15">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2:26" ht="15">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2:26" ht="15">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2:26" ht="15">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2:26" ht="15">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2:26" ht="15">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2:26" ht="15">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2:26" ht="15">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2:26" ht="15">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2:26" ht="15">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2:26" ht="15">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2:26" ht="15">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2:26" ht="15">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2:26" ht="15">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2:26" ht="15">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2:26" ht="15">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2:26" ht="15">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2:26" ht="15">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2:26" ht="15">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2:26" ht="15">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2:26" ht="15">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2:26" ht="15">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2:26" ht="15">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2:26" ht="15">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2:26" ht="15">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2:26" ht="15">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2:26" ht="15">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2:26" ht="15">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2:26" ht="15">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2:26" ht="15">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2:26" ht="15">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2:26" ht="15">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2:26" ht="15">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2:26" ht="15">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2:26" ht="15">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2:26" ht="15">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2:26" ht="15">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2:26" ht="15">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2:26" ht="15">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2:26" ht="15">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2:26" ht="15">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2:26" ht="15">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2:26" ht="15">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2:26" ht="15">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2:26" ht="15">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2:26" ht="15">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2:26" ht="15">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2:26" ht="15">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2:26" ht="15">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2:26" ht="15">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2:26" ht="15">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2:26" ht="15">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2:26" ht="15">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2:26" ht="15">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2:26" ht="15">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2:26" ht="15">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2:26" ht="15">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2:26" ht="15">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2:26" ht="15">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2:26" ht="15">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2:26" ht="15">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2:26" ht="15">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2:26" ht="15">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2:26" ht="15">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2:26" ht="15">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2:26" ht="15">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2:26" ht="15">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2:26" ht="15">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2:26" ht="15">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2:26" ht="15">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2:26" ht="15">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2:26" ht="15">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2:26" ht="15">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2:26" ht="15">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2:26" ht="15">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2:26" ht="15">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2:26" ht="15">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2:26" ht="15">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2:26" ht="15">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2:26" ht="15">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2:26" ht="15">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2:26" ht="15">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2:26" ht="15">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2:26" ht="15">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2:26" ht="15">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2:26" ht="15">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2:26" ht="15">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2:26" ht="15">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2:26" ht="15">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2:26" ht="15">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2:26" ht="15">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2:26" ht="15">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2:26" ht="15">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2:26" ht="15">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2:26" ht="15">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2:26" ht="15">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2:26" ht="15">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2:26" ht="15">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2:26" ht="15">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2:26" ht="15">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2:26" ht="15">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2:26" ht="15">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2:26" ht="15">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2:26" ht="15">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2:26" ht="15">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2:26" ht="15">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2:26" ht="15">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2:26" ht="15">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2:26" ht="15">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2:26" ht="15">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2:26" ht="15">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2:26" ht="15">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2:26" ht="15">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2:26" ht="15">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2:26" ht="15">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2:26" ht="15">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2:26" ht="15">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2:26" ht="15">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2:26" ht="15">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2:26" ht="15">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2:26" ht="15">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2:26" ht="15">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2:26" ht="15">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2:26" ht="15">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2:26" ht="15">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2:26" ht="15">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2:26" ht="15">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2:26" ht="15">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2:26" ht="15">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2:26" ht="15">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2:26" ht="15">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2:26" ht="15">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2:26" ht="15">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2:26" ht="15">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2:26" ht="15">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2:26" ht="15">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2:26" ht="15">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2:26" ht="15">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2:26" ht="15">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2:26" ht="15">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2:26" ht="15">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2:26" ht="15">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2:26" ht="15">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2:26" ht="15">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2:26" ht="15">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2:26" ht="15">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2:26" ht="15">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2:26" ht="15">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2:26" ht="15">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2:26" ht="15">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2:26" ht="15">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2:26" ht="15">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2:26" ht="15">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2:26" ht="15">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2:26" ht="15">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2:26" ht="15">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2:26" ht="15">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2:26" ht="15">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2:26" ht="15">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2:26" ht="15">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2:26" ht="15">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2:26" ht="15">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2:26" ht="15">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2:26" ht="15">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2:26" ht="15">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2:26" ht="15">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2:26" ht="15">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2:26" ht="15">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2:26" ht="15">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2:26" ht="15">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2:26" ht="15">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2:26" ht="15">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2:26" ht="15">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2:26" ht="15">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2:26" ht="15">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2:26" ht="15">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2:26" ht="15">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2:26" ht="15">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2:26" ht="15">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2:26" ht="15">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2:26" ht="15">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2:26" ht="15">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2:26" ht="15">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2:26" ht="15">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2:26" ht="15">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2:26" ht="15">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2:26" ht="15">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2:26" ht="15">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2:26" ht="15">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2:26" ht="15">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2:26" ht="15">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2:26" ht="15">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2:26" ht="15">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2:26" ht="15">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2:26" ht="15">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2:26" ht="15">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2:26" ht="15">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2:26" ht="15">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2:26" ht="15">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2:26" ht="15">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2:26" ht="15">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2:26" ht="15">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2:26" ht="15">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2:26" ht="15">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2:26" ht="15">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2:26" ht="15">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2:26" ht="15">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2:26" ht="15">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2:26" ht="15">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2:26" ht="15">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2:26" ht="15">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2:26" ht="15">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2:26" ht="15">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2:26" ht="15">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2:26" ht="15">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2:26" ht="15">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2:26" ht="15">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2:26" ht="15">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2:26" ht="15">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2:26" ht="15">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2:26" ht="15">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2:26" ht="15">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2:26" ht="15">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2:26" ht="15">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2:26" ht="15">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2:26" ht="15">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2:26" ht="15">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2:26" ht="15">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2:26" ht="15">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2:26" ht="15">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2:26" ht="15">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2:26" ht="15">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2:26" ht="15">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2:26" ht="15">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2:26" ht="15">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2:26" ht="15">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2:26" ht="15">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2:26" ht="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2:26" ht="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2:26" ht="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2:26" ht="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2:26" ht="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2:26" ht="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2:26" ht="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2:26" ht="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2:26" ht="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2:26" ht="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2:26" ht="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2:26" ht="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2:26" ht="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2:26" ht="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2:26" ht="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2:26" ht="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2:26" ht="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2:26" ht="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2:26" ht="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2:26" ht="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2:26" ht="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2:26" ht="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2:26" ht="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2:26" ht="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2:26" ht="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2:26" ht="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2:26" ht="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2:26" ht="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2:26" ht="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2:26" ht="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2:26" ht="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2:26" ht="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2:26" ht="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2:26" ht="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2:26" ht="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2:26" ht="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2:26" ht="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2:26" ht="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2:26" ht="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2:26" ht="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2:26" ht="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2:26" ht="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2:26" ht="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2:26" ht="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2:26" ht="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2:26" ht="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2:26" ht="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2:26" ht="15">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2:26" ht="15">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2:26" ht="15">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2:26" ht="15">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2:26" ht="15">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2:26" ht="15">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2:26" ht="15">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2:26" ht="15">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2:26" ht="15">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2:26" ht="15">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2:26" ht="15">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2:26" ht="15">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2:26" ht="15">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2:26" ht="15">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2:26" ht="15">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2:26" ht="15">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2:26" ht="15">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2:26" ht="15">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2:26" ht="15">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2:26" ht="15">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2:26" ht="15">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2:26" ht="15">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2:26" ht="15">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2:26" ht="15">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2:26" ht="15">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2:26" ht="15">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2:26" ht="15">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2:26" ht="15">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row r="1075" spans="2:26" ht="15">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row>
    <row r="1076" spans="2:26" ht="15">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row>
    <row r="1077" spans="2:26" ht="15">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row>
    <row r="1078" spans="2:26" ht="15">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row>
    <row r="1079" spans="2:26" ht="15">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row>
    <row r="1080" spans="2:26" ht="15">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row>
    <row r="1081" spans="2:26" ht="15">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row>
    <row r="1082" spans="2:26" ht="15">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row>
    <row r="1083" spans="2:26" ht="15">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row>
    <row r="1084" spans="2:26" ht="15">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row>
    <row r="1085" spans="2:26" ht="15">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row>
    <row r="1086" spans="2:26" ht="15">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row>
    <row r="1087" spans="2:26" ht="15">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row>
    <row r="1088" spans="2:26" ht="15">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row>
    <row r="1089" spans="2:26" ht="15">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row>
    <row r="1090" spans="2:26" ht="15">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row>
    <row r="1091" spans="2:26" ht="15">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row>
    <row r="1092" spans="2:26" ht="15">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row>
    <row r="1093" spans="2:26" ht="15">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row>
    <row r="1094" spans="2:26" ht="15">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row>
    <row r="1095" spans="2:26" ht="15">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row>
    <row r="1096" spans="2:26" ht="15">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row>
    <row r="1097" spans="2:26" ht="15">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row>
    <row r="1098" spans="2:26" ht="15">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row>
    <row r="1099" spans="2:26" ht="15">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row>
    <row r="1100" spans="2:26" ht="15">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row>
    <row r="1101" spans="2:26" ht="15">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row>
    <row r="1102" spans="2:26" ht="15">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row>
    <row r="1103" spans="2:26" ht="15">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row>
    <row r="1104" spans="2:26" ht="15">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row>
    <row r="1105" spans="2:26" ht="15">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row>
    <row r="1106" spans="2:26" ht="15">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row>
    <row r="1107" spans="2:26" ht="15">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row>
    <row r="1108" spans="2:26" ht="15">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row>
    <row r="1109" spans="2:26" ht="15">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row>
    <row r="1110" spans="2:26" ht="15">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row>
    <row r="1111" spans="2:26" ht="15">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row>
    <row r="1112" spans="2:26" ht="15">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row>
    <row r="1113" spans="2:26" ht="15">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row>
    <row r="1114" spans="2:26" ht="15">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row>
    <row r="1115" spans="2:26" ht="15">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row>
    <row r="1116" spans="2:26" ht="15">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row>
    <row r="1117" spans="2:26" ht="15">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row>
    <row r="1118" spans="2:26" ht="15">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row>
    <row r="1119" spans="2:26" ht="15">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row>
    <row r="1120" spans="2:26" ht="15">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row>
    <row r="1121" spans="2:26" ht="15">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row>
    <row r="1122" spans="2:26" ht="15">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row>
    <row r="1123" spans="2:26" ht="15">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row>
    <row r="1124" spans="2:26" ht="15">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row>
    <row r="1125" spans="2:26" ht="15">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row>
    <row r="1126" spans="2:26" ht="15">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row>
    <row r="1127" spans="2:26" ht="15">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row>
    <row r="1128" spans="2:26" ht="15">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row>
    <row r="1129" spans="2:26" ht="15">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row>
    <row r="1130" spans="2:26" ht="15">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row>
    <row r="1131" spans="2:26" ht="15">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row>
    <row r="1132" spans="2:26" ht="15">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row>
    <row r="1133" spans="2:26" ht="15">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row>
    <row r="1134" spans="2:26" ht="15">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row>
    <row r="1135" spans="2:26" ht="15">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row>
    <row r="1136" spans="2:26" ht="15">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row>
    <row r="1137" spans="2:26" ht="15">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row>
    <row r="1138" spans="2:26" ht="15">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row>
    <row r="1139" spans="2:26" ht="15">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row>
    <row r="1140" spans="2:26" ht="15">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row>
    <row r="1141" spans="2:26" ht="15">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row>
    <row r="1142" spans="2:26" ht="15">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row>
    <row r="1143" spans="2:26" ht="15">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row>
    <row r="1144" spans="2:26" ht="15">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row>
    <row r="1145" spans="2:26" ht="1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row>
    <row r="1146" spans="2:26" ht="15">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row>
    <row r="1147" spans="2:26" ht="15">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row>
    <row r="1148" spans="2:26" ht="15">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row>
    <row r="1149" spans="2:26" ht="15">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row>
    <row r="1150" spans="2:26" ht="15">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row>
    <row r="1151" spans="2:26" ht="15">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row>
    <row r="1152" spans="2:26" ht="15">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row>
    <row r="1153" spans="2:26" ht="15">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row>
    <row r="1154" spans="2:26" ht="15">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row>
    <row r="1155" spans="2:26" ht="15">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row>
    <row r="1156" spans="2:26" ht="15">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row>
    <row r="1157" spans="2:26" ht="15">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row>
    <row r="1158" spans="2:26" ht="15">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row>
    <row r="1159" spans="2:26" ht="15">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row>
    <row r="1160" spans="2:26" ht="15">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row>
    <row r="1161" spans="2:26" ht="15">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row>
    <row r="1162" spans="2:26" ht="15">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row>
    <row r="1163" spans="2:26" ht="15">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row>
    <row r="1164" spans="2:26" ht="15">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row>
    <row r="1165" spans="2:26" ht="15">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row>
    <row r="1166" spans="2:26" ht="15">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row>
    <row r="1167" spans="2:26" ht="15">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row>
    <row r="1168" spans="2:26" ht="15">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row>
    <row r="1169" spans="2:26" ht="15">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row>
    <row r="1170" spans="2:26" ht="15">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row>
    <row r="1171" spans="2:26" ht="15">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row>
    <row r="1172" spans="2:26" ht="15">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row>
    <row r="1173" spans="2:26" ht="15">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row>
    <row r="1174" spans="2:26" ht="15">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row>
    <row r="1175" spans="2:26" ht="15">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row>
    <row r="1176" spans="2:26" ht="15">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row>
    <row r="1177" spans="2:26" ht="15">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row>
    <row r="1178" spans="2:26" ht="15">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row>
    <row r="1179" spans="2:26" ht="15">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row>
    <row r="1180" spans="2:26" ht="15">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row>
    <row r="1181" spans="2:26" ht="15">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row>
    <row r="1182" spans="2:26" ht="15">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row>
    <row r="1183" spans="2:26" ht="15">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row>
    <row r="1184" spans="2:26" ht="15">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row>
    <row r="1185" spans="2:26" ht="15">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row>
    <row r="1186" spans="2:26" ht="15">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row>
    <row r="1187" spans="2:26" ht="15">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row>
    <row r="1188" spans="2:26" ht="15">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row>
    <row r="1189" spans="2:26" ht="15">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row>
    <row r="1190" spans="2:26" ht="15">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row>
    <row r="1191" spans="2:26" ht="15">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row>
    <row r="1192" spans="2:26" ht="15">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row>
    <row r="1193" spans="2:26" ht="15">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row>
    <row r="1194" spans="2:26" ht="15">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row>
    <row r="1195" spans="2:26" ht="15">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row>
    <row r="1196" spans="2:26" ht="15">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row>
    <row r="1197" spans="2:26" ht="15">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row>
    <row r="1198" spans="2:26" ht="15">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row>
    <row r="1199" spans="2:26" ht="15">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row>
    <row r="1200" spans="2:26" ht="15">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row>
    <row r="1201" spans="2:26" ht="15">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row>
    <row r="1202" spans="2:26" ht="15">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row>
    <row r="1203" spans="2:26" ht="15">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row>
    <row r="1204" spans="2:26" ht="15">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row>
    <row r="1205" spans="2:26" ht="15">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row>
    <row r="1206" spans="2:26" ht="15">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row>
    <row r="1207" spans="2:26" ht="15">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row>
    <row r="1208" spans="2:26" ht="15">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row>
    <row r="1209" spans="2:26" ht="15">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row>
    <row r="1210" spans="2:26" ht="15">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row>
    <row r="1211" spans="2:26" ht="15">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row>
    <row r="1212" spans="2:26" ht="15">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row>
    <row r="1213" spans="2:26" ht="15">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row>
    <row r="1214" spans="2:26" ht="15">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row>
    <row r="1215" spans="2:26" ht="15">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row>
    <row r="1216" spans="2:26" ht="15">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row>
    <row r="1217" spans="2:26" ht="15">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row>
    <row r="1218" spans="2:26" ht="15">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row>
    <row r="1219" spans="2:26" ht="15">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row>
    <row r="1220" spans="2:26" ht="15">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row>
    <row r="1221" spans="2:26" ht="15">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row>
    <row r="1222" spans="2:26" ht="15">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row>
    <row r="1223" spans="2:26" ht="15">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row>
    <row r="1224" spans="2:26" ht="15">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row>
    <row r="1225" spans="2:26" ht="15">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row>
    <row r="1226" spans="2:26" ht="15">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row>
    <row r="1227" spans="2:26" ht="15">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row>
    <row r="1228" spans="2:26" ht="15">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row>
    <row r="1229" spans="2:26" ht="15">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row>
    <row r="1230" spans="2:26" ht="15">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row>
    <row r="1231" spans="2:26" ht="15">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row>
    <row r="1232" spans="2:26" ht="15">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row>
    <row r="1233" spans="2:26" ht="15">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row>
    <row r="1234" spans="2:26" ht="15">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row>
    <row r="1235" spans="2:26" ht="15">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row>
    <row r="1236" spans="2:26" ht="15">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row>
    <row r="1237" spans="2:26" ht="15">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row>
    <row r="1238" spans="2:26" ht="15">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row>
    <row r="1239" spans="2:26" ht="15">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row>
    <row r="1240" spans="2:26" ht="15">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row>
    <row r="1241" spans="2:26" ht="15">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row>
    <row r="1242" spans="2:26" ht="15">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row>
    <row r="1243" spans="2:26" ht="15">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row>
    <row r="1244" spans="2:26" ht="15">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row>
    <row r="1245" spans="2:26" ht="15">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row>
    <row r="1246" spans="2:26" ht="15">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row>
    <row r="1247" spans="2:26" ht="15">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row>
    <row r="1248" spans="2:26" ht="15">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row>
    <row r="1249" spans="2:26" ht="15">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row>
    <row r="1250" spans="2:26" ht="15">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row>
    <row r="1251" spans="2:26" ht="15">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row>
    <row r="1252" spans="2:26" ht="15">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row>
    <row r="1253" spans="2:26" ht="15">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row>
    <row r="1254" spans="2:26" ht="15">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row>
    <row r="1255" spans="2:26" ht="15">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row>
    <row r="1256" spans="2:26" ht="15">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row>
    <row r="1257" spans="2:26" ht="15">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row>
    <row r="1258" spans="2:26" ht="15">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row>
    <row r="1259" spans="2:26" ht="15">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row>
    <row r="1260" spans="2:26" ht="15">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row>
    <row r="1261" spans="2:26" ht="15">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row>
    <row r="1262" spans="2:26" ht="15">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row>
    <row r="1263" spans="2:26" ht="15">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row>
    <row r="1264" spans="2:26" ht="15">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row>
    <row r="1265" spans="2:26" ht="15">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row>
    <row r="1266" spans="2:26" ht="15">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row>
    <row r="1267" spans="2:26" ht="15">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row>
    <row r="1268" spans="2:26" ht="15">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row>
    <row r="1269" spans="2:26" ht="15">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row>
    <row r="1270" spans="2:26" ht="15">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row>
    <row r="1271" spans="2:26" ht="15">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row>
    <row r="1272" spans="2:26" ht="15">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row>
    <row r="1273" spans="2:26" ht="15">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row>
    <row r="1274" spans="2:26" ht="15">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row>
    <row r="1275" spans="2:26" ht="15">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row>
    <row r="1276" spans="2:26" ht="15">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row>
    <row r="1277" spans="2:26" ht="15">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row>
    <row r="1278" spans="2:26" ht="15">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row>
    <row r="1279" spans="2:26" ht="15">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row>
    <row r="1280" spans="2:26" ht="15">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row>
    <row r="1281" spans="2:26" ht="15">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row>
    <row r="1282" spans="2:26" ht="15">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row>
    <row r="1283" spans="2:26" ht="15">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row>
    <row r="1284" spans="2:26" ht="15">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row>
    <row r="1285" spans="2:26" ht="15">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row>
    <row r="1286" spans="2:26" ht="15">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row>
    <row r="1287" spans="2:26" ht="15">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row>
    <row r="1288" spans="2:26" ht="15">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row>
    <row r="1289" spans="2:26" ht="15">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row>
    <row r="1290" spans="2:26" ht="15">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row>
    <row r="1291" spans="2:26" ht="15">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row>
    <row r="1292" spans="2:26" ht="15">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row>
    <row r="1293" spans="2:26" ht="15">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row>
    <row r="1294" spans="2:26" ht="15">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row>
    <row r="1295" spans="2:26" ht="15">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row>
    <row r="1296" spans="2:26" ht="15">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row>
    <row r="1297" spans="2:26" ht="15">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row>
    <row r="1298" spans="2:26" ht="15">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row>
    <row r="1299" spans="2:26" ht="15">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row>
    <row r="1300" spans="2:26" ht="15">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row>
    <row r="1301" spans="2:26" ht="15">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row>
    <row r="1302" spans="2:26" ht="15">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row>
    <row r="1303" spans="2:26" ht="15">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row>
    <row r="1304" spans="2:26" ht="15">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row>
    <row r="1305" spans="2:26" ht="15">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row>
    <row r="1306" spans="2:26" ht="15">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row>
    <row r="1307" spans="2:26" ht="15">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row>
    <row r="1308" spans="2:26" ht="15">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row>
    <row r="1309" spans="2:26" ht="15">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row>
    <row r="1310" spans="2:26" ht="15">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row>
    <row r="1311" spans="2:26" ht="15">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row>
    <row r="1312" spans="2:26" ht="15">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row>
    <row r="1313" spans="2:26" ht="15">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row>
    <row r="1314" spans="2:26" ht="15">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row>
    <row r="1315" spans="2:26" ht="15">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row>
    <row r="1316" spans="2:26" ht="15">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row>
    <row r="1317" spans="2:26" ht="15">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row>
    <row r="1318" spans="2:26" ht="15">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row>
    <row r="1319" spans="2:26" ht="15">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row>
    <row r="1320" spans="2:26" ht="15">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row>
    <row r="1321" spans="2:26" ht="15">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row>
    <row r="1322" spans="2:26" ht="15">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row>
    <row r="1323" spans="2:26" ht="15">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row>
    <row r="1324" spans="2:26" ht="15">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row>
    <row r="1325" spans="2:26" ht="15">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row>
    <row r="1326" spans="2:26" ht="15">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row>
    <row r="1327" spans="2:26" ht="15">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row>
    <row r="1328" spans="2:26" ht="15">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row>
    <row r="1329" spans="2:26" ht="15">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row>
    <row r="1330" spans="2:26" ht="15">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row>
    <row r="1331" spans="2:26" ht="15">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row>
    <row r="1332" spans="2:26" ht="15">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row>
    <row r="1333" spans="2:26" ht="15">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row>
    <row r="1334" spans="2:26" ht="15">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row>
    <row r="1335" spans="2:26" ht="15">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row>
    <row r="1336" spans="2:26" ht="15">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row>
    <row r="1337" spans="2:26" ht="15">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row>
    <row r="1338" spans="2:26" ht="15">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row>
    <row r="1339" spans="2:26" ht="15">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row>
    <row r="1340" spans="2:26" ht="15">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row>
    <row r="1341" spans="2:26" ht="15">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row>
    <row r="1342" spans="2:26" ht="15">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row>
    <row r="1343" spans="2:26" ht="15">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row>
    <row r="1344" spans="2:26" ht="15">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row>
    <row r="1345" spans="2:26" ht="15">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row>
    <row r="1346" spans="2:26" ht="15">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row>
    <row r="1347" spans="2:26" ht="15">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row>
    <row r="1348" spans="2:26" ht="15">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row>
    <row r="1349" spans="2:26" ht="15">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row>
    <row r="1350" spans="2:26" ht="15">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row>
    <row r="1351" spans="2:26" ht="15">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row>
    <row r="1352" spans="2:26" ht="15">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row>
    <row r="1353" spans="2:26" ht="15">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row>
    <row r="1354" spans="2:26" ht="15">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row>
    <row r="1355" spans="2:26" ht="15">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row>
    <row r="1356" spans="2:26" ht="15">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row>
    <row r="1357" spans="2:26" ht="15">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row>
    <row r="1358" spans="2:26" ht="15">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row>
    <row r="1359" spans="2:26" ht="15">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row>
    <row r="1360" spans="2:26" ht="15">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row>
    <row r="1361" spans="2:26" ht="15">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row>
    <row r="1362" spans="2:26" ht="15">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row>
    <row r="1363" spans="2:26" ht="15">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row>
    <row r="1364" spans="2:26" ht="15">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row>
    <row r="1365" spans="2:26" ht="15">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row>
    <row r="1366" spans="2:26" ht="15">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row>
    <row r="1367" spans="2:26" ht="15">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row>
    <row r="1368" spans="2:26" ht="15">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row>
    <row r="1369" spans="2:26" ht="15">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row>
    <row r="1370" spans="2:26" ht="15">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row>
    <row r="1371" spans="2:26" ht="15">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row>
    <row r="1372" spans="2:26" ht="15">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row>
    <row r="1373" spans="2:26" ht="15">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row>
    <row r="1374" spans="2:26" ht="15">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row>
    <row r="1375" spans="2:26" ht="15">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row>
    <row r="1376" spans="2:26" ht="15">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row>
    <row r="1377" spans="2:26" ht="15">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row>
    <row r="1378" spans="2:26" ht="15">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row>
    <row r="1379" spans="2:26" ht="15">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row>
    <row r="1380" spans="2:26" ht="15">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row>
    <row r="1381" spans="2:26" ht="15">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row>
    <row r="1382" spans="2:26" ht="15">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row>
    <row r="1383" spans="2:26" ht="15">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row>
    <row r="1384" spans="2:26" ht="15">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row>
    <row r="1385" spans="2:26" ht="15">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row>
    <row r="1386" spans="2:26" ht="15">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row>
    <row r="1387" spans="2:26" ht="15">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row>
    <row r="1388" spans="2:26" ht="15">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row>
    <row r="1389" spans="2:26" ht="15">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row>
    <row r="1390" spans="2:26" ht="15">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row>
    <row r="1391" spans="2:26" ht="15">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row>
    <row r="1392" spans="2:26" ht="15">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row>
    <row r="1393" spans="2:26" ht="15">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row>
    <row r="1394" spans="2:26" ht="15">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row>
    <row r="1395" spans="2:26" ht="15">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row>
    <row r="1396" spans="2:26" ht="15">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row>
    <row r="1397" spans="2:26" ht="15">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row>
    <row r="1398" spans="2:26" ht="15">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row>
    <row r="1399" spans="2:26" ht="15">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row>
    <row r="1400" spans="2:26" ht="15">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row>
    <row r="1401" spans="2:26" ht="15">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row>
    <row r="1402" spans="2:26" ht="15">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row>
    <row r="1403" spans="2:26" ht="15">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row>
    <row r="1404" spans="2:26" ht="15">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row>
    <row r="1405" spans="2:26" ht="15">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row>
    <row r="1406" spans="2:26" ht="15">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row>
    <row r="1407" spans="2:26" ht="15">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row>
    <row r="1408" spans="2:26" ht="15">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row>
    <row r="1409" spans="2:26" ht="15">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row>
    <row r="1410" spans="2:26" ht="15">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row>
    <row r="1411" spans="2:26" ht="15">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row>
    <row r="1412" spans="2:26" ht="15">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row>
    <row r="1413" spans="2:26" ht="15">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row>
    <row r="1414" spans="2:26" ht="15">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row>
    <row r="1415" spans="2:26" ht="15">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row>
    <row r="1416" spans="2:26" ht="15">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row>
    <row r="1417" spans="2:26" ht="15">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row>
    <row r="1418" spans="2:26" ht="15">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row>
    <row r="1419" spans="2:26" ht="15">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row>
    <row r="1420" spans="2:26" ht="15">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row>
    <row r="1421" spans="2:26" ht="15">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row>
    <row r="1422" spans="2:26" ht="15">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row>
    <row r="1423" spans="2:26" ht="15">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row>
    <row r="1424" spans="2:26" ht="15">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row>
    <row r="1425" spans="2:26" ht="15">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row>
    <row r="1426" spans="2:26" ht="15">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row>
    <row r="1427" spans="2:26" ht="15">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row>
    <row r="1428" spans="2:26" ht="15">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row>
    <row r="1429" spans="2:26" ht="15">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row>
    <row r="1430" spans="2:26" ht="15">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row>
    <row r="1431" spans="2:26" ht="15">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row>
    <row r="1432" spans="2:26" ht="15">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row>
    <row r="1433" spans="2:26" ht="15">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row>
    <row r="1434" spans="2:26" ht="15">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row>
    <row r="1435" spans="2:26" ht="15">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row>
    <row r="1436" spans="2:26" ht="15">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row>
    <row r="1437" spans="2:26" ht="15">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row>
    <row r="1438" spans="2:26" ht="15">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row>
    <row r="1439" spans="2:26" ht="15">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row>
    <row r="1440" spans="2:26" ht="15">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row>
    <row r="1441" spans="2:26" ht="15">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row>
    <row r="1442" spans="2:26" ht="15">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row>
    <row r="1443" spans="2:26" ht="15">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row>
    <row r="1444" spans="2:26" ht="15">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row>
    <row r="1445" spans="2:26" ht="15">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row>
    <row r="1446" spans="2:26" ht="15">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row>
    <row r="1447" spans="2:26" ht="15">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row>
    <row r="1448" spans="2:26" ht="15">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row>
    <row r="1449" spans="2:26" ht="15">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row>
    <row r="1450" spans="2:26" ht="15">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row>
    <row r="1451" spans="2:26" ht="15">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row>
    <row r="1452" spans="2:26" ht="15">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row>
    <row r="1453" spans="2:26" ht="15">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row>
    <row r="1454" spans="2:26" ht="15">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row>
    <row r="1455" spans="2:26" ht="15">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row>
    <row r="1456" spans="2:26" ht="15">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row>
    <row r="1457" spans="2:26" ht="15">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row>
    <row r="1458" spans="2:26" ht="15">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row>
    <row r="1459" spans="2:26" ht="15">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row>
    <row r="1460" spans="2:26" ht="15">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row>
    <row r="1461" spans="2:26" ht="15">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row>
    <row r="1462" spans="2:26" ht="15">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row>
    <row r="1463" spans="2:26" ht="15">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row>
    <row r="1464" spans="2:26" ht="15">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row>
    <row r="1465" spans="2:26" ht="15">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row>
    <row r="1466" spans="2:26" ht="15">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row>
    <row r="1467" spans="2:26" ht="15">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row>
    <row r="1468" spans="2:26" ht="15">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row>
    <row r="1469" spans="2:26" ht="15">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row>
    <row r="1470" spans="2:26" ht="15">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row>
    <row r="1471" spans="2:26" ht="15">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row>
    <row r="1472" spans="2:26" ht="15">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row>
    <row r="1473" spans="2:26" ht="15">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row>
    <row r="1474" spans="2:26" ht="15">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row>
    <row r="1475" spans="2:26" ht="15">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row>
    <row r="1476" spans="2:26" ht="15">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row>
    <row r="1477" spans="2:26" ht="15">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row>
    <row r="1478" spans="2:26" ht="15">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row>
    <row r="1479" spans="2:26" ht="15">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row>
    <row r="1480" spans="2:26" ht="15">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row>
    <row r="1481" spans="2:26" ht="15">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row>
    <row r="1482" spans="2:26" ht="15">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row>
    <row r="1483" spans="2:26" ht="15">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row>
    <row r="1484" spans="2:26" ht="15">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row>
    <row r="1485" spans="2:26" ht="15">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row>
    <row r="1486" spans="2:26" ht="15">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row>
    <row r="1487" spans="2:26" ht="15">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row>
    <row r="1488" spans="2:26" ht="15">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row>
    <row r="1489" spans="2:26" ht="15">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row>
    <row r="1490" spans="2:26" ht="15">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row>
    <row r="1491" spans="2:26" ht="15">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row>
    <row r="1492" spans="2:26" ht="15">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row>
    <row r="1493" spans="2:26" ht="15">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row>
    <row r="1494" spans="2:26" ht="15">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row>
    <row r="1495" spans="2:26" ht="15">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row>
    <row r="1496" spans="2:26" ht="15">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row>
    <row r="1497" spans="2:26" ht="15">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row>
    <row r="1498" spans="2:26" ht="15">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row>
    <row r="1499" spans="2:26" ht="15">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row>
    <row r="1500" spans="2:26" ht="15">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row>
    <row r="1501" spans="2:26" ht="15">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row>
    <row r="1502" spans="2:26" ht="15">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row>
    <row r="1503" spans="2:26" ht="15">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row>
    <row r="1504" spans="2:26" ht="15">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row>
    <row r="1505" spans="2:26" ht="15">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row>
    <row r="1506" spans="2:26" ht="15">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row>
    <row r="1507" spans="2:26" ht="15">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row>
    <row r="1508" spans="2:26" ht="15">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row>
    <row r="1509" spans="2:26" ht="15">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row>
    <row r="1510" spans="2:26" ht="15">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row>
    <row r="1511" spans="2:26" ht="15">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row>
    <row r="1512" spans="2:26" ht="15">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row>
    <row r="1513" spans="2:26" ht="15">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row>
    <row r="1514" spans="2:26" ht="15">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row>
    <row r="1515" spans="2:26" ht="15">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row>
    <row r="1516" spans="2:26" ht="15">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row>
    <row r="1517" spans="2:26" ht="15">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row>
    <row r="1518" spans="2:26" ht="15">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row>
    <row r="1519" spans="2:26" ht="15">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row>
    <row r="1520" spans="2:26" ht="15">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row>
    <row r="1521" spans="2:26" ht="15">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row>
    <row r="1522" spans="2:26" ht="15">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row>
    <row r="1523" spans="2:26" ht="15">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row>
    <row r="1524" spans="2:26" ht="15">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row>
    <row r="1525" spans="2:26" ht="15">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row>
    <row r="1526" spans="2:26" ht="15">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row>
    <row r="1527" spans="2:26" ht="15">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row>
    <row r="1528" spans="2:26" ht="15">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row>
    <row r="1529" spans="2:26" ht="15">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row>
    <row r="1530" spans="2:26" ht="15">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row>
    <row r="1531" spans="2:26" ht="15">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row>
    <row r="1532" spans="2:26" ht="15">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row>
    <row r="1533" spans="2:26" ht="15">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row>
    <row r="1534" spans="2:26" ht="15">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row>
    <row r="1535" spans="2:26" ht="15">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row>
    <row r="1536" spans="2:26" ht="15">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row>
    <row r="1537" spans="2:26" ht="15">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row>
    <row r="1538" spans="2:26" ht="15">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row>
    <row r="1539" spans="2:26" ht="15">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row>
    <row r="1540" spans="2:26" ht="15">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row>
    <row r="1541" spans="2:26" ht="15">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row>
    <row r="1542" spans="2:26" ht="15">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row>
    <row r="1543" spans="2:26" ht="15">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row>
    <row r="1544" spans="2:26" ht="15">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row>
    <row r="1545" spans="2:26" ht="15">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row>
    <row r="1546" spans="2:26" ht="15">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row>
    <row r="1547" spans="2:26" ht="15">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row>
    <row r="1548" spans="2:26" ht="15">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row>
    <row r="1549" spans="2:26" ht="15">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row>
    <row r="1550" spans="2:26" ht="15">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row>
    <row r="1551" spans="2:26" ht="15">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row>
    <row r="1552" spans="2:26" ht="15">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row>
    <row r="1553" spans="2:26" ht="15">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row>
    <row r="1554" spans="2:26" ht="15">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row>
    <row r="1555" spans="2:26" ht="15">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row>
    <row r="1556" spans="2:26" ht="15">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row>
    <row r="1557" spans="2:26" ht="15">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row>
    <row r="1558" spans="2:26" ht="15">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row>
    <row r="1559" spans="2:26" ht="15">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row>
    <row r="1560" spans="2:26" ht="15">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row>
    <row r="1561" spans="2:26" ht="15">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row>
    <row r="1562" spans="2:26" ht="15">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row>
    <row r="1563" spans="2:26" ht="15">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row>
    <row r="1564" spans="2:26" ht="15">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row>
    <row r="1565" spans="2:26" ht="15">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row>
    <row r="1566" spans="2:26" ht="15">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row>
    <row r="1567" spans="2:26" ht="15">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row>
    <row r="1568" spans="2:26" ht="15">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row>
    <row r="1569" spans="2:26" ht="15">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row>
    <row r="1570" spans="2:26" ht="15">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row>
    <row r="1571" spans="2:26" ht="15">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row>
    <row r="1572" spans="2:26" ht="15">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row>
    <row r="1573" spans="2:26" ht="15">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row>
    <row r="1574" spans="2:26" ht="15">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row>
    <row r="1575" spans="2:26" ht="15">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row>
    <row r="1576" spans="2:26" ht="15">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row>
    <row r="1577" spans="2:26" ht="15">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row>
    <row r="1578" spans="2:26" ht="15">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row>
    <row r="1579" spans="2:26" ht="15">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row>
    <row r="1580" spans="2:26" ht="15">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row>
    <row r="1581" spans="2:26" ht="15">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row>
    <row r="1582" spans="2:26" ht="15">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row>
    <row r="1583" spans="2:26" ht="15">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row>
    <row r="1584" spans="2:26" ht="15">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row>
    <row r="1585" spans="2:26" ht="15">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row>
    <row r="1586" spans="2:26" ht="15">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row>
    <row r="1587" spans="2:26" ht="15">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row>
    <row r="1588" spans="2:26" ht="15">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row>
    <row r="1589" spans="2:26" ht="15">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row>
    <row r="1590" spans="2:26" ht="15">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row>
    <row r="1591" spans="2:26" ht="15">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row>
    <row r="1592" spans="2:26" ht="15">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row>
    <row r="1593" spans="2:26" ht="15">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row>
    <row r="1594" spans="2:26" ht="15">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row>
    <row r="1595" spans="2:26" ht="15">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row>
    <row r="1596" spans="2:26" ht="15">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row>
    <row r="1597" spans="2:26" ht="15">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row>
    <row r="1598" spans="2:26" ht="15">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row>
    <row r="1599" spans="2:26" ht="15">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row>
  </sheetData>
  <mergeCells count="3">
    <mergeCell ref="B9:M9"/>
    <mergeCell ref="B30:M30"/>
    <mergeCell ref="B49:M49"/>
  </mergeCells>
  <printOptions horizontalCentered="1"/>
  <pageMargins left="1" right="1" top="1" bottom="0.5" header="0.5" footer="0.5"/>
  <pageSetup fitToHeight="0" horizontalDpi="600" verticalDpi="600" orientation="portrait" r:id="rId1"/>
</worksheet>
</file>

<file path=xl/worksheets/sheet20.xml><?xml version="1.0" encoding="utf-8"?>
<worksheet xmlns="http://schemas.openxmlformats.org/spreadsheetml/2006/main" xmlns:r="http://schemas.openxmlformats.org/officeDocument/2006/relationships">
  <dimension ref="C7:M172"/>
  <sheetViews>
    <sheetView workbookViewId="0" topLeftCell="A1">
      <selection activeCell="I45" sqref="I45"/>
    </sheetView>
  </sheetViews>
  <sheetFormatPr defaultColWidth="8.88671875" defaultRowHeight="12.75"/>
  <cols>
    <col min="3" max="3" width="9.21484375" style="0" customWidth="1"/>
    <col min="5" max="5" width="5.99609375" style="0" customWidth="1"/>
    <col min="6" max="6" width="9.99609375" style="0" bestFit="1" customWidth="1"/>
    <col min="7" max="7" width="1.33203125" style="0" customWidth="1"/>
    <col min="8" max="10" width="9.99609375" style="0" bestFit="1" customWidth="1"/>
    <col min="11" max="11" width="2.4453125" style="0" customWidth="1"/>
    <col min="12" max="12" width="9.99609375" style="0" bestFit="1" customWidth="1"/>
  </cols>
  <sheetData>
    <row r="7" spans="3:13" ht="15">
      <c r="C7" s="607" t="s">
        <v>369</v>
      </c>
      <c r="D7" s="607"/>
      <c r="E7" s="607"/>
      <c r="F7" s="607"/>
      <c r="G7" s="607"/>
      <c r="H7" s="607"/>
      <c r="I7" s="607"/>
      <c r="J7" s="607"/>
      <c r="K7" s="607"/>
      <c r="L7" s="607"/>
      <c r="M7" s="298"/>
    </row>
    <row r="9" spans="3:12" ht="15">
      <c r="C9" s="607" t="s">
        <v>749</v>
      </c>
      <c r="D9" s="607"/>
      <c r="E9" s="607"/>
      <c r="F9" s="607"/>
      <c r="G9" s="607"/>
      <c r="H9" s="607"/>
      <c r="I9" s="607"/>
      <c r="J9" s="607"/>
      <c r="K9" s="607"/>
      <c r="L9" s="607"/>
    </row>
    <row r="10" spans="3:12" ht="15">
      <c r="C10" s="599"/>
      <c r="D10" s="599"/>
      <c r="E10" s="599"/>
      <c r="F10" s="599"/>
      <c r="G10" s="599"/>
      <c r="H10" s="599"/>
      <c r="I10" s="599"/>
      <c r="J10" s="599"/>
      <c r="K10" s="599"/>
      <c r="L10" s="599"/>
    </row>
    <row r="11" spans="4:12" ht="15">
      <c r="D11" s="296"/>
      <c r="E11" s="296"/>
      <c r="F11" s="296"/>
      <c r="G11" s="296"/>
      <c r="H11" s="296"/>
      <c r="I11" s="296"/>
      <c r="J11" s="296"/>
      <c r="K11" s="296"/>
      <c r="L11" s="296"/>
    </row>
    <row r="12" spans="3:12" ht="15">
      <c r="C12" s="38"/>
      <c r="D12" s="38"/>
      <c r="E12" s="38"/>
      <c r="F12" s="38"/>
      <c r="G12" s="38"/>
      <c r="H12" s="38"/>
      <c r="I12" s="38"/>
      <c r="J12" s="38"/>
      <c r="K12" s="38"/>
      <c r="L12" s="38"/>
    </row>
    <row r="13" spans="3:12" ht="15">
      <c r="C13" s="510" t="s">
        <v>750</v>
      </c>
      <c r="D13" s="38"/>
      <c r="E13" s="38"/>
      <c r="F13" s="38"/>
      <c r="G13" s="38"/>
      <c r="H13" s="38"/>
      <c r="I13" s="38"/>
      <c r="J13" s="38"/>
      <c r="K13" s="38"/>
      <c r="L13" s="38"/>
    </row>
    <row r="14" spans="3:12" ht="8.25" customHeight="1">
      <c r="C14" s="38"/>
      <c r="D14" s="38"/>
      <c r="E14" s="38"/>
      <c r="F14" s="38"/>
      <c r="G14" s="38"/>
      <c r="H14" s="38"/>
      <c r="I14" s="38"/>
      <c r="J14" s="38"/>
      <c r="K14" s="38"/>
      <c r="L14" s="38"/>
    </row>
    <row r="15" spans="3:12" ht="15">
      <c r="C15" s="296" t="s">
        <v>570</v>
      </c>
      <c r="D15" s="38"/>
      <c r="E15" s="38"/>
      <c r="F15" s="296" t="s">
        <v>751</v>
      </c>
      <c r="G15" s="296"/>
      <c r="I15" s="296" t="s">
        <v>752</v>
      </c>
      <c r="J15" s="38"/>
      <c r="K15" s="38"/>
      <c r="L15" s="38"/>
    </row>
    <row r="16" spans="3:12" ht="15">
      <c r="C16" s="511" t="s">
        <v>515</v>
      </c>
      <c r="D16" s="38"/>
      <c r="E16" s="38"/>
      <c r="F16" s="511" t="s">
        <v>753</v>
      </c>
      <c r="G16" s="511"/>
      <c r="I16" s="511" t="s">
        <v>753</v>
      </c>
      <c r="J16" s="38"/>
      <c r="K16" s="38"/>
      <c r="L16" s="38"/>
    </row>
    <row r="17" spans="3:12" ht="9" customHeight="1">
      <c r="C17" s="38"/>
      <c r="D17" s="38"/>
      <c r="E17" s="38"/>
      <c r="F17" s="38"/>
      <c r="G17" s="38"/>
      <c r="I17" s="38"/>
      <c r="J17" s="38"/>
      <c r="K17" s="38"/>
      <c r="L17" s="38"/>
    </row>
    <row r="18" spans="3:12" ht="15">
      <c r="C18" s="300" t="s">
        <v>572</v>
      </c>
      <c r="D18" s="38"/>
      <c r="E18" s="38"/>
      <c r="F18" s="512">
        <v>8.6</v>
      </c>
      <c r="G18" s="512"/>
      <c r="I18" s="512">
        <v>9.15</v>
      </c>
      <c r="J18" s="38"/>
      <c r="K18" s="38"/>
      <c r="L18" s="38"/>
    </row>
    <row r="19" spans="3:12" ht="15">
      <c r="C19" s="300" t="s">
        <v>754</v>
      </c>
      <c r="D19" s="38"/>
      <c r="E19" s="38"/>
      <c r="F19" s="513">
        <v>12.9</v>
      </c>
      <c r="G19" s="513"/>
      <c r="I19" s="513">
        <v>13.7</v>
      </c>
      <c r="J19" s="38"/>
      <c r="K19" s="38"/>
      <c r="L19" s="38"/>
    </row>
    <row r="20" spans="3:12" ht="15">
      <c r="C20" s="296">
        <v>1</v>
      </c>
      <c r="D20" s="38"/>
      <c r="E20" s="38"/>
      <c r="F20" s="513">
        <v>21.5</v>
      </c>
      <c r="G20" s="513"/>
      <c r="I20" s="513">
        <v>22.9</v>
      </c>
      <c r="J20" s="38"/>
      <c r="K20" s="38"/>
      <c r="L20" s="38"/>
    </row>
    <row r="21" spans="3:12" ht="15">
      <c r="C21" s="300" t="s">
        <v>574</v>
      </c>
      <c r="D21" s="38"/>
      <c r="E21" s="38"/>
      <c r="F21" s="513">
        <v>43</v>
      </c>
      <c r="G21" s="513"/>
      <c r="I21" s="513">
        <v>45.8</v>
      </c>
      <c r="J21" s="38"/>
      <c r="K21" s="38"/>
      <c r="L21" s="38"/>
    </row>
    <row r="22" spans="3:12" ht="15">
      <c r="C22" s="296">
        <v>2</v>
      </c>
      <c r="D22" s="38"/>
      <c r="E22" s="38"/>
      <c r="F22" s="513">
        <v>68.8</v>
      </c>
      <c r="G22" s="513"/>
      <c r="I22" s="513">
        <v>73.2</v>
      </c>
      <c r="J22" s="38"/>
      <c r="K22" s="38"/>
      <c r="L22" s="38"/>
    </row>
    <row r="23" spans="3:12" ht="15">
      <c r="C23" s="296">
        <v>3</v>
      </c>
      <c r="D23" s="38"/>
      <c r="E23" s="38"/>
      <c r="F23" s="513">
        <v>129</v>
      </c>
      <c r="G23" s="513"/>
      <c r="I23" s="513">
        <v>137.3</v>
      </c>
      <c r="J23" s="38"/>
      <c r="K23" s="38"/>
      <c r="L23" s="38"/>
    </row>
    <row r="24" spans="3:12" ht="15">
      <c r="C24" s="296">
        <v>4</v>
      </c>
      <c r="D24" s="38"/>
      <c r="E24" s="38"/>
      <c r="F24" s="513">
        <v>215</v>
      </c>
      <c r="G24" s="513"/>
      <c r="I24" s="513">
        <v>228.8</v>
      </c>
      <c r="J24" s="38"/>
      <c r="K24" s="38"/>
      <c r="L24" s="38"/>
    </row>
    <row r="25" spans="3:12" ht="15">
      <c r="C25" s="296">
        <v>6</v>
      </c>
      <c r="D25" s="38"/>
      <c r="E25" s="38"/>
      <c r="F25" s="513">
        <v>430</v>
      </c>
      <c r="G25" s="513"/>
      <c r="I25" s="513">
        <v>457.5</v>
      </c>
      <c r="J25" s="38"/>
      <c r="K25" s="38"/>
      <c r="L25" s="38"/>
    </row>
    <row r="26" spans="3:12" ht="15">
      <c r="C26" s="296">
        <v>8</v>
      </c>
      <c r="D26" s="38"/>
      <c r="E26" s="38"/>
      <c r="F26" s="513">
        <v>688</v>
      </c>
      <c r="G26" s="513"/>
      <c r="I26" s="513">
        <v>732</v>
      </c>
      <c r="J26" s="38"/>
      <c r="K26" s="38"/>
      <c r="L26" s="38"/>
    </row>
    <row r="27" spans="3:12" ht="15">
      <c r="C27" s="296"/>
      <c r="D27" s="38"/>
      <c r="E27" s="38"/>
      <c r="F27" s="513"/>
      <c r="G27" s="513"/>
      <c r="I27" s="513"/>
      <c r="J27" s="38"/>
      <c r="K27" s="38"/>
      <c r="L27" s="38"/>
    </row>
    <row r="28" spans="3:12" ht="6" customHeight="1">
      <c r="C28" s="38"/>
      <c r="D28" s="38"/>
      <c r="E28" s="38"/>
      <c r="F28" s="513"/>
      <c r="G28" s="513"/>
      <c r="I28" s="513"/>
      <c r="J28" s="38"/>
      <c r="K28" s="38"/>
      <c r="L28" s="38"/>
    </row>
    <row r="29" spans="3:12" ht="15">
      <c r="C29" s="38"/>
      <c r="D29" s="38"/>
      <c r="E29" s="38"/>
      <c r="F29" s="608" t="s">
        <v>755</v>
      </c>
      <c r="G29" s="608"/>
      <c r="H29" s="608"/>
      <c r="I29" s="38"/>
      <c r="J29" s="608" t="s">
        <v>756</v>
      </c>
      <c r="K29" s="608"/>
      <c r="L29" s="608"/>
    </row>
    <row r="30" spans="3:12" ht="15">
      <c r="C30" s="510" t="s">
        <v>757</v>
      </c>
      <c r="D30" s="38"/>
      <c r="E30" s="38"/>
      <c r="F30" s="511" t="s">
        <v>751</v>
      </c>
      <c r="G30" s="511"/>
      <c r="H30" s="511" t="s">
        <v>752</v>
      </c>
      <c r="I30" s="38"/>
      <c r="J30" s="511" t="s">
        <v>751</v>
      </c>
      <c r="K30" s="511"/>
      <c r="L30" s="511" t="s">
        <v>752</v>
      </c>
    </row>
    <row r="31" spans="3:12" ht="7.5" customHeight="1">
      <c r="C31" s="38"/>
      <c r="D31" s="38"/>
      <c r="E31" s="38"/>
      <c r="F31" s="38"/>
      <c r="G31" s="38"/>
      <c r="H31" s="38"/>
      <c r="I31" s="38"/>
      <c r="J31" s="38"/>
      <c r="K31" s="38"/>
      <c r="L31" s="38"/>
    </row>
    <row r="32" spans="3:13" ht="15">
      <c r="C32" s="38" t="s">
        <v>383</v>
      </c>
      <c r="D32" s="38"/>
      <c r="E32" s="38"/>
      <c r="F32" s="503">
        <v>3.772</v>
      </c>
      <c r="G32" s="503"/>
      <c r="H32" s="503">
        <v>5.76133</v>
      </c>
      <c r="I32" s="38"/>
      <c r="J32" s="503">
        <v>2.829</v>
      </c>
      <c r="K32" s="503"/>
      <c r="L32" s="503">
        <v>4.321</v>
      </c>
      <c r="M32" s="504">
        <f aca="true" t="shared" si="0" ref="M32:M37">+L32/J32</f>
        <v>1.5273948391657828</v>
      </c>
    </row>
    <row r="33" spans="3:13" ht="15">
      <c r="C33" s="38" t="s">
        <v>384</v>
      </c>
      <c r="D33" s="38"/>
      <c r="E33" s="38"/>
      <c r="F33" s="503">
        <v>3.48667</v>
      </c>
      <c r="G33" s="503"/>
      <c r="H33" s="503">
        <v>5.25067</v>
      </c>
      <c r="I33" s="38"/>
      <c r="J33" s="503">
        <v>2.615</v>
      </c>
      <c r="K33" s="503"/>
      <c r="L33" s="503">
        <v>3.938</v>
      </c>
      <c r="M33" s="504">
        <f t="shared" si="0"/>
        <v>1.505927342256214</v>
      </c>
    </row>
    <row r="34" spans="3:13" ht="15">
      <c r="C34" s="38" t="s">
        <v>385</v>
      </c>
      <c r="D34" s="38"/>
      <c r="E34" s="38"/>
      <c r="F34" s="503">
        <v>2.81867</v>
      </c>
      <c r="G34" s="503"/>
      <c r="H34" s="503">
        <v>4.26667</v>
      </c>
      <c r="I34" s="38"/>
      <c r="J34" s="503">
        <v>2.114</v>
      </c>
      <c r="K34" s="503"/>
      <c r="L34" s="503">
        <v>3.2</v>
      </c>
      <c r="M34" s="504">
        <f t="shared" si="0"/>
        <v>1.513718070009461</v>
      </c>
    </row>
    <row r="35" spans="3:13" ht="15">
      <c r="C35" s="38" t="s">
        <v>387</v>
      </c>
      <c r="D35" s="38"/>
      <c r="E35" s="38"/>
      <c r="F35" s="503">
        <v>3.29467</v>
      </c>
      <c r="G35" s="503"/>
      <c r="H35" s="503">
        <v>4.96667</v>
      </c>
      <c r="I35" s="38"/>
      <c r="J35" s="503">
        <v>2.471</v>
      </c>
      <c r="K35" s="503"/>
      <c r="L35" s="503">
        <v>3.725</v>
      </c>
      <c r="M35" s="504">
        <f t="shared" si="0"/>
        <v>1.5074868474301901</v>
      </c>
    </row>
    <row r="36" spans="3:13" ht="15">
      <c r="C36" s="38" t="s">
        <v>508</v>
      </c>
      <c r="D36" s="38"/>
      <c r="E36" s="38"/>
      <c r="F36" s="503">
        <v>3.27067</v>
      </c>
      <c r="G36" s="503"/>
      <c r="H36" s="503">
        <v>4.92</v>
      </c>
      <c r="I36" s="38"/>
      <c r="J36" s="503">
        <v>2.453</v>
      </c>
      <c r="K36" s="503"/>
      <c r="L36" s="503">
        <v>3.69</v>
      </c>
      <c r="M36" s="504">
        <f t="shared" si="0"/>
        <v>1.5042804728903385</v>
      </c>
    </row>
    <row r="37" spans="3:13" ht="15">
      <c r="C37" s="38" t="s">
        <v>758</v>
      </c>
      <c r="D37" s="38"/>
      <c r="E37" s="38"/>
      <c r="F37" s="503">
        <v>0.943</v>
      </c>
      <c r="G37" s="503"/>
      <c r="H37" s="503">
        <v>1.44033</v>
      </c>
      <c r="I37" s="38"/>
      <c r="J37" s="503">
        <v>0.70725</v>
      </c>
      <c r="K37" s="503"/>
      <c r="L37" s="503">
        <v>1.08025</v>
      </c>
      <c r="M37" s="504">
        <f t="shared" si="0"/>
        <v>1.5273948391657828</v>
      </c>
    </row>
    <row r="38" spans="3:12" ht="15">
      <c r="C38" s="38"/>
      <c r="D38" s="38"/>
      <c r="E38" s="38"/>
      <c r="F38" s="505"/>
      <c r="G38" s="506"/>
      <c r="H38" s="506"/>
      <c r="I38" s="38"/>
      <c r="J38" s="506"/>
      <c r="K38" s="506"/>
      <c r="L38" s="506"/>
    </row>
    <row r="39" spans="3:12" ht="10.5" customHeight="1">
      <c r="C39" s="38"/>
      <c r="D39" s="38"/>
      <c r="E39" s="38"/>
      <c r="F39" s="38"/>
      <c r="G39" s="38"/>
      <c r="H39" s="38"/>
      <c r="I39" s="38"/>
      <c r="J39" s="506"/>
      <c r="K39" s="506"/>
      <c r="L39" s="506"/>
    </row>
    <row r="40" spans="3:12" ht="15">
      <c r="C40" s="510" t="s">
        <v>759</v>
      </c>
      <c r="D40" s="38"/>
      <c r="E40" s="38"/>
      <c r="F40" s="38"/>
      <c r="G40" s="38"/>
      <c r="H40" s="38"/>
      <c r="I40" s="38"/>
      <c r="J40" s="38"/>
      <c r="K40" s="38"/>
      <c r="L40" s="38"/>
    </row>
    <row r="41" spans="3:12" ht="15">
      <c r="C41" s="510"/>
      <c r="D41" s="38"/>
      <c r="E41" s="38"/>
      <c r="F41" s="296" t="s">
        <v>751</v>
      </c>
      <c r="G41" s="38"/>
      <c r="H41" s="38"/>
      <c r="I41" s="296" t="s">
        <v>752</v>
      </c>
      <c r="J41" s="38"/>
      <c r="K41" s="38"/>
      <c r="L41" s="38"/>
    </row>
    <row r="42" spans="3:12" ht="15">
      <c r="C42" s="296" t="s">
        <v>315</v>
      </c>
      <c r="D42" s="38"/>
      <c r="E42" s="38"/>
      <c r="F42" s="296" t="s">
        <v>753</v>
      </c>
      <c r="G42" s="296"/>
      <c r="I42" s="296" t="s">
        <v>753</v>
      </c>
      <c r="J42" s="38"/>
      <c r="K42" s="38"/>
      <c r="L42" s="38"/>
    </row>
    <row r="43" spans="3:12" ht="15">
      <c r="C43" s="511" t="s">
        <v>760</v>
      </c>
      <c r="D43" s="38"/>
      <c r="E43" s="38"/>
      <c r="F43" s="511" t="s">
        <v>761</v>
      </c>
      <c r="G43" s="511"/>
      <c r="I43" s="511" t="s">
        <v>761</v>
      </c>
      <c r="J43" s="38"/>
      <c r="K43" s="38"/>
      <c r="L43" s="38"/>
    </row>
    <row r="44" spans="3:12" ht="9" customHeight="1">
      <c r="C44" s="38"/>
      <c r="D44" s="38"/>
      <c r="E44" s="38"/>
      <c r="F44" s="38"/>
      <c r="G44" s="38"/>
      <c r="H44" s="38"/>
      <c r="I44" s="38"/>
      <c r="J44" s="38"/>
      <c r="K44" s="38"/>
      <c r="L44" s="38"/>
    </row>
    <row r="45" spans="3:12" ht="15">
      <c r="C45" s="296">
        <v>2</v>
      </c>
      <c r="D45" s="38"/>
      <c r="E45" s="38"/>
      <c r="F45" s="538">
        <v>72.91</v>
      </c>
      <c r="G45" s="512"/>
      <c r="H45" s="512"/>
      <c r="I45" s="512">
        <v>105</v>
      </c>
      <c r="J45" s="38"/>
      <c r="K45" s="38"/>
      <c r="L45" s="38"/>
    </row>
    <row r="46" spans="3:12" ht="15">
      <c r="C46" s="296">
        <v>4</v>
      </c>
      <c r="D46" s="38"/>
      <c r="E46" s="38"/>
      <c r="F46" s="538">
        <v>293.43</v>
      </c>
      <c r="G46" s="512"/>
      <c r="H46" s="512"/>
      <c r="I46" s="512">
        <v>422.58</v>
      </c>
      <c r="J46" s="38"/>
      <c r="K46" s="38"/>
      <c r="L46" s="38"/>
    </row>
    <row r="47" spans="3:12" ht="15">
      <c r="C47" s="296">
        <v>6</v>
      </c>
      <c r="D47" s="38"/>
      <c r="E47" s="38"/>
      <c r="F47" s="538">
        <v>660.03</v>
      </c>
      <c r="G47" s="512"/>
      <c r="H47" s="512"/>
      <c r="I47" s="512">
        <v>950.53</v>
      </c>
      <c r="J47" s="38"/>
      <c r="K47" s="38"/>
      <c r="L47" s="38"/>
    </row>
    <row r="48" spans="3:12" ht="15">
      <c r="C48" s="296">
        <v>8</v>
      </c>
      <c r="D48" s="38"/>
      <c r="E48" s="38"/>
      <c r="F48" s="538">
        <v>1173.45</v>
      </c>
      <c r="G48" s="512"/>
      <c r="H48" s="512"/>
      <c r="I48" s="512">
        <v>1689.92</v>
      </c>
      <c r="J48" s="38"/>
      <c r="K48" s="38"/>
      <c r="L48" s="38"/>
    </row>
    <row r="49" spans="3:12" ht="15">
      <c r="C49" s="296">
        <v>10</v>
      </c>
      <c r="D49" s="38"/>
      <c r="E49" s="38"/>
      <c r="F49" s="538">
        <v>1833.98</v>
      </c>
      <c r="G49" s="512"/>
      <c r="H49" s="512"/>
      <c r="I49" s="512">
        <v>2641.17</v>
      </c>
      <c r="J49" s="38"/>
      <c r="K49" s="38"/>
      <c r="L49" s="38"/>
    </row>
    <row r="50" spans="3:12" ht="15">
      <c r="C50" s="296">
        <v>12</v>
      </c>
      <c r="D50" s="38"/>
      <c r="E50" s="38"/>
      <c r="F50" s="538">
        <v>2641.62</v>
      </c>
      <c r="G50" s="512"/>
      <c r="H50" s="512"/>
      <c r="I50" s="512">
        <v>3804.28</v>
      </c>
      <c r="J50" s="38"/>
      <c r="K50" s="38"/>
      <c r="L50" s="38"/>
    </row>
    <row r="51" spans="3:12" ht="15">
      <c r="C51" s="296">
        <v>14</v>
      </c>
      <c r="D51" s="38"/>
      <c r="E51" s="38"/>
      <c r="F51" s="538">
        <v>3596.08</v>
      </c>
      <c r="G51" s="512"/>
      <c r="H51" s="512"/>
      <c r="I51" s="512">
        <v>5178.83</v>
      </c>
      <c r="J51" s="38"/>
      <c r="K51" s="38"/>
      <c r="L51" s="38"/>
    </row>
    <row r="52" spans="3:12" ht="15">
      <c r="C52" s="296">
        <v>16</v>
      </c>
      <c r="D52" s="38"/>
      <c r="E52" s="38"/>
      <c r="F52" s="538">
        <v>4695.89</v>
      </c>
      <c r="G52" s="512"/>
      <c r="H52" s="512"/>
      <c r="I52" s="512">
        <v>6762.7</v>
      </c>
      <c r="J52" s="38"/>
      <c r="K52" s="38"/>
      <c r="L52" s="38"/>
    </row>
    <row r="53" spans="3:12" ht="15">
      <c r="C53" s="507" t="s">
        <v>762</v>
      </c>
      <c r="D53" s="38"/>
      <c r="E53" s="38"/>
      <c r="F53" s="508">
        <v>652.13</v>
      </c>
      <c r="G53" s="38"/>
      <c r="H53" s="38"/>
      <c r="I53" s="508">
        <v>939.15</v>
      </c>
      <c r="J53" s="38"/>
      <c r="K53" s="38"/>
      <c r="L53" s="38"/>
    </row>
    <row r="54" spans="3:12" ht="11.25" customHeight="1">
      <c r="C54" s="38"/>
      <c r="D54" s="38"/>
      <c r="E54" s="38"/>
      <c r="F54" s="38"/>
      <c r="G54" s="38"/>
      <c r="H54" s="38"/>
      <c r="I54" s="38"/>
      <c r="J54" s="38"/>
      <c r="K54" s="38"/>
      <c r="L54" s="38"/>
    </row>
    <row r="55" spans="3:12" ht="15">
      <c r="C55" s="38" t="s">
        <v>763</v>
      </c>
      <c r="D55" s="38"/>
      <c r="E55" s="38"/>
      <c r="F55" s="508">
        <v>371.87</v>
      </c>
      <c r="G55" s="38"/>
      <c r="H55" s="38"/>
      <c r="I55" s="508">
        <v>490</v>
      </c>
      <c r="J55" s="38"/>
      <c r="K55" s="38"/>
      <c r="L55" s="38"/>
    </row>
    <row r="56" spans="3:12" ht="15">
      <c r="C56" s="607"/>
      <c r="D56" s="607"/>
      <c r="E56" s="607"/>
      <c r="F56" s="607"/>
      <c r="G56" s="607"/>
      <c r="H56" s="607"/>
      <c r="I56" s="607"/>
      <c r="J56" s="607"/>
      <c r="K56" s="607"/>
      <c r="L56" s="607"/>
    </row>
    <row r="58" spans="3:12" ht="15">
      <c r="C58" s="607"/>
      <c r="D58" s="607"/>
      <c r="E58" s="607"/>
      <c r="F58" s="607"/>
      <c r="G58" s="607"/>
      <c r="H58" s="607"/>
      <c r="I58" s="607"/>
      <c r="J58" s="607"/>
      <c r="K58" s="607"/>
      <c r="L58" s="607"/>
    </row>
    <row r="59" spans="3:12" ht="15">
      <c r="C59" s="599"/>
      <c r="D59" s="599"/>
      <c r="E59" s="599"/>
      <c r="F59" s="599"/>
      <c r="G59" s="599"/>
      <c r="H59" s="599"/>
      <c r="I59" s="599"/>
      <c r="J59" s="599"/>
      <c r="K59" s="599"/>
      <c r="L59" s="599"/>
    </row>
    <row r="60" spans="3:12" ht="15">
      <c r="C60" s="296"/>
      <c r="D60" s="296"/>
      <c r="E60" s="296"/>
      <c r="F60" s="296"/>
      <c r="G60" s="296"/>
      <c r="H60" s="296"/>
      <c r="I60" s="296"/>
      <c r="J60" s="296"/>
      <c r="K60" s="296"/>
      <c r="L60" s="296"/>
    </row>
    <row r="61" spans="3:12" ht="15">
      <c r="C61" s="38"/>
      <c r="D61" s="38"/>
      <c r="E61" s="38"/>
      <c r="F61" s="38"/>
      <c r="G61" s="38"/>
      <c r="H61" s="38"/>
      <c r="I61" s="38"/>
      <c r="J61" s="38"/>
      <c r="K61" s="38"/>
      <c r="L61" s="38"/>
    </row>
    <row r="62" spans="3:12" ht="15">
      <c r="C62" s="510"/>
      <c r="D62" s="38"/>
      <c r="E62" s="38"/>
      <c r="F62" s="38"/>
      <c r="G62" s="38"/>
      <c r="H62" s="38"/>
      <c r="I62" s="38"/>
      <c r="J62" s="38"/>
      <c r="K62" s="38"/>
      <c r="L62" s="38"/>
    </row>
    <row r="63" spans="3:12" ht="15">
      <c r="C63" s="38"/>
      <c r="D63" s="38"/>
      <c r="E63" s="38"/>
      <c r="F63" s="296"/>
      <c r="G63" s="38"/>
      <c r="H63" s="38"/>
      <c r="I63" s="38"/>
      <c r="J63" s="38"/>
      <c r="K63" s="38"/>
      <c r="L63" s="38"/>
    </row>
    <row r="64" spans="3:12" ht="15">
      <c r="C64" s="296"/>
      <c r="D64" s="38"/>
      <c r="E64" s="38"/>
      <c r="F64" s="296"/>
      <c r="G64" s="296"/>
      <c r="I64" s="296"/>
      <c r="J64" s="38"/>
      <c r="K64" s="38"/>
      <c r="L64" s="38"/>
    </row>
    <row r="65" spans="3:12" ht="15">
      <c r="C65" s="511"/>
      <c r="D65" s="38"/>
      <c r="E65" s="38"/>
      <c r="F65" s="511"/>
      <c r="G65" s="511"/>
      <c r="I65" s="511"/>
      <c r="J65" s="38"/>
      <c r="K65" s="38"/>
      <c r="L65" s="38"/>
    </row>
    <row r="66" spans="3:12" ht="15">
      <c r="C66" s="38"/>
      <c r="D66" s="38"/>
      <c r="E66" s="38"/>
      <c r="F66" s="38"/>
      <c r="G66" s="38"/>
      <c r="I66" s="38"/>
      <c r="J66" s="38"/>
      <c r="K66" s="38"/>
      <c r="L66" s="38"/>
    </row>
    <row r="67" spans="3:12" ht="15">
      <c r="C67" s="300"/>
      <c r="D67" s="38"/>
      <c r="E67" s="38"/>
      <c r="F67" s="512"/>
      <c r="G67" s="512"/>
      <c r="I67" s="512"/>
      <c r="J67" s="38"/>
      <c r="K67" s="38"/>
      <c r="L67" s="38"/>
    </row>
    <row r="68" spans="3:12" ht="15">
      <c r="C68" s="300"/>
      <c r="D68" s="38"/>
      <c r="E68" s="38"/>
      <c r="F68" s="513"/>
      <c r="G68" s="513"/>
      <c r="I68" s="513"/>
      <c r="J68" s="38"/>
      <c r="K68" s="38"/>
      <c r="L68" s="38"/>
    </row>
    <row r="69" spans="3:12" ht="15">
      <c r="C69" s="296"/>
      <c r="D69" s="38"/>
      <c r="E69" s="38"/>
      <c r="F69" s="513"/>
      <c r="G69" s="513"/>
      <c r="I69" s="513"/>
      <c r="J69" s="38"/>
      <c r="K69" s="38"/>
      <c r="L69" s="38"/>
    </row>
    <row r="70" spans="3:12" ht="15">
      <c r="C70" s="300"/>
      <c r="D70" s="38"/>
      <c r="E70" s="38"/>
      <c r="F70" s="513"/>
      <c r="G70" s="513"/>
      <c r="I70" s="513"/>
      <c r="J70" s="38"/>
      <c r="K70" s="38"/>
      <c r="L70" s="38"/>
    </row>
    <row r="71" spans="3:12" ht="15">
      <c r="C71" s="296"/>
      <c r="D71" s="38"/>
      <c r="E71" s="38"/>
      <c r="F71" s="513"/>
      <c r="G71" s="513"/>
      <c r="I71" s="513"/>
      <c r="J71" s="38"/>
      <c r="K71" s="38"/>
      <c r="L71" s="38"/>
    </row>
    <row r="72" spans="3:12" ht="15">
      <c r="C72" s="296"/>
      <c r="D72" s="38"/>
      <c r="E72" s="38"/>
      <c r="F72" s="513"/>
      <c r="G72" s="513"/>
      <c r="I72" s="513"/>
      <c r="J72" s="38"/>
      <c r="K72" s="38"/>
      <c r="L72" s="38"/>
    </row>
    <row r="73" spans="3:12" ht="15">
      <c r="C73" s="296"/>
      <c r="D73" s="38"/>
      <c r="E73" s="38"/>
      <c r="F73" s="513"/>
      <c r="G73" s="513"/>
      <c r="I73" s="513"/>
      <c r="J73" s="38"/>
      <c r="K73" s="38"/>
      <c r="L73" s="38"/>
    </row>
    <row r="74" spans="3:12" ht="15">
      <c r="C74" s="296"/>
      <c r="D74" s="38"/>
      <c r="E74" s="38"/>
      <c r="F74" s="513"/>
      <c r="G74" s="513"/>
      <c r="I74" s="513"/>
      <c r="J74" s="38"/>
      <c r="K74" s="38"/>
      <c r="L74" s="38"/>
    </row>
    <row r="75" spans="3:12" ht="15">
      <c r="C75" s="296"/>
      <c r="D75" s="38"/>
      <c r="E75" s="38"/>
      <c r="F75" s="513"/>
      <c r="G75" s="513"/>
      <c r="I75" s="513"/>
      <c r="J75" s="38"/>
      <c r="K75" s="38"/>
      <c r="L75" s="38"/>
    </row>
    <row r="76" spans="3:12" ht="15">
      <c r="C76" s="296"/>
      <c r="D76" s="38"/>
      <c r="E76" s="38"/>
      <c r="F76" s="513"/>
      <c r="G76" s="513"/>
      <c r="I76" s="513"/>
      <c r="J76" s="38"/>
      <c r="K76" s="38"/>
      <c r="L76" s="38"/>
    </row>
    <row r="77" spans="3:12" ht="15">
      <c r="C77" s="38"/>
      <c r="D77" s="38"/>
      <c r="E77" s="38"/>
      <c r="F77" s="513"/>
      <c r="G77" s="513"/>
      <c r="I77" s="513"/>
      <c r="J77" s="38"/>
      <c r="K77" s="38"/>
      <c r="L77" s="38"/>
    </row>
    <row r="78" spans="3:12" ht="15">
      <c r="C78" s="38"/>
      <c r="D78" s="38"/>
      <c r="E78" s="38"/>
      <c r="F78" s="608"/>
      <c r="G78" s="608"/>
      <c r="H78" s="608"/>
      <c r="I78" s="38"/>
      <c r="J78" s="608"/>
      <c r="K78" s="608"/>
      <c r="L78" s="608"/>
    </row>
    <row r="79" spans="3:12" ht="15">
      <c r="C79" s="38"/>
      <c r="D79" s="38"/>
      <c r="E79" s="38"/>
      <c r="F79" s="509"/>
      <c r="G79" s="509"/>
      <c r="H79" s="509"/>
      <c r="I79" s="38"/>
      <c r="J79" s="509"/>
      <c r="K79" s="509"/>
      <c r="L79" s="509"/>
    </row>
    <row r="80" spans="3:12" ht="15">
      <c r="C80" s="510"/>
      <c r="D80" s="38"/>
      <c r="E80" s="38"/>
      <c r="F80" s="511"/>
      <c r="G80" s="511"/>
      <c r="H80" s="511"/>
      <c r="I80" s="38"/>
      <c r="J80" s="511"/>
      <c r="K80" s="511"/>
      <c r="L80" s="511"/>
    </row>
    <row r="81" spans="3:12" ht="15">
      <c r="C81" s="38"/>
      <c r="D81" s="38"/>
      <c r="E81" s="38"/>
      <c r="F81" s="38"/>
      <c r="G81" s="38"/>
      <c r="H81" s="38"/>
      <c r="I81" s="38"/>
      <c r="J81" s="38"/>
      <c r="K81" s="38"/>
      <c r="L81" s="38"/>
    </row>
    <row r="82" spans="3:12" ht="15">
      <c r="C82" s="38"/>
      <c r="D82" s="38"/>
      <c r="E82" s="38"/>
      <c r="F82" s="296"/>
      <c r="G82" s="503"/>
      <c r="H82" s="296"/>
      <c r="I82" s="38"/>
      <c r="J82" s="514"/>
      <c r="K82" s="503"/>
      <c r="L82" s="503"/>
    </row>
    <row r="83" spans="3:12" ht="15">
      <c r="C83" s="38"/>
      <c r="D83" s="38"/>
      <c r="E83" s="38"/>
      <c r="F83" s="515"/>
      <c r="G83" s="506"/>
      <c r="H83" s="516"/>
      <c r="I83" s="38"/>
      <c r="J83" s="517"/>
      <c r="K83" s="506"/>
      <c r="L83" s="506"/>
    </row>
    <row r="84" spans="3:12" ht="15">
      <c r="C84" s="38"/>
      <c r="D84" s="38"/>
      <c r="E84" s="38"/>
      <c r="F84" s="513"/>
      <c r="G84" s="506"/>
      <c r="H84" s="518"/>
      <c r="I84" s="38"/>
      <c r="J84" s="517"/>
      <c r="K84" s="506"/>
      <c r="L84" s="506"/>
    </row>
    <row r="85" spans="3:12" ht="15">
      <c r="C85" s="38"/>
      <c r="D85" s="38"/>
      <c r="E85" s="38"/>
      <c r="F85" s="513"/>
      <c r="G85" s="506"/>
      <c r="H85" s="518"/>
      <c r="I85" s="38"/>
      <c r="J85" s="517"/>
      <c r="K85" s="506"/>
      <c r="L85" s="506"/>
    </row>
    <row r="86" spans="3:12" ht="15">
      <c r="C86" s="38"/>
      <c r="D86" s="38"/>
      <c r="E86" s="38"/>
      <c r="F86" s="513"/>
      <c r="G86" s="506"/>
      <c r="H86" s="518"/>
      <c r="I86" s="38"/>
      <c r="J86" s="517"/>
      <c r="K86" s="506"/>
      <c r="L86" s="506"/>
    </row>
    <row r="87" spans="3:12" ht="15">
      <c r="C87" s="38"/>
      <c r="D87" s="38"/>
      <c r="E87" s="38"/>
      <c r="F87" s="506"/>
      <c r="G87" s="506"/>
      <c r="H87" s="518"/>
      <c r="I87" s="38"/>
      <c r="J87" s="517"/>
      <c r="K87" s="506"/>
      <c r="L87" s="506"/>
    </row>
    <row r="88" spans="3:12" ht="15">
      <c r="C88" s="38"/>
      <c r="D88" s="38"/>
      <c r="E88" s="38"/>
      <c r="F88" s="506"/>
      <c r="G88" s="506"/>
      <c r="H88" s="518"/>
      <c r="I88" s="38"/>
      <c r="J88" s="506"/>
      <c r="K88" s="506"/>
      <c r="L88" s="506"/>
    </row>
    <row r="89" spans="3:12" ht="15">
      <c r="C89" s="38"/>
      <c r="D89" s="38"/>
      <c r="E89" s="38"/>
      <c r="F89" s="38"/>
      <c r="G89" s="38"/>
      <c r="H89" s="38"/>
      <c r="I89" s="38"/>
      <c r="J89" s="506"/>
      <c r="K89" s="506"/>
      <c r="L89" s="506"/>
    </row>
    <row r="90" spans="3:12" ht="15">
      <c r="C90" s="510"/>
      <c r="D90" s="38"/>
      <c r="E90" s="38"/>
      <c r="F90" s="38"/>
      <c r="G90" s="38"/>
      <c r="H90" s="38"/>
      <c r="I90" s="38"/>
      <c r="J90" s="38"/>
      <c r="K90" s="38"/>
      <c r="L90" s="38"/>
    </row>
    <row r="91" spans="3:12" ht="15">
      <c r="C91" s="607"/>
      <c r="D91" s="607"/>
      <c r="E91" s="607"/>
      <c r="F91" s="607"/>
      <c r="G91" s="607"/>
      <c r="H91" s="607"/>
      <c r="I91" s="607"/>
      <c r="J91" s="607"/>
      <c r="K91" s="607"/>
      <c r="L91" s="607"/>
    </row>
    <row r="93" spans="3:12" ht="15">
      <c r="C93" s="607"/>
      <c r="D93" s="607"/>
      <c r="E93" s="607"/>
      <c r="F93" s="607"/>
      <c r="G93" s="607"/>
      <c r="H93" s="607"/>
      <c r="I93" s="607"/>
      <c r="J93" s="607"/>
      <c r="K93" s="607"/>
      <c r="L93" s="607"/>
    </row>
    <row r="94" spans="3:12" ht="15">
      <c r="C94" s="599"/>
      <c r="D94" s="599"/>
      <c r="E94" s="599"/>
      <c r="F94" s="599"/>
      <c r="G94" s="599"/>
      <c r="H94" s="599"/>
      <c r="I94" s="599"/>
      <c r="J94" s="599"/>
      <c r="K94" s="599"/>
      <c r="L94" s="599"/>
    </row>
    <row r="95" spans="3:12" ht="15">
      <c r="C95" s="296"/>
      <c r="D95" s="296"/>
      <c r="E95" s="296"/>
      <c r="F95" s="296"/>
      <c r="G95" s="296"/>
      <c r="H95" s="296"/>
      <c r="I95" s="296"/>
      <c r="J95" s="296"/>
      <c r="K95" s="296"/>
      <c r="L95" s="296"/>
    </row>
    <row r="96" spans="3:12" ht="15">
      <c r="C96" s="38"/>
      <c r="D96" s="38"/>
      <c r="E96" s="38"/>
      <c r="F96" s="38"/>
      <c r="G96" s="38"/>
      <c r="H96" s="38"/>
      <c r="I96" s="38"/>
      <c r="J96" s="38"/>
      <c r="K96" s="38"/>
      <c r="L96" s="38"/>
    </row>
    <row r="97" spans="3:12" ht="15">
      <c r="C97" s="510"/>
      <c r="D97" s="38"/>
      <c r="E97" s="38"/>
      <c r="F97" s="38"/>
      <c r="G97" s="38"/>
      <c r="H97" s="38"/>
      <c r="I97" s="38"/>
      <c r="J97" s="38"/>
      <c r="K97" s="38"/>
      <c r="L97" s="38"/>
    </row>
    <row r="98" spans="3:12" ht="15">
      <c r="C98" s="38"/>
      <c r="D98" s="38"/>
      <c r="E98" s="38"/>
      <c r="F98" s="296"/>
      <c r="G98" s="38"/>
      <c r="H98" s="38"/>
      <c r="I98" s="38"/>
      <c r="J98" s="38"/>
      <c r="K98" s="38"/>
      <c r="L98" s="38"/>
    </row>
    <row r="99" spans="3:12" ht="15">
      <c r="C99" s="296"/>
      <c r="D99" s="38"/>
      <c r="E99" s="38"/>
      <c r="F99" s="296"/>
      <c r="G99" s="296"/>
      <c r="I99" s="296"/>
      <c r="J99" s="38"/>
      <c r="K99" s="38"/>
      <c r="L99" s="38"/>
    </row>
    <row r="100" spans="3:12" ht="15">
      <c r="C100" s="511"/>
      <c r="D100" s="38"/>
      <c r="E100" s="38"/>
      <c r="F100" s="511"/>
      <c r="G100" s="511"/>
      <c r="I100" s="511"/>
      <c r="J100" s="38"/>
      <c r="K100" s="38"/>
      <c r="L100" s="38"/>
    </row>
    <row r="101" spans="3:12" ht="15">
      <c r="C101" s="38"/>
      <c r="D101" s="38"/>
      <c r="E101" s="38"/>
      <c r="F101" s="38"/>
      <c r="G101" s="38"/>
      <c r="I101" s="38"/>
      <c r="J101" s="38"/>
      <c r="K101" s="38"/>
      <c r="L101" s="38"/>
    </row>
    <row r="102" spans="3:12" ht="15">
      <c r="C102" s="300"/>
      <c r="D102" s="38"/>
      <c r="E102" s="38"/>
      <c r="F102" s="512"/>
      <c r="G102" s="512"/>
      <c r="I102" s="512"/>
      <c r="J102" s="38"/>
      <c r="K102" s="38"/>
      <c r="L102" s="38"/>
    </row>
    <row r="103" spans="3:12" ht="15">
      <c r="C103" s="300"/>
      <c r="D103" s="38"/>
      <c r="E103" s="38"/>
      <c r="F103" s="513"/>
      <c r="G103" s="513"/>
      <c r="I103" s="513"/>
      <c r="J103" s="38"/>
      <c r="K103" s="38"/>
      <c r="L103" s="38"/>
    </row>
    <row r="104" spans="3:12" ht="15">
      <c r="C104" s="296"/>
      <c r="D104" s="38"/>
      <c r="E104" s="38"/>
      <c r="F104" s="513"/>
      <c r="G104" s="513"/>
      <c r="I104" s="513"/>
      <c r="J104" s="38"/>
      <c r="K104" s="38"/>
      <c r="L104" s="38"/>
    </row>
    <row r="105" spans="3:12" ht="15">
      <c r="C105" s="300"/>
      <c r="D105" s="38"/>
      <c r="E105" s="38"/>
      <c r="F105" s="513"/>
      <c r="G105" s="513"/>
      <c r="I105" s="513"/>
      <c r="J105" s="38"/>
      <c r="K105" s="38"/>
      <c r="L105" s="38"/>
    </row>
    <row r="106" spans="3:12" ht="15">
      <c r="C106" s="296"/>
      <c r="D106" s="38"/>
      <c r="E106" s="38"/>
      <c r="F106" s="513"/>
      <c r="G106" s="513"/>
      <c r="I106" s="513"/>
      <c r="J106" s="38"/>
      <c r="K106" s="38"/>
      <c r="L106" s="38"/>
    </row>
    <row r="107" spans="3:12" ht="15">
      <c r="C107" s="296"/>
      <c r="D107" s="38"/>
      <c r="E107" s="38"/>
      <c r="F107" s="513"/>
      <c r="G107" s="513"/>
      <c r="I107" s="513"/>
      <c r="J107" s="38"/>
      <c r="K107" s="38"/>
      <c r="L107" s="38"/>
    </row>
    <row r="108" spans="3:12" ht="15">
      <c r="C108" s="296"/>
      <c r="D108" s="38"/>
      <c r="E108" s="38"/>
      <c r="F108" s="513"/>
      <c r="G108" s="513"/>
      <c r="I108" s="513"/>
      <c r="J108" s="38"/>
      <c r="K108" s="38"/>
      <c r="L108" s="38"/>
    </row>
    <row r="109" spans="3:12" ht="15">
      <c r="C109" s="296"/>
      <c r="D109" s="38"/>
      <c r="E109" s="38"/>
      <c r="F109" s="513"/>
      <c r="G109" s="513"/>
      <c r="I109" s="513"/>
      <c r="J109" s="38"/>
      <c r="K109" s="38"/>
      <c r="L109" s="38"/>
    </row>
    <row r="110" spans="3:12" ht="15">
      <c r="C110" s="296"/>
      <c r="D110" s="38"/>
      <c r="E110" s="38"/>
      <c r="F110" s="513"/>
      <c r="G110" s="513"/>
      <c r="I110" s="513"/>
      <c r="J110" s="38"/>
      <c r="K110" s="38"/>
      <c r="L110" s="38"/>
    </row>
    <row r="111" spans="3:12" ht="15">
      <c r="C111" s="296"/>
      <c r="D111" s="38"/>
      <c r="E111" s="38"/>
      <c r="F111" s="513"/>
      <c r="G111" s="513"/>
      <c r="I111" s="513"/>
      <c r="J111" s="38"/>
      <c r="K111" s="38"/>
      <c r="L111" s="38"/>
    </row>
    <row r="112" spans="3:12" ht="15">
      <c r="C112" s="38"/>
      <c r="D112" s="38"/>
      <c r="E112" s="38"/>
      <c r="F112" s="513"/>
      <c r="G112" s="513"/>
      <c r="I112" s="513"/>
      <c r="J112" s="38"/>
      <c r="K112" s="38"/>
      <c r="L112" s="38"/>
    </row>
    <row r="113" spans="3:12" ht="15">
      <c r="C113" s="38"/>
      <c r="D113" s="38"/>
      <c r="E113" s="38"/>
      <c r="F113" s="608"/>
      <c r="G113" s="608"/>
      <c r="H113" s="608"/>
      <c r="I113" s="38"/>
      <c r="J113" s="608"/>
      <c r="K113" s="608"/>
      <c r="L113" s="608"/>
    </row>
    <row r="114" spans="3:12" ht="15">
      <c r="C114" s="38"/>
      <c r="D114" s="38"/>
      <c r="E114" s="38"/>
      <c r="F114" s="509"/>
      <c r="G114" s="509"/>
      <c r="H114" s="509"/>
      <c r="I114" s="38"/>
      <c r="J114" s="509"/>
      <c r="K114" s="509"/>
      <c r="L114" s="509"/>
    </row>
    <row r="115" spans="3:12" ht="15">
      <c r="C115" s="510"/>
      <c r="D115" s="38"/>
      <c r="E115" s="38"/>
      <c r="F115" s="511"/>
      <c r="G115" s="511"/>
      <c r="H115" s="511"/>
      <c r="I115" s="38"/>
      <c r="J115" s="511"/>
      <c r="K115" s="511"/>
      <c r="L115" s="511"/>
    </row>
    <row r="116" spans="3:12" ht="15">
      <c r="C116" s="38"/>
      <c r="D116" s="38"/>
      <c r="E116" s="38"/>
      <c r="F116" s="38"/>
      <c r="G116" s="38"/>
      <c r="H116" s="38"/>
      <c r="I116" s="38"/>
      <c r="J116" s="38"/>
      <c r="K116" s="38"/>
      <c r="L116" s="38"/>
    </row>
    <row r="117" spans="3:12" ht="15">
      <c r="C117" s="38"/>
      <c r="D117" s="38"/>
      <c r="E117" s="38"/>
      <c r="F117" s="296"/>
      <c r="G117" s="503"/>
      <c r="H117" s="296"/>
      <c r="I117" s="38"/>
      <c r="J117" s="514"/>
      <c r="K117" s="503"/>
      <c r="L117" s="503"/>
    </row>
    <row r="118" spans="3:12" ht="15">
      <c r="C118" s="38"/>
      <c r="D118" s="38"/>
      <c r="E118" s="38"/>
      <c r="F118" s="515"/>
      <c r="G118" s="506"/>
      <c r="H118" s="519"/>
      <c r="I118" s="38"/>
      <c r="J118" s="517"/>
      <c r="K118" s="506"/>
      <c r="L118" s="506"/>
    </row>
    <row r="119" spans="3:12" ht="15">
      <c r="C119" s="38"/>
      <c r="D119" s="38"/>
      <c r="E119" s="38"/>
      <c r="F119" s="513"/>
      <c r="G119" s="506"/>
      <c r="H119" s="520"/>
      <c r="I119" s="38"/>
      <c r="J119" s="517"/>
      <c r="K119" s="506"/>
      <c r="L119" s="506"/>
    </row>
    <row r="120" spans="3:12" ht="15">
      <c r="C120" s="38"/>
      <c r="D120" s="38"/>
      <c r="E120" s="38"/>
      <c r="F120" s="506"/>
      <c r="G120" s="506"/>
      <c r="H120" s="518"/>
      <c r="I120" s="38"/>
      <c r="J120" s="517"/>
      <c r="K120" s="506"/>
      <c r="L120" s="506"/>
    </row>
    <row r="121" spans="3:12" ht="15">
      <c r="C121" s="38"/>
      <c r="D121" s="38"/>
      <c r="E121" s="38"/>
      <c r="F121" s="506"/>
      <c r="G121" s="506"/>
      <c r="H121" s="518"/>
      <c r="I121" s="38"/>
      <c r="J121" s="506"/>
      <c r="K121" s="506"/>
      <c r="L121" s="506"/>
    </row>
    <row r="123" spans="3:12" ht="15">
      <c r="C123" s="607"/>
      <c r="D123" s="607"/>
      <c r="E123" s="607"/>
      <c r="F123" s="607"/>
      <c r="G123" s="607"/>
      <c r="H123" s="607"/>
      <c r="I123" s="607"/>
      <c r="J123" s="607"/>
      <c r="K123" s="607"/>
      <c r="L123" s="607"/>
    </row>
    <row r="125" spans="3:12" ht="15">
      <c r="C125" s="607"/>
      <c r="D125" s="607"/>
      <c r="E125" s="607"/>
      <c r="F125" s="607"/>
      <c r="G125" s="607"/>
      <c r="H125" s="607"/>
      <c r="I125" s="607"/>
      <c r="J125" s="607"/>
      <c r="K125" s="607"/>
      <c r="L125" s="607"/>
    </row>
    <row r="126" spans="3:12" ht="15">
      <c r="C126" s="599"/>
      <c r="D126" s="599"/>
      <c r="E126" s="599"/>
      <c r="F126" s="599"/>
      <c r="G126" s="599"/>
      <c r="H126" s="599"/>
      <c r="I126" s="599"/>
      <c r="J126" s="599"/>
      <c r="K126" s="599"/>
      <c r="L126" s="599"/>
    </row>
    <row r="127" spans="3:12" ht="15">
      <c r="C127" s="296"/>
      <c r="D127" s="296"/>
      <c r="E127" s="296"/>
      <c r="F127" s="296"/>
      <c r="G127" s="296"/>
      <c r="H127" s="296"/>
      <c r="I127" s="296"/>
      <c r="J127" s="296"/>
      <c r="K127" s="296"/>
      <c r="L127" s="296"/>
    </row>
    <row r="128" spans="3:12" ht="15">
      <c r="C128" s="38"/>
      <c r="D128" s="38"/>
      <c r="E128" s="38"/>
      <c r="F128" s="38"/>
      <c r="G128" s="38"/>
      <c r="H128" s="38"/>
      <c r="I128" s="38"/>
      <c r="J128" s="38"/>
      <c r="K128" s="38"/>
      <c r="L128" s="38"/>
    </row>
    <row r="129" spans="3:12" ht="15">
      <c r="C129" s="510"/>
      <c r="D129" s="38"/>
      <c r="E129" s="38"/>
      <c r="F129" s="38"/>
      <c r="G129" s="38"/>
      <c r="H129" s="38"/>
      <c r="I129" s="38"/>
      <c r="J129" s="38"/>
      <c r="K129" s="38"/>
      <c r="L129" s="38"/>
    </row>
    <row r="130" spans="3:12" ht="9.75" customHeight="1">
      <c r="C130" s="38"/>
      <c r="D130" s="38"/>
      <c r="E130" s="38"/>
      <c r="F130" s="296"/>
      <c r="G130" s="38"/>
      <c r="H130" s="38"/>
      <c r="I130" s="38"/>
      <c r="J130" s="38"/>
      <c r="K130" s="38"/>
      <c r="L130" s="38"/>
    </row>
    <row r="131" spans="3:12" ht="15">
      <c r="C131" s="296"/>
      <c r="D131" s="38"/>
      <c r="E131" s="38"/>
      <c r="F131" s="609"/>
      <c r="G131" s="609"/>
      <c r="H131" s="609"/>
      <c r="I131" s="609"/>
      <c r="J131" s="38"/>
      <c r="K131" s="38"/>
      <c r="L131" s="296"/>
    </row>
    <row r="132" spans="3:12" ht="15">
      <c r="C132" s="511"/>
      <c r="D132" s="38"/>
      <c r="E132" s="38"/>
      <c r="F132" s="511"/>
      <c r="G132" s="511"/>
      <c r="H132" s="511"/>
      <c r="I132" s="511"/>
      <c r="J132" s="38"/>
      <c r="K132" s="38"/>
      <c r="L132" s="511"/>
    </row>
    <row r="133" spans="3:12" ht="15">
      <c r="C133" s="38"/>
      <c r="D133" s="38"/>
      <c r="E133" s="38"/>
      <c r="F133" s="38"/>
      <c r="G133" s="38"/>
      <c r="J133" s="38"/>
      <c r="K133" s="38"/>
      <c r="L133" s="38"/>
    </row>
    <row r="134" spans="3:12" ht="15">
      <c r="C134" s="300"/>
      <c r="D134" s="38"/>
      <c r="E134" s="38"/>
      <c r="F134" s="512"/>
      <c r="G134" s="512"/>
      <c r="H134" s="512"/>
      <c r="I134" s="512"/>
      <c r="J134" s="38"/>
      <c r="K134" s="38"/>
      <c r="L134" s="512"/>
    </row>
    <row r="135" spans="3:12" ht="15">
      <c r="C135" s="300"/>
      <c r="D135" s="38"/>
      <c r="E135" s="38"/>
      <c r="F135" s="513"/>
      <c r="G135" s="513"/>
      <c r="H135" s="513"/>
      <c r="I135" s="513"/>
      <c r="J135" s="38"/>
      <c r="K135" s="38"/>
      <c r="L135" s="513"/>
    </row>
    <row r="136" spans="3:12" ht="15">
      <c r="C136" s="296"/>
      <c r="D136" s="38"/>
      <c r="E136" s="38"/>
      <c r="F136" s="513"/>
      <c r="G136" s="513"/>
      <c r="H136" s="513"/>
      <c r="I136" s="513"/>
      <c r="J136" s="38"/>
      <c r="K136" s="38"/>
      <c r="L136" s="513"/>
    </row>
    <row r="137" spans="3:12" ht="15">
      <c r="C137" s="300"/>
      <c r="D137" s="38"/>
      <c r="E137" s="38"/>
      <c r="F137" s="513"/>
      <c r="G137" s="513"/>
      <c r="H137" s="513"/>
      <c r="I137" s="513"/>
      <c r="J137" s="38"/>
      <c r="K137" s="38"/>
      <c r="L137" s="513"/>
    </row>
    <row r="138" spans="3:12" ht="15">
      <c r="C138" s="296"/>
      <c r="D138" s="38"/>
      <c r="E138" s="38"/>
      <c r="F138" s="513"/>
      <c r="G138" s="513"/>
      <c r="H138" s="513"/>
      <c r="I138" s="513"/>
      <c r="J138" s="38"/>
      <c r="K138" s="38"/>
      <c r="L138" s="513"/>
    </row>
    <row r="139" spans="3:12" ht="15">
      <c r="C139" s="296"/>
      <c r="D139" s="38"/>
      <c r="E139" s="38"/>
      <c r="F139" s="513"/>
      <c r="G139" s="513"/>
      <c r="H139" s="513"/>
      <c r="I139" s="513"/>
      <c r="J139" s="38"/>
      <c r="K139" s="38"/>
      <c r="L139" s="513"/>
    </row>
    <row r="140" spans="3:12" ht="15">
      <c r="C140" s="296"/>
      <c r="D140" s="38"/>
      <c r="E140" s="38"/>
      <c r="F140" s="513"/>
      <c r="G140" s="513"/>
      <c r="H140" s="513"/>
      <c r="I140" s="513"/>
      <c r="J140" s="38"/>
      <c r="K140" s="38"/>
      <c r="L140" s="513"/>
    </row>
    <row r="141" spans="3:12" ht="15">
      <c r="C141" s="296"/>
      <c r="D141" s="38"/>
      <c r="E141" s="38"/>
      <c r="F141" s="513"/>
      <c r="G141" s="513"/>
      <c r="H141" s="513"/>
      <c r="I141" s="513"/>
      <c r="J141" s="38"/>
      <c r="K141" s="38"/>
      <c r="L141" s="513"/>
    </row>
    <row r="142" spans="3:12" ht="15">
      <c r="C142" s="296"/>
      <c r="D142" s="38"/>
      <c r="E142" s="38"/>
      <c r="F142" s="513"/>
      <c r="G142" s="513"/>
      <c r="H142" s="513"/>
      <c r="I142" s="513"/>
      <c r="J142" s="38"/>
      <c r="K142" s="38"/>
      <c r="L142" s="513"/>
    </row>
    <row r="143" spans="3:12" ht="15">
      <c r="C143" s="296"/>
      <c r="D143" s="38"/>
      <c r="E143" s="38"/>
      <c r="F143" s="513"/>
      <c r="G143" s="513"/>
      <c r="I143" s="513"/>
      <c r="J143" s="38"/>
      <c r="K143" s="38"/>
      <c r="L143" s="38"/>
    </row>
    <row r="144" spans="3:12" ht="15">
      <c r="C144" s="38"/>
      <c r="D144" s="38"/>
      <c r="E144" s="38"/>
      <c r="F144" s="513"/>
      <c r="G144" s="513"/>
      <c r="I144" s="513"/>
      <c r="J144" s="38"/>
      <c r="K144" s="38"/>
      <c r="L144" s="38"/>
    </row>
    <row r="145" spans="3:12" ht="15">
      <c r="C145" s="38"/>
      <c r="D145" s="38"/>
      <c r="E145" s="38"/>
      <c r="F145" s="608"/>
      <c r="G145" s="608"/>
      <c r="H145" s="608"/>
      <c r="I145" s="38"/>
      <c r="J145" s="608"/>
      <c r="K145" s="608"/>
      <c r="L145" s="608"/>
    </row>
    <row r="146" spans="3:12" ht="15">
      <c r="C146" s="38"/>
      <c r="D146" s="38"/>
      <c r="E146" s="38"/>
      <c r="F146" s="509"/>
      <c r="G146" s="509"/>
      <c r="H146" s="509"/>
      <c r="I146" s="38"/>
      <c r="J146" s="509"/>
      <c r="K146" s="509"/>
      <c r="L146" s="509"/>
    </row>
    <row r="147" spans="3:12" ht="15">
      <c r="C147" s="510"/>
      <c r="D147" s="38"/>
      <c r="E147" s="38"/>
      <c r="F147" s="511"/>
      <c r="G147" s="511"/>
      <c r="H147" s="511"/>
      <c r="I147" s="38"/>
      <c r="J147" s="511"/>
      <c r="K147" s="511"/>
      <c r="L147" s="511"/>
    </row>
    <row r="148" spans="3:12" ht="8.25" customHeight="1">
      <c r="C148" s="38"/>
      <c r="D148" s="38"/>
      <c r="E148" s="38"/>
      <c r="F148" s="38"/>
      <c r="G148" s="38"/>
      <c r="H148" s="38"/>
      <c r="I148" s="38"/>
      <c r="J148" s="38"/>
      <c r="K148" s="38"/>
      <c r="L148" s="38"/>
    </row>
    <row r="149" spans="3:12" ht="15">
      <c r="C149" s="38"/>
      <c r="D149" s="38"/>
      <c r="E149" s="38"/>
      <c r="F149" s="296"/>
      <c r="G149" s="503"/>
      <c r="H149" s="296"/>
      <c r="I149" s="38"/>
      <c r="J149" s="514"/>
      <c r="K149" s="503"/>
      <c r="L149" s="503"/>
    </row>
    <row r="150" spans="3:12" ht="15">
      <c r="C150" s="38"/>
      <c r="D150" s="38"/>
      <c r="E150" s="38"/>
      <c r="F150" s="515"/>
      <c r="G150" s="506"/>
      <c r="H150" s="516"/>
      <c r="I150" s="38"/>
      <c r="J150" s="517"/>
      <c r="K150" s="506"/>
      <c r="L150" s="506"/>
    </row>
    <row r="151" spans="3:12" ht="15">
      <c r="C151" s="38"/>
      <c r="D151" s="38"/>
      <c r="E151" s="38"/>
      <c r="F151" s="513"/>
      <c r="G151" s="506"/>
      <c r="H151" s="518"/>
      <c r="I151" s="38"/>
      <c r="J151" s="517"/>
      <c r="K151" s="506"/>
      <c r="L151" s="506"/>
    </row>
    <row r="152" spans="3:12" ht="15">
      <c r="C152" s="38"/>
      <c r="D152" s="38"/>
      <c r="E152" s="38"/>
      <c r="F152" s="513"/>
      <c r="G152" s="506"/>
      <c r="H152" s="518"/>
      <c r="I152" s="38"/>
      <c r="J152" s="517"/>
      <c r="K152" s="506"/>
      <c r="L152" s="506"/>
    </row>
    <row r="153" spans="3:12" ht="15">
      <c r="C153" s="38"/>
      <c r="D153" s="38"/>
      <c r="E153" s="38"/>
      <c r="F153" s="513"/>
      <c r="G153" s="506"/>
      <c r="H153" s="518"/>
      <c r="I153" s="38"/>
      <c r="J153" s="517"/>
      <c r="K153" s="506"/>
      <c r="L153" s="506"/>
    </row>
    <row r="154" spans="3:12" ht="15">
      <c r="C154" s="38"/>
      <c r="D154" s="38"/>
      <c r="E154" s="38"/>
      <c r="F154" s="513"/>
      <c r="G154" s="506"/>
      <c r="H154" s="518"/>
      <c r="I154" s="38"/>
      <c r="J154" s="517"/>
      <c r="K154" s="506"/>
      <c r="L154" s="506"/>
    </row>
    <row r="155" spans="3:12" ht="15">
      <c r="C155" s="38"/>
      <c r="D155" s="38"/>
      <c r="E155" s="38"/>
      <c r="F155" s="513"/>
      <c r="G155" s="506"/>
      <c r="H155" s="518"/>
      <c r="I155" s="38"/>
      <c r="J155" s="517"/>
      <c r="K155" s="506"/>
      <c r="L155" s="506"/>
    </row>
    <row r="156" spans="3:12" ht="15">
      <c r="C156" s="38"/>
      <c r="D156" s="38"/>
      <c r="E156" s="38"/>
      <c r="F156" s="506"/>
      <c r="G156" s="506"/>
      <c r="H156" s="518"/>
      <c r="I156" s="38"/>
      <c r="J156" s="517"/>
      <c r="K156" s="506"/>
      <c r="L156" s="506"/>
    </row>
    <row r="157" spans="3:12" ht="15">
      <c r="C157" s="38"/>
      <c r="D157" s="38"/>
      <c r="E157" s="38"/>
      <c r="F157" s="506"/>
      <c r="G157" s="506"/>
      <c r="H157" s="518"/>
      <c r="I157" s="38"/>
      <c r="J157" s="506"/>
      <c r="K157" s="506"/>
      <c r="L157" s="506"/>
    </row>
    <row r="158" spans="3:12" ht="9.75" customHeight="1">
      <c r="C158" s="38"/>
      <c r="D158" s="38"/>
      <c r="E158" s="38"/>
      <c r="F158" s="513"/>
      <c r="G158" s="513"/>
      <c r="I158" s="38"/>
      <c r="J158" s="38"/>
      <c r="K158" s="38"/>
      <c r="L158" s="38"/>
    </row>
    <row r="159" spans="3:12" ht="15">
      <c r="C159" s="510"/>
      <c r="D159" s="38"/>
      <c r="E159" s="38"/>
      <c r="F159" s="511"/>
      <c r="G159" s="511"/>
      <c r="H159" s="511"/>
      <c r="I159" s="38"/>
      <c r="J159" s="511"/>
      <c r="K159" s="511"/>
      <c r="L159" s="511"/>
    </row>
    <row r="160" spans="3:12" ht="9" customHeight="1">
      <c r="C160" s="38"/>
      <c r="D160" s="38"/>
      <c r="E160" s="38"/>
      <c r="F160" s="38"/>
      <c r="G160" s="38"/>
      <c r="H160" s="38"/>
      <c r="I160" s="38"/>
      <c r="J160" s="38"/>
      <c r="K160" s="38"/>
      <c r="L160" s="38"/>
    </row>
    <row r="161" spans="3:12" ht="15">
      <c r="C161" s="38"/>
      <c r="D161" s="38"/>
      <c r="E161" s="38"/>
      <c r="F161" s="296"/>
      <c r="G161" s="503"/>
      <c r="H161" s="296"/>
      <c r="I161" s="38"/>
      <c r="J161" s="514"/>
      <c r="K161" s="503"/>
      <c r="L161" s="503"/>
    </row>
    <row r="162" spans="3:12" ht="15">
      <c r="C162" s="38"/>
      <c r="D162" s="38"/>
      <c r="E162" s="38"/>
      <c r="F162" s="515"/>
      <c r="G162" s="506"/>
      <c r="H162" s="519"/>
      <c r="I162" s="38"/>
      <c r="J162" s="517"/>
      <c r="K162" s="506"/>
      <c r="L162" s="506"/>
    </row>
    <row r="163" spans="3:12" ht="15">
      <c r="C163" s="38"/>
      <c r="D163" s="38"/>
      <c r="E163" s="38"/>
      <c r="F163" s="513"/>
      <c r="G163" s="506"/>
      <c r="H163" s="520"/>
      <c r="I163" s="38"/>
      <c r="J163" s="517"/>
      <c r="K163" s="506"/>
      <c r="L163" s="506"/>
    </row>
    <row r="164" spans="3:12" ht="15">
      <c r="C164" s="38"/>
      <c r="D164" s="38"/>
      <c r="E164" s="38"/>
      <c r="F164" s="506"/>
      <c r="G164" s="506"/>
      <c r="H164" s="518"/>
      <c r="I164" s="38"/>
      <c r="J164" s="517"/>
      <c r="K164" s="506"/>
      <c r="L164" s="506"/>
    </row>
    <row r="165" spans="6:12" ht="15" customHeight="1">
      <c r="F165" s="506"/>
      <c r="G165" s="506"/>
      <c r="H165" s="518"/>
      <c r="I165" s="38"/>
      <c r="J165" s="506"/>
      <c r="K165" s="506"/>
      <c r="L165" s="506"/>
    </row>
    <row r="166" spans="3:12" ht="8.25" customHeight="1">
      <c r="C166" s="38"/>
      <c r="D166" s="38"/>
      <c r="E166" s="38"/>
      <c r="F166" s="513"/>
      <c r="G166" s="513"/>
      <c r="I166" s="38"/>
      <c r="J166" s="38"/>
      <c r="K166" s="38"/>
      <c r="L166" s="38"/>
    </row>
    <row r="167" spans="3:12" ht="15">
      <c r="C167" s="510"/>
      <c r="D167" s="38"/>
      <c r="E167" s="38"/>
      <c r="F167" s="511"/>
      <c r="G167" s="511"/>
      <c r="H167" s="511"/>
      <c r="I167" s="38"/>
      <c r="J167" s="511"/>
      <c r="K167" s="511"/>
      <c r="L167" s="511"/>
    </row>
    <row r="168" spans="3:12" ht="7.5" customHeight="1">
      <c r="C168" s="38"/>
      <c r="D168" s="38"/>
      <c r="E168" s="38"/>
      <c r="F168" s="38"/>
      <c r="G168" s="38"/>
      <c r="H168" s="38"/>
      <c r="I168" s="38"/>
      <c r="J168" s="38"/>
      <c r="K168" s="38"/>
      <c r="L168" s="38"/>
    </row>
    <row r="169" spans="3:12" ht="15">
      <c r="C169" s="38"/>
      <c r="D169" s="38"/>
      <c r="E169" s="38"/>
      <c r="F169" s="296"/>
      <c r="G169" s="503"/>
      <c r="H169" s="296"/>
      <c r="I169" s="38"/>
      <c r="J169" s="514"/>
      <c r="K169" s="503"/>
      <c r="L169" s="503"/>
    </row>
    <row r="170" spans="3:12" ht="15">
      <c r="C170" s="38"/>
      <c r="D170" s="38"/>
      <c r="E170" s="38"/>
      <c r="F170" s="515"/>
      <c r="G170" s="506"/>
      <c r="H170" s="519"/>
      <c r="I170" s="38"/>
      <c r="J170" s="517"/>
      <c r="K170" s="506"/>
      <c r="L170" s="506"/>
    </row>
    <row r="171" spans="3:12" ht="15">
      <c r="C171" s="38"/>
      <c r="D171" s="38"/>
      <c r="E171" s="38"/>
      <c r="F171" s="513"/>
      <c r="G171" s="506"/>
      <c r="H171" s="520"/>
      <c r="I171" s="38"/>
      <c r="J171" s="517"/>
      <c r="K171" s="506"/>
      <c r="L171" s="506"/>
    </row>
    <row r="172" spans="3:12" ht="15">
      <c r="C172" s="38"/>
      <c r="D172" s="38"/>
      <c r="E172" s="38"/>
      <c r="F172" s="506"/>
      <c r="G172" s="506"/>
      <c r="H172" s="518"/>
      <c r="I172" s="38"/>
      <c r="J172" s="517"/>
      <c r="K172" s="506"/>
      <c r="L172" s="506"/>
    </row>
  </sheetData>
  <mergeCells count="21">
    <mergeCell ref="J29:L29"/>
    <mergeCell ref="F29:H29"/>
    <mergeCell ref="C7:L7"/>
    <mergeCell ref="C9:L9"/>
    <mergeCell ref="C10:L10"/>
    <mergeCell ref="C56:L56"/>
    <mergeCell ref="C58:L58"/>
    <mergeCell ref="C59:L59"/>
    <mergeCell ref="F78:H78"/>
    <mergeCell ref="J78:L78"/>
    <mergeCell ref="C91:L91"/>
    <mergeCell ref="C93:L93"/>
    <mergeCell ref="C94:L94"/>
    <mergeCell ref="F113:H113"/>
    <mergeCell ref="J113:L113"/>
    <mergeCell ref="C123:L123"/>
    <mergeCell ref="C125:L125"/>
    <mergeCell ref="C126:L126"/>
    <mergeCell ref="F145:H145"/>
    <mergeCell ref="J145:L145"/>
    <mergeCell ref="F131:I131"/>
  </mergeCells>
  <printOptions/>
  <pageMargins left="1" right="0.75" top="1" bottom="0.75" header="0.5" footer="0.5"/>
  <pageSetup horizontalDpi="600" verticalDpi="600" orientation="portrait" scale="92" r:id="rId1"/>
  <rowBreaks count="3" manualBreakCount="3">
    <brk id="55" min="2" max="11" man="1"/>
    <brk id="90" min="2" max="11" man="1"/>
    <brk id="122" min="2" max="11" man="1"/>
  </rowBreaks>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8.88671875" defaultRowHeight="12.75"/>
  <cols>
    <col min="1" max="1" width="5.77734375" style="19" customWidth="1"/>
    <col min="2" max="2" width="10.21484375" style="19" customWidth="1"/>
    <col min="3" max="3" width="3.5546875" style="19" customWidth="1"/>
    <col min="4" max="4" width="9.77734375" style="19" customWidth="1"/>
    <col min="5" max="5" width="3.5546875" style="19" customWidth="1"/>
    <col min="6" max="6" width="9.77734375" style="19" customWidth="1"/>
    <col min="7" max="7" width="3.5546875" style="19" customWidth="1"/>
    <col min="8" max="8" width="9.77734375" style="19" customWidth="1"/>
    <col min="9" max="9" width="3.5546875" style="19" customWidth="1"/>
    <col min="10" max="16384" width="9.77734375" style="19" customWidth="1"/>
  </cols>
  <sheetData>
    <row r="1" spans="1:10" ht="15">
      <c r="A1" s="37" t="s">
        <v>7</v>
      </c>
      <c r="B1" s="18"/>
      <c r="C1" s="18"/>
      <c r="D1" s="18"/>
      <c r="E1" s="18"/>
      <c r="F1" s="18"/>
      <c r="G1" s="18"/>
      <c r="H1" s="18"/>
      <c r="I1" s="18"/>
      <c r="J1" s="18"/>
    </row>
    <row r="2" spans="1:10" ht="15">
      <c r="A2" s="37"/>
      <c r="B2" s="18"/>
      <c r="C2" s="18"/>
      <c r="D2" s="18"/>
      <c r="E2" s="18"/>
      <c r="F2" s="18"/>
      <c r="G2" s="18"/>
      <c r="H2" s="18"/>
      <c r="I2" s="18"/>
      <c r="J2" s="18"/>
    </row>
    <row r="3" spans="1:10" ht="15">
      <c r="A3" s="18"/>
      <c r="B3" s="18"/>
      <c r="C3" s="18"/>
      <c r="D3" s="18"/>
      <c r="E3" s="18"/>
      <c r="F3" s="18"/>
      <c r="G3" s="18"/>
      <c r="H3" s="18"/>
      <c r="I3" s="18"/>
      <c r="J3" s="18"/>
    </row>
    <row r="4" spans="1:10" ht="15">
      <c r="A4" s="18" t="s">
        <v>407</v>
      </c>
      <c r="B4" s="18"/>
      <c r="C4" s="18"/>
      <c r="D4" s="18"/>
      <c r="E4" s="18"/>
      <c r="F4" s="18"/>
      <c r="G4" s="18"/>
      <c r="H4" s="18"/>
      <c r="I4" s="18"/>
      <c r="J4" s="18"/>
    </row>
    <row r="5" spans="1:10" ht="15">
      <c r="A5" s="20"/>
      <c r="B5" s="20"/>
      <c r="C5" s="20"/>
      <c r="D5" s="20"/>
      <c r="E5" s="20"/>
      <c r="F5" s="20"/>
      <c r="G5" s="20"/>
      <c r="H5" s="20"/>
      <c r="I5" s="20"/>
      <c r="J5" s="20"/>
    </row>
    <row r="6" spans="1:10" ht="15">
      <c r="A6" s="20"/>
      <c r="B6" s="20"/>
      <c r="C6" s="20"/>
      <c r="D6" s="20"/>
      <c r="E6" s="20"/>
      <c r="F6" s="20"/>
      <c r="G6" s="20"/>
      <c r="H6" s="20"/>
      <c r="I6" s="20"/>
      <c r="J6" s="20"/>
    </row>
    <row r="7" spans="1:10" ht="15">
      <c r="A7" s="20" t="s">
        <v>392</v>
      </c>
      <c r="B7" s="20"/>
      <c r="C7" s="20"/>
      <c r="D7" s="20"/>
      <c r="E7" s="20"/>
      <c r="F7" s="20"/>
      <c r="G7" s="20"/>
      <c r="H7" s="20"/>
      <c r="I7" s="20"/>
      <c r="J7" s="20"/>
    </row>
    <row r="8" spans="1:10" ht="15">
      <c r="A8" s="20" t="s">
        <v>408</v>
      </c>
      <c r="B8" s="20"/>
      <c r="C8" s="20"/>
      <c r="D8" s="20"/>
      <c r="E8" s="20"/>
      <c r="F8" s="20"/>
      <c r="G8" s="20"/>
      <c r="H8" s="20"/>
      <c r="I8" s="20"/>
      <c r="J8" s="20"/>
    </row>
    <row r="9" spans="1:10" ht="15">
      <c r="A9" s="20"/>
      <c r="B9" s="20"/>
      <c r="C9" s="20"/>
      <c r="D9" s="20"/>
      <c r="E9" s="20"/>
      <c r="F9" s="20"/>
      <c r="G9" s="20"/>
      <c r="H9" s="20"/>
      <c r="I9" s="20"/>
      <c r="J9" s="20"/>
    </row>
    <row r="10" spans="1:10" ht="15">
      <c r="A10" s="20"/>
      <c r="B10" s="20"/>
      <c r="C10" s="20"/>
      <c r="D10" s="20"/>
      <c r="E10" s="20"/>
      <c r="F10" s="20"/>
      <c r="G10" s="20"/>
      <c r="H10" s="20"/>
      <c r="I10" s="20"/>
      <c r="J10" s="20"/>
    </row>
    <row r="11" spans="1:10" ht="15">
      <c r="A11" s="20"/>
      <c r="B11" s="20"/>
      <c r="C11" s="20"/>
      <c r="D11" s="20"/>
      <c r="E11" s="20"/>
      <c r="F11" s="18" t="s">
        <v>409</v>
      </c>
      <c r="G11" s="18"/>
      <c r="H11" s="17"/>
      <c r="I11" s="18"/>
      <c r="J11" s="18"/>
    </row>
    <row r="12" spans="1:10" ht="15">
      <c r="A12" s="20"/>
      <c r="B12" s="20"/>
      <c r="C12" s="20"/>
      <c r="D12" s="21" t="s">
        <v>374</v>
      </c>
      <c r="E12" s="21"/>
      <c r="F12" s="22"/>
      <c r="G12" s="22"/>
      <c r="H12" s="22" t="s">
        <v>410</v>
      </c>
      <c r="I12" s="22"/>
      <c r="J12" s="23"/>
    </row>
    <row r="13" spans="1:10" ht="15">
      <c r="A13" s="18" t="s">
        <v>375</v>
      </c>
      <c r="B13" s="18"/>
      <c r="C13" s="20"/>
      <c r="D13" s="21" t="s">
        <v>376</v>
      </c>
      <c r="E13" s="21"/>
      <c r="F13" s="24"/>
      <c r="G13" s="21"/>
      <c r="H13" s="21" t="s">
        <v>9</v>
      </c>
      <c r="I13" s="21"/>
      <c r="J13" s="21" t="s">
        <v>377</v>
      </c>
    </row>
    <row r="14" spans="1:10" ht="15">
      <c r="A14" s="18" t="s">
        <v>378</v>
      </c>
      <c r="B14" s="18"/>
      <c r="C14" s="20"/>
      <c r="D14" s="21" t="s">
        <v>9</v>
      </c>
      <c r="E14" s="21"/>
      <c r="F14" s="21" t="s">
        <v>411</v>
      </c>
      <c r="G14" s="21"/>
      <c r="H14" s="21" t="s">
        <v>412</v>
      </c>
      <c r="I14" s="21"/>
      <c r="J14" s="21" t="s">
        <v>379</v>
      </c>
    </row>
    <row r="15" spans="1:10" ht="15">
      <c r="A15" s="25" t="s">
        <v>380</v>
      </c>
      <c r="B15" s="25"/>
      <c r="C15" s="20"/>
      <c r="D15" s="22" t="s">
        <v>400</v>
      </c>
      <c r="E15" s="20"/>
      <c r="F15" s="22" t="s">
        <v>382</v>
      </c>
      <c r="G15" s="20"/>
      <c r="H15" s="22" t="s">
        <v>413</v>
      </c>
      <c r="I15" s="20"/>
      <c r="J15" s="22" t="s">
        <v>414</v>
      </c>
    </row>
    <row r="16" spans="1:10" ht="15">
      <c r="A16" s="20"/>
      <c r="B16" s="20"/>
      <c r="C16" s="20"/>
      <c r="D16" s="20"/>
      <c r="E16" s="20"/>
      <c r="F16" s="20"/>
      <c r="G16" s="20"/>
      <c r="H16" s="20"/>
      <c r="I16" s="20"/>
      <c r="J16" s="20"/>
    </row>
    <row r="17" spans="1:10" ht="15">
      <c r="A17" s="20" t="s">
        <v>383</v>
      </c>
      <c r="B17" s="20"/>
      <c r="C17" s="20"/>
      <c r="D17" s="174">
        <f>'F 1-2'!$G$16</f>
        <v>22576</v>
      </c>
      <c r="E17" s="20"/>
      <c r="F17" s="26">
        <v>0.9</v>
      </c>
      <c r="G17" s="20"/>
      <c r="H17" s="174">
        <f>ROUND(+D17*F17,0)</f>
        <v>20318</v>
      </c>
      <c r="I17" s="20"/>
      <c r="J17" s="27">
        <f>ROUND(H17/H$23,4)</f>
        <v>0.5196</v>
      </c>
    </row>
    <row r="18" spans="1:10" ht="15">
      <c r="A18" s="20" t="s">
        <v>384</v>
      </c>
      <c r="B18" s="20"/>
      <c r="C18" s="20"/>
      <c r="D18" s="174">
        <f>'F 1-2'!$G$17</f>
        <v>14136</v>
      </c>
      <c r="E18" s="20"/>
      <c r="F18" s="26">
        <v>0.85</v>
      </c>
      <c r="G18" s="20"/>
      <c r="H18" s="174">
        <f>ROUND(+D18*F18,0)</f>
        <v>12016</v>
      </c>
      <c r="I18" s="20"/>
      <c r="J18" s="28">
        <f>ROUND(H18/H$23,4)</f>
        <v>0.3073</v>
      </c>
    </row>
    <row r="19" spans="1:10" ht="15">
      <c r="A19" s="20" t="s">
        <v>385</v>
      </c>
      <c r="B19" s="20"/>
      <c r="C19" s="20"/>
      <c r="D19" s="174">
        <f>'F 1-2'!$G$18</f>
        <v>1894</v>
      </c>
      <c r="E19" s="20"/>
      <c r="F19" s="26">
        <v>0.7</v>
      </c>
      <c r="G19" s="20"/>
      <c r="H19" s="174">
        <f>ROUND(+D19*F19,0)</f>
        <v>1326</v>
      </c>
      <c r="I19" s="20"/>
      <c r="J19" s="28">
        <f>ROUND(H19/H$23,4)</f>
        <v>0.0339</v>
      </c>
    </row>
    <row r="20" spans="1:10" ht="15">
      <c r="A20" s="20" t="s">
        <v>387</v>
      </c>
      <c r="B20" s="20"/>
      <c r="C20" s="20"/>
      <c r="D20" s="174">
        <f>'F 1-2'!$G$19</f>
        <v>5656</v>
      </c>
      <c r="E20" s="20"/>
      <c r="F20" s="26">
        <v>0.75</v>
      </c>
      <c r="G20" s="20"/>
      <c r="H20" s="174">
        <f>ROUND(+D20*F20,0)</f>
        <v>4242</v>
      </c>
      <c r="I20" s="20"/>
      <c r="J20" s="28">
        <f>ROUND(H20/H$23,4)</f>
        <v>0.1085</v>
      </c>
    </row>
    <row r="21" spans="1:10" ht="15">
      <c r="A21" s="20" t="s">
        <v>508</v>
      </c>
      <c r="B21" s="20"/>
      <c r="C21" s="20"/>
      <c r="D21" s="174">
        <f>'F 1-2'!$G$20</f>
        <v>1717</v>
      </c>
      <c r="E21" s="20"/>
      <c r="F21" s="26">
        <v>0.7</v>
      </c>
      <c r="G21" s="20"/>
      <c r="H21" s="174">
        <f>ROUND(+D21*F21,0)</f>
        <v>1202</v>
      </c>
      <c r="I21" s="20"/>
      <c r="J21" s="28">
        <f>ROUND(H21/H$23,4)</f>
        <v>0.0307</v>
      </c>
    </row>
    <row r="22" spans="1:10" ht="15">
      <c r="A22" s="20"/>
      <c r="B22" s="20"/>
      <c r="C22" s="20"/>
      <c r="D22" s="175"/>
      <c r="E22" s="20"/>
      <c r="F22" s="29"/>
      <c r="G22" s="20"/>
      <c r="H22" s="175"/>
      <c r="I22" s="20"/>
      <c r="J22" s="30"/>
    </row>
    <row r="23" spans="1:13" ht="15.75" thickBot="1">
      <c r="A23" s="20" t="s">
        <v>391</v>
      </c>
      <c r="B23" s="20"/>
      <c r="C23" s="20"/>
      <c r="D23" s="174">
        <f>SUM(D17:D21)</f>
        <v>45979</v>
      </c>
      <c r="E23" s="20"/>
      <c r="F23" s="29"/>
      <c r="G23" s="20"/>
      <c r="H23" s="212">
        <f>SUM(H17:H21)</f>
        <v>39104</v>
      </c>
      <c r="I23" s="20"/>
      <c r="J23" s="28">
        <f>SUM(J17:J22)</f>
        <v>1</v>
      </c>
      <c r="L23" s="290"/>
      <c r="M23" s="291"/>
    </row>
    <row r="24" spans="1:13" ht="15.75" thickTop="1">
      <c r="A24" s="20"/>
      <c r="B24" s="20"/>
      <c r="C24" s="20"/>
      <c r="D24" s="31"/>
      <c r="E24" s="20"/>
      <c r="F24" s="29"/>
      <c r="G24" s="20"/>
      <c r="H24" s="211"/>
      <c r="I24" s="20"/>
      <c r="J24" s="32"/>
      <c r="M24" s="292"/>
    </row>
    <row r="25" spans="1:10" ht="15">
      <c r="A25" s="20"/>
      <c r="B25" s="20"/>
      <c r="C25" s="20"/>
      <c r="D25" s="33"/>
      <c r="E25" s="20"/>
      <c r="F25" s="20"/>
      <c r="G25" s="20"/>
      <c r="H25" s="29"/>
      <c r="I25" s="20"/>
      <c r="J25" s="20"/>
    </row>
    <row r="26" spans="1:10" ht="30" customHeight="1">
      <c r="A26" s="585" t="s">
        <v>361</v>
      </c>
      <c r="B26" s="585"/>
      <c r="C26" s="585"/>
      <c r="D26" s="585"/>
      <c r="E26" s="585"/>
      <c r="F26" s="585"/>
      <c r="G26" s="585"/>
      <c r="H26" s="585"/>
      <c r="I26" s="585"/>
      <c r="J26" s="585"/>
    </row>
    <row r="27" spans="1:10" ht="15">
      <c r="A27" s="20"/>
      <c r="B27" s="20"/>
      <c r="C27" s="20"/>
      <c r="D27" s="20"/>
      <c r="E27" s="20"/>
      <c r="F27" s="20"/>
      <c r="G27" s="20"/>
      <c r="H27" s="20"/>
      <c r="I27" s="20"/>
      <c r="J27" s="20"/>
    </row>
    <row r="28" spans="1:10" ht="15">
      <c r="A28" s="20"/>
      <c r="B28" s="20"/>
      <c r="C28" s="20"/>
      <c r="D28" s="20"/>
      <c r="E28" s="20"/>
      <c r="F28" s="20"/>
      <c r="G28" s="20"/>
      <c r="H28" s="20"/>
      <c r="I28" s="20"/>
      <c r="J28" s="20"/>
    </row>
    <row r="29" spans="1:10" ht="15">
      <c r="A29" s="20"/>
      <c r="D29" s="20"/>
      <c r="E29" s="20"/>
      <c r="F29" s="21" t="s">
        <v>415</v>
      </c>
      <c r="G29" s="21"/>
      <c r="H29" s="21"/>
      <c r="I29" s="20"/>
      <c r="J29" s="20"/>
    </row>
    <row r="30" spans="1:10" ht="15">
      <c r="A30" s="20"/>
      <c r="D30" s="20"/>
      <c r="E30" s="20"/>
      <c r="F30" s="21" t="s">
        <v>416</v>
      </c>
      <c r="G30" s="21"/>
      <c r="H30" s="21"/>
      <c r="I30" s="20"/>
      <c r="J30" s="20"/>
    </row>
    <row r="31" spans="1:10" ht="15">
      <c r="A31" s="20"/>
      <c r="D31" s="20"/>
      <c r="E31" s="20"/>
      <c r="F31" s="21" t="s">
        <v>417</v>
      </c>
      <c r="G31" s="21"/>
      <c r="H31" s="21" t="s">
        <v>418</v>
      </c>
      <c r="I31" s="20"/>
      <c r="J31" s="20"/>
    </row>
    <row r="32" spans="1:10" ht="15">
      <c r="A32" s="20"/>
      <c r="D32" s="20"/>
      <c r="E32" s="20"/>
      <c r="F32" s="34"/>
      <c r="G32" s="20"/>
      <c r="H32" s="34"/>
      <c r="I32" s="20"/>
      <c r="J32" s="20"/>
    </row>
    <row r="33" spans="1:10" ht="15">
      <c r="A33" s="20"/>
      <c r="D33" s="20" t="s">
        <v>419</v>
      </c>
      <c r="F33" s="26">
        <v>1</v>
      </c>
      <c r="G33" s="20"/>
      <c r="H33" s="28">
        <f>ROUND(F33/F37,4)</f>
        <v>0.6061</v>
      </c>
      <c r="I33" s="20"/>
      <c r="J33" s="20"/>
    </row>
    <row r="34" spans="1:10" ht="15">
      <c r="A34" s="20"/>
      <c r="D34" s="20" t="s">
        <v>395</v>
      </c>
      <c r="F34" s="26"/>
      <c r="G34" s="20"/>
      <c r="H34" s="20"/>
      <c r="I34" s="20"/>
      <c r="J34" s="20"/>
    </row>
    <row r="35" spans="1:10" ht="15">
      <c r="A35" s="20"/>
      <c r="D35" s="20" t="s">
        <v>348</v>
      </c>
      <c r="F35" s="26">
        <v>0.65</v>
      </c>
      <c r="G35" s="20"/>
      <c r="H35" s="28">
        <f>ROUND(F35/F37,4)</f>
        <v>0.3939</v>
      </c>
      <c r="I35" s="20"/>
      <c r="J35" s="20"/>
    </row>
    <row r="36" spans="1:10" ht="15">
      <c r="A36" s="20"/>
      <c r="D36" s="20"/>
      <c r="F36" s="35"/>
      <c r="G36" s="20"/>
      <c r="H36" s="34"/>
      <c r="I36" s="20"/>
      <c r="J36" s="20"/>
    </row>
    <row r="37" spans="1:10" ht="15.75" thickBot="1">
      <c r="A37" s="20"/>
      <c r="D37" s="20" t="s">
        <v>421</v>
      </c>
      <c r="F37" s="217">
        <f>SUM(F33:F36)</f>
        <v>1.65</v>
      </c>
      <c r="G37" s="20"/>
      <c r="H37" s="28">
        <f>SUM(H33:H36)</f>
        <v>1</v>
      </c>
      <c r="I37" s="20"/>
      <c r="J37" s="20"/>
    </row>
    <row r="38" spans="1:10" ht="15.75" thickTop="1">
      <c r="A38" s="20"/>
      <c r="D38" s="20"/>
      <c r="E38" s="20"/>
      <c r="F38" s="216"/>
      <c r="G38" s="20"/>
      <c r="H38" s="36"/>
      <c r="I38" s="20"/>
      <c r="J38" s="20"/>
    </row>
    <row r="39" spans="1:10" ht="15">
      <c r="A39" s="20"/>
      <c r="B39" s="20"/>
      <c r="C39" s="20"/>
      <c r="D39" s="20"/>
      <c r="E39" s="26"/>
      <c r="F39" s="20"/>
      <c r="G39" s="20"/>
      <c r="H39" s="20"/>
      <c r="I39" s="20"/>
      <c r="J39" s="20"/>
    </row>
    <row r="40" spans="1:10" ht="15">
      <c r="A40" s="20"/>
      <c r="B40" s="20"/>
      <c r="C40" s="20"/>
      <c r="D40" s="20"/>
      <c r="E40" s="20"/>
      <c r="F40" s="20"/>
      <c r="G40" s="20"/>
      <c r="H40" s="20"/>
      <c r="I40" s="20"/>
      <c r="J40" s="20"/>
    </row>
    <row r="41" spans="1:10" ht="15">
      <c r="A41" s="34" t="s">
        <v>422</v>
      </c>
      <c r="B41" s="34"/>
      <c r="C41" s="20"/>
      <c r="D41" s="20"/>
      <c r="E41" s="20"/>
      <c r="F41" s="20"/>
      <c r="G41" s="20"/>
      <c r="H41" s="20"/>
      <c r="I41" s="20"/>
      <c r="J41" s="20"/>
    </row>
  </sheetData>
  <mergeCells count="1">
    <mergeCell ref="A26:J26"/>
  </mergeCells>
  <printOptions horizontalCentered="1"/>
  <pageMargins left="1" right="1" top="1"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185"/>
  <sheetViews>
    <sheetView workbookViewId="0" topLeftCell="A1">
      <selection activeCell="A1" sqref="A1"/>
    </sheetView>
  </sheetViews>
  <sheetFormatPr defaultColWidth="8.88671875" defaultRowHeight="12.75"/>
  <cols>
    <col min="1" max="1" width="7.77734375" style="38" customWidth="1"/>
    <col min="2" max="2" width="7.88671875" style="38" customWidth="1"/>
    <col min="3" max="3" width="2.10546875" style="38" customWidth="1"/>
    <col min="4" max="4" width="7.77734375" style="38" customWidth="1"/>
    <col min="5" max="5" width="2.10546875" style="38" customWidth="1"/>
    <col min="6" max="6" width="7.77734375" style="38" customWidth="1"/>
    <col min="7" max="7" width="2.10546875" style="38" customWidth="1"/>
    <col min="8" max="8" width="7.77734375" style="38" customWidth="1"/>
    <col min="9" max="9" width="2.10546875" style="38" customWidth="1"/>
    <col min="10" max="10" width="7.77734375" style="38" customWidth="1"/>
    <col min="11" max="11" width="2.10546875" style="38" customWidth="1"/>
    <col min="12" max="12" width="7.77734375" style="38" customWidth="1"/>
    <col min="13" max="13" width="2.10546875" style="38" customWidth="1"/>
    <col min="14" max="14" width="7.77734375" style="38" customWidth="1"/>
    <col min="15" max="15" width="2.10546875" style="38" customWidth="1"/>
    <col min="16" max="16" width="10.77734375" style="38" customWidth="1"/>
    <col min="17" max="17" width="2.10546875" style="38" customWidth="1"/>
    <col min="18" max="18" width="10.99609375" style="38" customWidth="1"/>
    <col min="19" max="19" width="7.77734375" style="38" customWidth="1"/>
    <col min="20" max="20" width="3.77734375" style="38" customWidth="1"/>
    <col min="21" max="21" width="7.77734375" style="38" customWidth="1"/>
    <col min="22" max="22" width="2.77734375" style="38" customWidth="1"/>
    <col min="23" max="23" width="7.77734375" style="38" customWidth="1"/>
    <col min="24" max="24" width="2.77734375" style="38" customWidth="1"/>
    <col min="25" max="25" width="12.5546875" style="38" customWidth="1"/>
    <col min="26" max="26" width="2.77734375" style="38" customWidth="1"/>
    <col min="27" max="27" width="10.4453125" style="38" customWidth="1"/>
    <col min="28" max="28" width="2.77734375" style="38" customWidth="1"/>
    <col min="29" max="29" width="9.99609375" style="38" bestFit="1" customWidth="1"/>
    <col min="30" max="30" width="2.77734375" style="38" customWidth="1"/>
    <col min="31" max="31" width="13.5546875" style="38" bestFit="1" customWidth="1"/>
    <col min="32" max="32" width="2.77734375" style="38" customWidth="1"/>
    <col min="33" max="33" width="12.4453125" style="38" bestFit="1" customWidth="1"/>
    <col min="34" max="34" width="2.77734375" style="38" customWidth="1"/>
    <col min="35" max="35" width="11.99609375" style="38" bestFit="1" customWidth="1"/>
    <col min="36" max="38" width="9.77734375" style="38" customWidth="1"/>
    <col min="39" max="39" width="12.4453125" style="38" bestFit="1" customWidth="1"/>
    <col min="40" max="40" width="6.77734375" style="38" customWidth="1"/>
    <col min="41" max="41" width="4.77734375" style="38" customWidth="1"/>
    <col min="42" max="42" width="6.77734375" style="38" customWidth="1"/>
    <col min="43" max="43" width="9.77734375" style="38" customWidth="1"/>
    <col min="44" max="44" width="3.77734375" style="38" customWidth="1"/>
    <col min="45" max="45" width="6.77734375" style="38" customWidth="1"/>
    <col min="46" max="46" width="3.77734375" style="38" customWidth="1"/>
    <col min="47" max="47" width="8.77734375" style="38" customWidth="1"/>
    <col min="48" max="48" width="3.77734375" style="38" customWidth="1"/>
    <col min="49" max="49" width="7.77734375" style="38" customWidth="1"/>
    <col min="50" max="50" width="3.77734375" style="38" customWidth="1"/>
    <col min="51" max="51" width="9.77734375" style="38" customWidth="1"/>
    <col min="52" max="52" width="6.77734375" style="38" customWidth="1"/>
    <col min="53" max="53" width="2.77734375" style="38" customWidth="1"/>
    <col min="54" max="54" width="4.77734375" style="38" customWidth="1"/>
    <col min="55" max="55" width="2.77734375" style="38" customWidth="1"/>
    <col min="56" max="56" width="11.77734375" style="38" customWidth="1"/>
    <col min="57" max="57" width="3.77734375" style="38" customWidth="1"/>
    <col min="58" max="58" width="7.77734375" style="38" customWidth="1"/>
    <col min="59" max="59" width="3.77734375" style="38" customWidth="1"/>
    <col min="60" max="60" width="7.77734375" style="38" customWidth="1"/>
    <col min="61" max="61" width="3.77734375" style="38" customWidth="1"/>
    <col min="62" max="62" width="7.77734375" style="38" customWidth="1"/>
    <col min="63" max="63" width="3.77734375" style="38" customWidth="1"/>
    <col min="64" max="64" width="7.77734375" style="38" customWidth="1"/>
    <col min="65" max="16384" width="9.77734375" style="38" customWidth="1"/>
  </cols>
  <sheetData>
    <row r="1" spans="1:16" ht="15">
      <c r="A1" s="37" t="s">
        <v>7</v>
      </c>
      <c r="B1" s="37"/>
      <c r="C1" s="37"/>
      <c r="D1" s="37"/>
      <c r="E1" s="37"/>
      <c r="F1" s="37"/>
      <c r="G1" s="37"/>
      <c r="H1" s="37"/>
      <c r="I1" s="37"/>
      <c r="J1" s="37"/>
      <c r="K1" s="37"/>
      <c r="L1" s="37"/>
      <c r="M1" s="37"/>
      <c r="N1" s="37"/>
      <c r="O1" s="37"/>
      <c r="P1" s="37"/>
    </row>
    <row r="2" spans="1:16" ht="15">
      <c r="A2" s="37"/>
      <c r="B2" s="37"/>
      <c r="C2" s="37"/>
      <c r="D2" s="37"/>
      <c r="E2" s="37"/>
      <c r="F2" s="37"/>
      <c r="G2" s="37"/>
      <c r="H2" s="37"/>
      <c r="I2" s="37"/>
      <c r="J2" s="37"/>
      <c r="K2" s="37"/>
      <c r="L2" s="37"/>
      <c r="M2" s="37"/>
      <c r="N2" s="37"/>
      <c r="O2" s="37"/>
      <c r="P2" s="37"/>
    </row>
    <row r="3" spans="1:16" ht="15">
      <c r="A3" s="37"/>
      <c r="B3" s="37"/>
      <c r="C3" s="37"/>
      <c r="D3" s="37"/>
      <c r="E3" s="37"/>
      <c r="F3" s="37"/>
      <c r="G3" s="37"/>
      <c r="H3" s="37"/>
      <c r="I3" s="37"/>
      <c r="J3" s="37"/>
      <c r="K3" s="37"/>
      <c r="L3" s="37"/>
      <c r="M3" s="37"/>
      <c r="N3" s="37"/>
      <c r="O3" s="37"/>
      <c r="P3" s="37"/>
    </row>
    <row r="4" spans="1:16" ht="15">
      <c r="A4" s="1" t="s">
        <v>407</v>
      </c>
      <c r="B4" s="37"/>
      <c r="C4" s="37"/>
      <c r="D4" s="37"/>
      <c r="E4" s="37"/>
      <c r="F4" s="37"/>
      <c r="G4" s="37"/>
      <c r="H4" s="37"/>
      <c r="I4" s="37"/>
      <c r="J4" s="37"/>
      <c r="K4" s="37"/>
      <c r="L4" s="37"/>
      <c r="M4" s="37"/>
      <c r="N4" s="37"/>
      <c r="O4" s="37"/>
      <c r="P4" s="37"/>
    </row>
    <row r="6" spans="1:18" ht="15">
      <c r="A6" s="2"/>
      <c r="B6" s="2"/>
      <c r="C6" s="2"/>
      <c r="D6" s="2"/>
      <c r="E6" s="2"/>
      <c r="F6" s="2"/>
      <c r="G6" s="2"/>
      <c r="H6" s="2"/>
      <c r="I6" s="2"/>
      <c r="J6" s="2"/>
      <c r="K6" s="2"/>
      <c r="L6" s="2"/>
      <c r="M6" s="2"/>
      <c r="N6" s="2"/>
      <c r="O6" s="2"/>
      <c r="P6" s="2"/>
      <c r="Q6" s="2"/>
      <c r="R6" s="2"/>
    </row>
    <row r="7" spans="1:18" ht="15">
      <c r="A7" s="2" t="s">
        <v>351</v>
      </c>
      <c r="B7" s="2"/>
      <c r="C7" s="2"/>
      <c r="D7" s="2"/>
      <c r="E7" s="2"/>
      <c r="F7" s="2"/>
      <c r="G7" s="2"/>
      <c r="H7" s="2"/>
      <c r="I7" s="2"/>
      <c r="J7" s="2"/>
      <c r="K7" s="2"/>
      <c r="L7" s="2"/>
      <c r="M7" s="2"/>
      <c r="N7" s="2"/>
      <c r="O7" s="2"/>
      <c r="P7" s="2"/>
      <c r="Q7" s="2"/>
      <c r="R7" s="2"/>
    </row>
    <row r="8" spans="1:18" ht="15">
      <c r="A8" s="2" t="s">
        <v>350</v>
      </c>
      <c r="B8" s="2"/>
      <c r="C8" s="2"/>
      <c r="D8" s="2"/>
      <c r="E8" s="2"/>
      <c r="F8" s="2"/>
      <c r="G8" s="2"/>
      <c r="H8" s="2"/>
      <c r="I8" s="2"/>
      <c r="J8" s="2"/>
      <c r="K8" s="2"/>
      <c r="L8" s="2"/>
      <c r="M8" s="2"/>
      <c r="N8" s="2"/>
      <c r="O8" s="2"/>
      <c r="P8" s="2"/>
      <c r="Q8" s="2"/>
      <c r="R8" s="2"/>
    </row>
    <row r="9" spans="1:18" ht="15">
      <c r="A9" s="2"/>
      <c r="B9" s="2"/>
      <c r="C9" s="2"/>
      <c r="D9" s="2"/>
      <c r="E9" s="2"/>
      <c r="F9" s="2"/>
      <c r="G9" s="2"/>
      <c r="H9" s="2"/>
      <c r="I9" s="2"/>
      <c r="J9" s="2"/>
      <c r="K9" s="2"/>
      <c r="L9" s="2"/>
      <c r="M9" s="2"/>
      <c r="N9" s="2"/>
      <c r="O9" s="2"/>
      <c r="P9" s="2"/>
      <c r="Q9" s="2"/>
      <c r="R9" s="2"/>
    </row>
    <row r="10" spans="1:18" ht="29.25" customHeight="1">
      <c r="A10" s="583" t="s">
        <v>423</v>
      </c>
      <c r="B10" s="583"/>
      <c r="C10" s="583"/>
      <c r="D10" s="583"/>
      <c r="E10" s="583"/>
      <c r="F10" s="583"/>
      <c r="G10" s="583"/>
      <c r="H10" s="583"/>
      <c r="I10" s="583"/>
      <c r="J10" s="583"/>
      <c r="K10" s="583"/>
      <c r="L10" s="583"/>
      <c r="M10" s="583"/>
      <c r="N10" s="583"/>
      <c r="O10" s="583"/>
      <c r="P10" s="583"/>
      <c r="Q10" s="2"/>
      <c r="R10" s="2"/>
    </row>
    <row r="11" spans="1:18" ht="15">
      <c r="A11" s="2"/>
      <c r="B11" s="2"/>
      <c r="C11" s="2"/>
      <c r="D11" s="2"/>
      <c r="E11" s="2"/>
      <c r="F11" s="2"/>
      <c r="G11" s="2"/>
      <c r="H11" s="2"/>
      <c r="I11" s="2"/>
      <c r="J11" s="2"/>
      <c r="K11" s="2"/>
      <c r="L11" s="2"/>
      <c r="M11" s="2"/>
      <c r="N11" s="2"/>
      <c r="O11" s="2"/>
      <c r="P11" s="2"/>
      <c r="Q11" s="2"/>
      <c r="R11" s="2"/>
    </row>
    <row r="12" spans="1:18" ht="15">
      <c r="A12" s="2"/>
      <c r="B12" s="2"/>
      <c r="C12" s="2"/>
      <c r="D12" s="1" t="s">
        <v>374</v>
      </c>
      <c r="E12" s="1"/>
      <c r="F12" s="1"/>
      <c r="G12" s="2"/>
      <c r="H12" s="1" t="s">
        <v>395</v>
      </c>
      <c r="I12" s="1"/>
      <c r="J12" s="1"/>
      <c r="K12" s="2"/>
      <c r="L12" s="2"/>
      <c r="M12" s="2"/>
      <c r="N12" s="2"/>
      <c r="O12" s="2"/>
      <c r="P12" s="2"/>
      <c r="Q12" s="2"/>
      <c r="R12" s="2"/>
    </row>
    <row r="13" spans="1:18" ht="15">
      <c r="A13" s="2"/>
      <c r="B13" s="2"/>
      <c r="C13" s="2"/>
      <c r="D13" s="1" t="s">
        <v>396</v>
      </c>
      <c r="E13" s="1"/>
      <c r="F13" s="1"/>
      <c r="G13" s="2"/>
      <c r="H13" s="1" t="s">
        <v>397</v>
      </c>
      <c r="I13" s="1"/>
      <c r="J13" s="1"/>
      <c r="K13" s="2"/>
      <c r="L13" s="1" t="s">
        <v>424</v>
      </c>
      <c r="M13" s="1"/>
      <c r="N13" s="1"/>
      <c r="O13" s="2"/>
      <c r="P13" s="2"/>
      <c r="Q13" s="2"/>
      <c r="R13" s="2"/>
    </row>
    <row r="14" spans="1:17" ht="15">
      <c r="A14" s="1" t="s">
        <v>425</v>
      </c>
      <c r="B14" s="1"/>
      <c r="C14" s="2"/>
      <c r="D14" s="11" t="s">
        <v>377</v>
      </c>
      <c r="E14" s="11"/>
      <c r="F14" s="11" t="s">
        <v>398</v>
      </c>
      <c r="G14" s="12"/>
      <c r="H14" s="11" t="s">
        <v>377</v>
      </c>
      <c r="I14" s="11"/>
      <c r="J14" s="11" t="s">
        <v>398</v>
      </c>
      <c r="K14" s="12"/>
      <c r="L14" s="11" t="s">
        <v>377</v>
      </c>
      <c r="M14" s="11"/>
      <c r="N14" s="11" t="s">
        <v>398</v>
      </c>
      <c r="O14" s="12"/>
      <c r="P14" s="12" t="s">
        <v>377</v>
      </c>
      <c r="Q14" s="12"/>
    </row>
    <row r="15" spans="1:17" ht="15">
      <c r="A15" s="1" t="s">
        <v>378</v>
      </c>
      <c r="B15" s="1"/>
      <c r="C15" s="2"/>
      <c r="D15" s="12" t="s">
        <v>379</v>
      </c>
      <c r="E15" s="12"/>
      <c r="F15" s="12" t="s">
        <v>379</v>
      </c>
      <c r="G15" s="12"/>
      <c r="H15" s="12" t="s">
        <v>379</v>
      </c>
      <c r="I15" s="12"/>
      <c r="J15" s="12" t="s">
        <v>379</v>
      </c>
      <c r="K15" s="12"/>
      <c r="L15" s="12" t="s">
        <v>379</v>
      </c>
      <c r="M15" s="12"/>
      <c r="N15" s="12" t="s">
        <v>379</v>
      </c>
      <c r="O15" s="12"/>
      <c r="P15" s="12" t="s">
        <v>379</v>
      </c>
      <c r="Q15" s="12"/>
    </row>
    <row r="16" spans="1:17" ht="15">
      <c r="A16" s="3" t="s">
        <v>380</v>
      </c>
      <c r="B16" s="3"/>
      <c r="C16" s="2"/>
      <c r="D16" s="11" t="s">
        <v>400</v>
      </c>
      <c r="E16" s="2"/>
      <c r="F16" s="13" t="s">
        <v>426</v>
      </c>
      <c r="G16" s="2"/>
      <c r="H16" s="11" t="s">
        <v>402</v>
      </c>
      <c r="I16" s="2"/>
      <c r="J16" s="13" t="s">
        <v>427</v>
      </c>
      <c r="K16" s="2"/>
      <c r="L16" s="11" t="s">
        <v>428</v>
      </c>
      <c r="M16" s="2"/>
      <c r="N16" s="13" t="s">
        <v>429</v>
      </c>
      <c r="O16" s="2"/>
      <c r="P16" s="11" t="s">
        <v>430</v>
      </c>
      <c r="Q16" s="2"/>
    </row>
    <row r="17" spans="4:16" ht="15">
      <c r="D17" s="39"/>
      <c r="E17" s="39"/>
      <c r="F17" s="39">
        <f>'F 3B 4B'!$I$15</f>
        <v>0.5533</v>
      </c>
      <c r="G17" s="39"/>
      <c r="H17" s="39"/>
      <c r="I17" s="39"/>
      <c r="J17" s="39">
        <f>'F 3B 4B'!$I$17</f>
        <v>0.3596</v>
      </c>
      <c r="K17" s="39"/>
      <c r="L17" s="39"/>
      <c r="M17" s="39"/>
      <c r="N17" s="39">
        <f>'F 3B 4B'!$I$21</f>
        <v>0.0871</v>
      </c>
      <c r="O17" s="39"/>
      <c r="P17" s="39"/>
    </row>
    <row r="18" spans="4:16" ht="15">
      <c r="D18" s="39"/>
      <c r="E18" s="39"/>
      <c r="F18" s="39"/>
      <c r="G18" s="39"/>
      <c r="H18" s="39"/>
      <c r="I18" s="39"/>
      <c r="J18" s="39"/>
      <c r="K18" s="39"/>
      <c r="L18" s="39"/>
      <c r="M18" s="39"/>
      <c r="N18" s="39"/>
      <c r="O18" s="39"/>
      <c r="P18" s="39"/>
    </row>
    <row r="19" spans="1:16" ht="15">
      <c r="A19" s="2" t="s">
        <v>383</v>
      </c>
      <c r="D19" s="39">
        <f>'F 1-2'!$K$16</f>
        <v>0.4883</v>
      </c>
      <c r="E19" s="39"/>
      <c r="F19" s="39">
        <f>ROUND($F$17*D19,4)-0.0001</f>
        <v>0.2701</v>
      </c>
      <c r="G19" s="39"/>
      <c r="H19" s="39">
        <f>'F 2 B'!$J$17</f>
        <v>0.5196</v>
      </c>
      <c r="I19" s="39"/>
      <c r="J19" s="39">
        <f>ROUND($J$17*H19,4)+0.0001</f>
        <v>0.18689999999999998</v>
      </c>
      <c r="K19" s="39"/>
      <c r="L19" s="39"/>
      <c r="M19" s="39"/>
      <c r="N19" s="39"/>
      <c r="O19" s="39"/>
      <c r="P19" s="39">
        <f aca="true" t="shared" si="0" ref="P19:P25">N19+J19+F19</f>
        <v>0.45699999999999996</v>
      </c>
    </row>
    <row r="20" spans="1:16" ht="15">
      <c r="A20" s="2" t="s">
        <v>384</v>
      </c>
      <c r="D20" s="39">
        <f>'F 1-2'!$K$17</f>
        <v>0.3058</v>
      </c>
      <c r="E20" s="39"/>
      <c r="F20" s="39">
        <f aca="true" t="shared" si="1" ref="F20:F25">ROUND($F$17*D20,4)</f>
        <v>0.1692</v>
      </c>
      <c r="G20" s="39"/>
      <c r="H20" s="39">
        <f>'F 2 B'!$J$18</f>
        <v>0.3073</v>
      </c>
      <c r="I20" s="39"/>
      <c r="J20" s="39">
        <f>ROUND($J$17*H20,4)</f>
        <v>0.1105</v>
      </c>
      <c r="K20" s="39"/>
      <c r="L20" s="39"/>
      <c r="M20" s="39"/>
      <c r="N20" s="39"/>
      <c r="O20" s="39"/>
      <c r="P20" s="39">
        <f t="shared" si="0"/>
        <v>0.2797</v>
      </c>
    </row>
    <row r="21" spans="1:16" ht="15">
      <c r="A21" s="2" t="s">
        <v>385</v>
      </c>
      <c r="D21" s="39">
        <f>'F 1-2'!$K$18</f>
        <v>0.041</v>
      </c>
      <c r="E21" s="39"/>
      <c r="F21" s="39">
        <f>ROUND($F$17*D21,4)</f>
        <v>0.0227</v>
      </c>
      <c r="G21" s="39"/>
      <c r="H21" s="39">
        <f>'F 2 B'!$J$19</f>
        <v>0.0339</v>
      </c>
      <c r="I21" s="39"/>
      <c r="J21" s="39">
        <f>ROUND($J$17*H21,4)</f>
        <v>0.0122</v>
      </c>
      <c r="K21" s="39"/>
      <c r="L21" s="39"/>
      <c r="M21" s="39"/>
      <c r="N21" s="39"/>
      <c r="O21" s="39"/>
      <c r="P21" s="39">
        <f t="shared" si="0"/>
        <v>0.0349</v>
      </c>
    </row>
    <row r="22" spans="1:16" ht="15">
      <c r="A22" s="2" t="s">
        <v>387</v>
      </c>
      <c r="D22" s="39">
        <f>'F 1-2'!$K$19</f>
        <v>0.1223</v>
      </c>
      <c r="E22" s="39"/>
      <c r="F22" s="351">
        <f t="shared" si="1"/>
        <v>0.0677</v>
      </c>
      <c r="G22" s="39"/>
      <c r="H22" s="39">
        <f>'F 2 B'!$J$20</f>
        <v>0.1085</v>
      </c>
      <c r="I22" s="39"/>
      <c r="J22" s="39">
        <f>ROUND($J$17*H22,4)</f>
        <v>0.039</v>
      </c>
      <c r="K22" s="39"/>
      <c r="L22" s="39"/>
      <c r="M22" s="39"/>
      <c r="N22" s="39"/>
      <c r="O22" s="39"/>
      <c r="P22" s="39">
        <f t="shared" si="0"/>
        <v>0.10669999999999999</v>
      </c>
    </row>
    <row r="23" spans="1:16" ht="15">
      <c r="A23" s="2" t="s">
        <v>508</v>
      </c>
      <c r="D23" s="39">
        <f>'F 1-2'!$K$20</f>
        <v>0.0371</v>
      </c>
      <c r="E23" s="39"/>
      <c r="F23" s="39">
        <f>ROUND($F$17*D23,4)</f>
        <v>0.0205</v>
      </c>
      <c r="G23" s="39"/>
      <c r="H23" s="39">
        <f>'F 2 B'!$J$21</f>
        <v>0.0307</v>
      </c>
      <c r="I23" s="39"/>
      <c r="J23" s="39">
        <f>ROUND($J$17*H23,4)</f>
        <v>0.011</v>
      </c>
      <c r="K23" s="39"/>
      <c r="L23" s="39"/>
      <c r="M23" s="39"/>
      <c r="N23" s="39"/>
      <c r="O23" s="39"/>
      <c r="P23" s="39">
        <f t="shared" si="0"/>
        <v>0.0315</v>
      </c>
    </row>
    <row r="24" spans="1:16" ht="15">
      <c r="A24" s="2" t="s">
        <v>389</v>
      </c>
      <c r="D24" s="39">
        <f>'F 1-2'!$K$21</f>
        <v>0.0025</v>
      </c>
      <c r="E24" s="39"/>
      <c r="F24" s="39">
        <f t="shared" si="1"/>
        <v>0.0014</v>
      </c>
      <c r="G24" s="39"/>
      <c r="H24" s="39"/>
      <c r="I24" s="39"/>
      <c r="J24" s="39"/>
      <c r="K24" s="39"/>
      <c r="L24" s="39">
        <f>Fire!$O$26</f>
        <v>0.4484</v>
      </c>
      <c r="M24" s="39"/>
      <c r="N24" s="39">
        <f>ROUND($N$17*L24,4)</f>
        <v>0.0391</v>
      </c>
      <c r="O24" s="39"/>
      <c r="P24" s="39">
        <f t="shared" si="0"/>
        <v>0.0405</v>
      </c>
    </row>
    <row r="25" spans="1:16" ht="15">
      <c r="A25" s="2" t="s">
        <v>390</v>
      </c>
      <c r="D25" s="39">
        <f>'F 1-2'!$K$22</f>
        <v>0.003</v>
      </c>
      <c r="E25" s="39"/>
      <c r="F25" s="39">
        <f t="shared" si="1"/>
        <v>0.0017</v>
      </c>
      <c r="G25" s="39"/>
      <c r="H25" s="39"/>
      <c r="I25" s="39"/>
      <c r="J25" s="39"/>
      <c r="K25" s="39"/>
      <c r="L25" s="39">
        <f>Fire!$O$33</f>
        <v>0.5516</v>
      </c>
      <c r="M25" s="39"/>
      <c r="N25" s="39">
        <f>ROUND($N$17*L25,4)</f>
        <v>0.048</v>
      </c>
      <c r="O25" s="39"/>
      <c r="P25" s="39">
        <f t="shared" si="0"/>
        <v>0.0497</v>
      </c>
    </row>
    <row r="26" spans="1:16" ht="15">
      <c r="A26" s="2"/>
      <c r="D26" s="40"/>
      <c r="E26" s="39"/>
      <c r="F26" s="40"/>
      <c r="G26" s="39"/>
      <c r="H26" s="40"/>
      <c r="I26" s="39"/>
      <c r="J26" s="40"/>
      <c r="K26" s="39"/>
      <c r="L26" s="40"/>
      <c r="M26" s="39"/>
      <c r="N26" s="40"/>
      <c r="O26" s="39"/>
      <c r="P26" s="40"/>
    </row>
    <row r="27" spans="1:16" ht="15">
      <c r="A27" s="2" t="s">
        <v>391</v>
      </c>
      <c r="D27" s="39">
        <f>SUM(D19:D25)</f>
        <v>1</v>
      </c>
      <c r="E27" s="39"/>
      <c r="F27" s="39">
        <f>SUM(F19:F25)</f>
        <v>0.5533</v>
      </c>
      <c r="G27" s="39"/>
      <c r="H27" s="39">
        <f>SUM(H19:H25)</f>
        <v>1</v>
      </c>
      <c r="I27" s="39"/>
      <c r="J27" s="39">
        <f>SUM(J19:J25)</f>
        <v>0.3596</v>
      </c>
      <c r="K27" s="39"/>
      <c r="L27" s="39">
        <f>SUM(L19:L25)</f>
        <v>1</v>
      </c>
      <c r="M27" s="39"/>
      <c r="N27" s="39">
        <f>SUM(N19:N25)</f>
        <v>0.08710000000000001</v>
      </c>
      <c r="O27" s="39"/>
      <c r="P27" s="39">
        <f>SUM(P19:P25)</f>
        <v>0.9999999999999999</v>
      </c>
    </row>
    <row r="28" spans="4:16" ht="15">
      <c r="D28" s="41"/>
      <c r="E28" s="39"/>
      <c r="F28" s="41"/>
      <c r="G28" s="39"/>
      <c r="H28" s="41"/>
      <c r="I28" s="39"/>
      <c r="J28" s="41"/>
      <c r="K28" s="39"/>
      <c r="L28" s="41"/>
      <c r="M28" s="39"/>
      <c r="N28" s="41"/>
      <c r="O28" s="39"/>
      <c r="P28" s="41"/>
    </row>
    <row r="31" spans="1:67" ht="15">
      <c r="A31" s="37" t="s">
        <v>7</v>
      </c>
      <c r="B31" s="1"/>
      <c r="C31" s="1"/>
      <c r="D31" s="1"/>
      <c r="E31" s="1"/>
      <c r="F31" s="1"/>
      <c r="G31" s="37"/>
      <c r="H31" s="1"/>
      <c r="I31" s="1"/>
      <c r="J31" s="1"/>
      <c r="K31" s="1"/>
      <c r="L31" s="1"/>
      <c r="M31" s="1"/>
      <c r="N31" s="1"/>
      <c r="O31" s="1"/>
      <c r="P31" s="1"/>
      <c r="Q31" s="1"/>
      <c r="R31" s="1"/>
      <c r="S31" s="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row>
    <row r="32" spans="1:19" ht="15">
      <c r="A32" s="37"/>
      <c r="B32" s="1"/>
      <c r="C32" s="1"/>
      <c r="D32" s="1"/>
      <c r="E32" s="1"/>
      <c r="F32" s="1"/>
      <c r="G32" s="37"/>
      <c r="H32" s="1"/>
      <c r="I32" s="1"/>
      <c r="J32" s="1"/>
      <c r="K32" s="1"/>
      <c r="L32" s="1"/>
      <c r="M32" s="1"/>
      <c r="N32" s="1"/>
      <c r="O32" s="1"/>
      <c r="P32" s="1"/>
      <c r="Q32" s="1"/>
      <c r="R32" s="1"/>
      <c r="S32" s="2"/>
    </row>
    <row r="33" spans="1:19" ht="15">
      <c r="A33" s="1"/>
      <c r="B33" s="1"/>
      <c r="C33" s="1"/>
      <c r="D33" s="1"/>
      <c r="E33" s="1"/>
      <c r="F33" s="1"/>
      <c r="G33" s="1"/>
      <c r="H33" s="1"/>
      <c r="I33" s="1"/>
      <c r="J33" s="1"/>
      <c r="K33" s="1"/>
      <c r="L33" s="1"/>
      <c r="M33" s="1"/>
      <c r="N33" s="1"/>
      <c r="O33" s="1"/>
      <c r="P33" s="1"/>
      <c r="Q33" s="1"/>
      <c r="R33" s="1"/>
      <c r="S33" s="2"/>
    </row>
    <row r="34" spans="1:19" ht="15">
      <c r="A34" s="1" t="s">
        <v>407</v>
      </c>
      <c r="B34" s="1"/>
      <c r="C34" s="1"/>
      <c r="D34" s="37"/>
      <c r="E34" s="1"/>
      <c r="F34" s="1"/>
      <c r="G34" s="1"/>
      <c r="H34" s="1"/>
      <c r="I34" s="1"/>
      <c r="J34" s="1"/>
      <c r="K34" s="1"/>
      <c r="L34" s="1"/>
      <c r="M34" s="1"/>
      <c r="N34" s="1"/>
      <c r="O34" s="1"/>
      <c r="P34" s="1"/>
      <c r="Q34" s="1"/>
      <c r="R34" s="1"/>
      <c r="S34" s="2"/>
    </row>
    <row r="35" spans="1:19" ht="15">
      <c r="A35" s="2"/>
      <c r="B35" s="2"/>
      <c r="C35" s="2"/>
      <c r="D35" s="2"/>
      <c r="E35" s="2"/>
      <c r="F35" s="2"/>
      <c r="G35" s="2"/>
      <c r="H35" s="2"/>
      <c r="I35" s="2"/>
      <c r="J35" s="2"/>
      <c r="K35" s="2"/>
      <c r="L35" s="2"/>
      <c r="M35" s="2"/>
      <c r="N35" s="2"/>
      <c r="O35" s="2"/>
      <c r="P35" s="2"/>
      <c r="Q35" s="2"/>
      <c r="R35" s="2"/>
      <c r="S35" s="2"/>
    </row>
    <row r="36" spans="1:19" ht="15">
      <c r="A36" s="2"/>
      <c r="B36" s="2"/>
      <c r="C36" s="2"/>
      <c r="D36" s="2"/>
      <c r="E36" s="2"/>
      <c r="F36" s="2"/>
      <c r="G36" s="2"/>
      <c r="H36" s="2"/>
      <c r="I36" s="2"/>
      <c r="J36" s="2"/>
      <c r="K36" s="2"/>
      <c r="L36" s="2"/>
      <c r="M36" s="2"/>
      <c r="N36" s="2"/>
      <c r="O36" s="2"/>
      <c r="P36" s="2"/>
      <c r="Q36" s="2"/>
      <c r="R36" s="2"/>
      <c r="S36" s="2"/>
    </row>
    <row r="37" spans="1:19" ht="15">
      <c r="A37" s="2" t="s">
        <v>319</v>
      </c>
      <c r="B37" s="2"/>
      <c r="C37" s="2"/>
      <c r="D37" s="2"/>
      <c r="E37" s="2"/>
      <c r="F37" s="2"/>
      <c r="G37" s="2"/>
      <c r="H37" s="2"/>
      <c r="I37" s="2"/>
      <c r="J37" s="2"/>
      <c r="K37" s="2"/>
      <c r="L37" s="2"/>
      <c r="M37" s="2"/>
      <c r="N37" s="2"/>
      <c r="O37" s="2"/>
      <c r="P37" s="2"/>
      <c r="Q37" s="2"/>
      <c r="R37" s="2"/>
      <c r="S37" s="2"/>
    </row>
    <row r="38" spans="1:36"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19" ht="15">
      <c r="A39" s="2"/>
      <c r="B39" s="2"/>
      <c r="C39" s="2"/>
      <c r="D39" s="2"/>
      <c r="E39" s="2"/>
      <c r="F39" s="2"/>
      <c r="G39" s="2"/>
      <c r="H39" s="2"/>
      <c r="I39" s="2"/>
      <c r="J39" s="2"/>
      <c r="K39" s="2"/>
      <c r="L39" s="2"/>
      <c r="M39" s="2"/>
      <c r="N39" s="2"/>
      <c r="O39" s="2"/>
      <c r="P39" s="2"/>
      <c r="Q39" s="2"/>
      <c r="R39" s="2"/>
      <c r="S39" s="2"/>
    </row>
    <row r="40" spans="1:19" ht="27.75" customHeight="1">
      <c r="A40" s="583" t="s">
        <v>423</v>
      </c>
      <c r="B40" s="583"/>
      <c r="C40" s="583"/>
      <c r="D40" s="583"/>
      <c r="E40" s="583"/>
      <c r="F40" s="583"/>
      <c r="G40" s="583"/>
      <c r="H40" s="583"/>
      <c r="I40" s="583"/>
      <c r="J40" s="583"/>
      <c r="K40" s="583"/>
      <c r="L40" s="583"/>
      <c r="M40" s="583"/>
      <c r="N40" s="583"/>
      <c r="O40" s="583"/>
      <c r="P40" s="583"/>
      <c r="Q40" s="583"/>
      <c r="R40" s="583"/>
      <c r="S40" s="2"/>
    </row>
    <row r="41" spans="1:19" ht="15">
      <c r="A41" s="2"/>
      <c r="B41" s="2"/>
      <c r="C41" s="2"/>
      <c r="D41" s="2"/>
      <c r="E41" s="2"/>
      <c r="F41" s="2"/>
      <c r="G41" s="2"/>
      <c r="H41" s="2"/>
      <c r="I41" s="2"/>
      <c r="J41" s="2"/>
      <c r="K41" s="2"/>
      <c r="L41" s="2"/>
      <c r="M41" s="2"/>
      <c r="N41" s="2"/>
      <c r="O41" s="2"/>
      <c r="P41" s="2"/>
      <c r="Q41" s="2"/>
      <c r="R41" s="2"/>
      <c r="S41" s="2"/>
    </row>
    <row r="42" spans="1:19" ht="15">
      <c r="A42" s="2"/>
      <c r="B42" s="2"/>
      <c r="C42" s="2"/>
      <c r="D42" s="2"/>
      <c r="E42" s="2"/>
      <c r="F42" s="2"/>
      <c r="G42" s="2"/>
      <c r="H42" s="2"/>
      <c r="I42" s="2"/>
      <c r="J42" s="1" t="s">
        <v>431</v>
      </c>
      <c r="K42" s="1"/>
      <c r="L42" s="1"/>
      <c r="M42" s="2"/>
      <c r="N42" s="2"/>
      <c r="O42" s="2"/>
      <c r="P42" s="2"/>
      <c r="Q42" s="2"/>
      <c r="R42" s="2"/>
      <c r="S42" s="2"/>
    </row>
    <row r="43" spans="1:19" ht="15">
      <c r="A43" s="2"/>
      <c r="B43" s="2"/>
      <c r="C43" s="2"/>
      <c r="D43" s="1" t="s">
        <v>432</v>
      </c>
      <c r="E43" s="1"/>
      <c r="F43" s="1"/>
      <c r="G43" s="1"/>
      <c r="H43" s="1"/>
      <c r="I43" s="2"/>
      <c r="J43" s="1" t="s">
        <v>397</v>
      </c>
      <c r="K43" s="1"/>
      <c r="L43" s="1"/>
      <c r="M43" s="2"/>
      <c r="N43" s="1" t="s">
        <v>424</v>
      </c>
      <c r="O43" s="1"/>
      <c r="P43" s="1"/>
      <c r="Q43" s="2"/>
      <c r="R43" s="2"/>
      <c r="S43" s="2"/>
    </row>
    <row r="44" spans="1:19" ht="15">
      <c r="A44" s="1" t="s">
        <v>425</v>
      </c>
      <c r="B44" s="1"/>
      <c r="C44" s="2"/>
      <c r="D44" s="11"/>
      <c r="E44" s="11"/>
      <c r="F44" s="11" t="s">
        <v>377</v>
      </c>
      <c r="G44" s="11"/>
      <c r="H44" s="11" t="s">
        <v>398</v>
      </c>
      <c r="I44" s="12"/>
      <c r="J44" s="11" t="s">
        <v>377</v>
      </c>
      <c r="K44" s="11"/>
      <c r="L44" s="11" t="s">
        <v>398</v>
      </c>
      <c r="M44" s="12"/>
      <c r="N44" s="11" t="s">
        <v>377</v>
      </c>
      <c r="O44" s="11"/>
      <c r="P44" s="11" t="s">
        <v>398</v>
      </c>
      <c r="Q44" s="12"/>
      <c r="R44" s="12" t="s">
        <v>377</v>
      </c>
      <c r="S44" s="2"/>
    </row>
    <row r="45" spans="1:19" ht="15">
      <c r="A45" s="1" t="s">
        <v>378</v>
      </c>
      <c r="B45" s="1"/>
      <c r="C45" s="2"/>
      <c r="D45" s="12" t="s">
        <v>9</v>
      </c>
      <c r="E45" s="12"/>
      <c r="F45" s="12" t="s">
        <v>379</v>
      </c>
      <c r="G45" s="12"/>
      <c r="H45" s="12" t="s">
        <v>379</v>
      </c>
      <c r="I45" s="12"/>
      <c r="J45" s="12" t="s">
        <v>379</v>
      </c>
      <c r="K45" s="12"/>
      <c r="L45" s="12" t="s">
        <v>379</v>
      </c>
      <c r="M45" s="12"/>
      <c r="N45" s="12" t="s">
        <v>379</v>
      </c>
      <c r="O45" s="12"/>
      <c r="P45" s="12" t="s">
        <v>379</v>
      </c>
      <c r="Q45" s="12"/>
      <c r="R45" s="12" t="s">
        <v>379</v>
      </c>
      <c r="S45" s="2"/>
    </row>
    <row r="46" spans="1:19" ht="15">
      <c r="A46" s="3" t="s">
        <v>380</v>
      </c>
      <c r="B46" s="3"/>
      <c r="C46" s="2"/>
      <c r="D46" s="11" t="s">
        <v>400</v>
      </c>
      <c r="E46" s="2"/>
      <c r="F46" s="11" t="s">
        <v>382</v>
      </c>
      <c r="G46" s="2"/>
      <c r="H46" s="13" t="s">
        <v>433</v>
      </c>
      <c r="I46" s="2"/>
      <c r="J46" s="11" t="s">
        <v>414</v>
      </c>
      <c r="K46" s="2"/>
      <c r="L46" s="13" t="s">
        <v>434</v>
      </c>
      <c r="M46" s="2"/>
      <c r="N46" s="11" t="s">
        <v>435</v>
      </c>
      <c r="O46" s="2"/>
      <c r="P46" s="13" t="s">
        <v>436</v>
      </c>
      <c r="Q46" s="2"/>
      <c r="R46" s="11" t="s">
        <v>437</v>
      </c>
      <c r="S46" s="2"/>
    </row>
    <row r="47" spans="1:19" ht="15">
      <c r="A47" s="2"/>
      <c r="B47" s="2"/>
      <c r="C47" s="2"/>
      <c r="D47" s="2"/>
      <c r="E47" s="2"/>
      <c r="F47" s="2"/>
      <c r="G47" s="2"/>
      <c r="H47" s="5">
        <f>'F 3B 4B'!$I$44</f>
        <v>0.3475</v>
      </c>
      <c r="I47" s="5"/>
      <c r="J47" s="5"/>
      <c r="K47" s="5"/>
      <c r="L47" s="5">
        <f>'F 3B 4B'!$I$46</f>
        <v>0.5212</v>
      </c>
      <c r="M47" s="5"/>
      <c r="N47" s="5"/>
      <c r="O47" s="5"/>
      <c r="P47" s="5">
        <f>'F 3B 4B'!$I$50</f>
        <v>0.1313</v>
      </c>
      <c r="Q47" s="2"/>
      <c r="R47" s="42"/>
      <c r="S47" s="2"/>
    </row>
    <row r="48" spans="1:19" ht="15">
      <c r="A48" s="2"/>
      <c r="B48" s="2"/>
      <c r="C48" s="2"/>
      <c r="D48" s="2"/>
      <c r="E48" s="2"/>
      <c r="F48" s="2"/>
      <c r="G48" s="2"/>
      <c r="H48" s="2"/>
      <c r="I48" s="2"/>
      <c r="J48" s="2"/>
      <c r="K48" s="2"/>
      <c r="L48" s="2"/>
      <c r="M48" s="2"/>
      <c r="N48" s="2"/>
      <c r="O48" s="2"/>
      <c r="P48" s="2"/>
      <c r="Q48" s="2"/>
      <c r="R48" s="2"/>
      <c r="S48" s="2"/>
    </row>
    <row r="49" spans="1:43" ht="15">
      <c r="A49" s="2" t="s">
        <v>383</v>
      </c>
      <c r="B49" s="2"/>
      <c r="C49" s="2"/>
      <c r="D49" s="191">
        <f>ROUND(('F 1-2'!$G$16/24),1)</f>
        <v>940.7</v>
      </c>
      <c r="E49" s="2"/>
      <c r="F49" s="5">
        <f>ROUND(+D49/$D$57,4)</f>
        <v>0.4883</v>
      </c>
      <c r="G49" s="2"/>
      <c r="H49" s="5">
        <f>ROUND(F49*$H$47,4)</f>
        <v>0.1697</v>
      </c>
      <c r="I49" s="2"/>
      <c r="J49" s="5">
        <f>'F 3B 4B'!$K$62</f>
        <v>0.541</v>
      </c>
      <c r="K49" s="2"/>
      <c r="L49" s="5">
        <f>ROUND(J49*$L$47,4)-0.0001</f>
        <v>0.2819</v>
      </c>
      <c r="M49" s="2"/>
      <c r="N49" s="5"/>
      <c r="O49" s="2"/>
      <c r="P49" s="5"/>
      <c r="Q49" s="2"/>
      <c r="R49" s="5">
        <f aca="true" t="shared" si="2" ref="R49:R55">H49+L49+P49</f>
        <v>0.4516</v>
      </c>
      <c r="S49" s="2"/>
      <c r="W49" s="409"/>
      <c r="X49" s="409"/>
      <c r="Y49" s="409"/>
      <c r="Z49" s="409"/>
      <c r="AA49" s="409"/>
      <c r="AB49" s="409"/>
      <c r="AC49" s="409"/>
      <c r="AD49" s="409"/>
      <c r="AE49" s="409"/>
      <c r="AF49" s="409"/>
      <c r="AG49" s="384"/>
      <c r="AH49" s="409"/>
      <c r="AI49" s="409"/>
      <c r="AJ49" s="409"/>
      <c r="AK49" s="409"/>
      <c r="AL49" s="409"/>
      <c r="AM49" s="409"/>
      <c r="AN49" s="409"/>
      <c r="AO49" s="409"/>
      <c r="AP49" s="409"/>
      <c r="AQ49" s="409"/>
    </row>
    <row r="50" spans="1:43" ht="15">
      <c r="A50" s="2" t="s">
        <v>384</v>
      </c>
      <c r="B50" s="2"/>
      <c r="C50" s="2"/>
      <c r="D50" s="191">
        <f>ROUND(('F 1-2'!$G$17/24),1)</f>
        <v>589</v>
      </c>
      <c r="E50" s="2"/>
      <c r="F50" s="5">
        <f aca="true" t="shared" si="3" ref="F50:F55">ROUND(+D50/$D$57,4)</f>
        <v>0.3057</v>
      </c>
      <c r="G50" s="2"/>
      <c r="H50" s="5">
        <f aca="true" t="shared" si="4" ref="H50:H55">ROUND(F50*$H$47,4)</f>
        <v>0.1062</v>
      </c>
      <c r="I50" s="2"/>
      <c r="J50" s="5">
        <f>'F 3B 4B'!$K$63</f>
        <v>0.3188</v>
      </c>
      <c r="K50" s="2"/>
      <c r="L50" s="5">
        <f>ROUND(J50*$L$47,4)</f>
        <v>0.1662</v>
      </c>
      <c r="M50" s="2"/>
      <c r="N50" s="2"/>
      <c r="O50" s="2"/>
      <c r="P50" s="2"/>
      <c r="Q50" s="2"/>
      <c r="R50" s="5">
        <f t="shared" si="2"/>
        <v>0.2724</v>
      </c>
      <c r="S50" s="2"/>
      <c r="U50" s="356"/>
      <c r="V50" s="356"/>
      <c r="W50" s="410"/>
      <c r="X50" s="410"/>
      <c r="Y50" s="411"/>
      <c r="Z50" s="411"/>
      <c r="AA50" s="411"/>
      <c r="AB50" s="409"/>
      <c r="AC50" s="412"/>
      <c r="AD50" s="410"/>
      <c r="AE50" s="412"/>
      <c r="AF50" s="409"/>
      <c r="AG50" s="384"/>
      <c r="AH50" s="409"/>
      <c r="AI50" s="384"/>
      <c r="AJ50" s="409"/>
      <c r="AK50" s="409"/>
      <c r="AL50" s="413"/>
      <c r="AM50" s="414"/>
      <c r="AN50" s="409"/>
      <c r="AO50" s="409"/>
      <c r="AP50" s="409"/>
      <c r="AQ50" s="409"/>
    </row>
    <row r="51" spans="1:43" s="353" customFormat="1" ht="15.75">
      <c r="A51" s="2" t="s">
        <v>385</v>
      </c>
      <c r="B51" s="2"/>
      <c r="C51" s="2"/>
      <c r="D51" s="191">
        <f>ROUND(('F 1-2'!$G$18)/24,1)</f>
        <v>78.9</v>
      </c>
      <c r="E51" s="2"/>
      <c r="F51" s="5">
        <f t="shared" si="3"/>
        <v>0.041</v>
      </c>
      <c r="G51" s="2"/>
      <c r="H51" s="5">
        <f t="shared" si="4"/>
        <v>0.0142</v>
      </c>
      <c r="I51" s="2"/>
      <c r="J51" s="5">
        <f>'F 3B 4B'!$K$64</f>
        <v>0.0307</v>
      </c>
      <c r="K51" s="2"/>
      <c r="L51" s="5">
        <f>ROUND(J51*$L$47,4)</f>
        <v>0.016</v>
      </c>
      <c r="M51" s="2"/>
      <c r="N51" s="2"/>
      <c r="O51" s="2"/>
      <c r="P51" s="2"/>
      <c r="Q51" s="2"/>
      <c r="R51" s="5">
        <f t="shared" si="2"/>
        <v>0.0302</v>
      </c>
      <c r="S51" s="136"/>
      <c r="T51" s="363"/>
      <c r="U51" s="356"/>
      <c r="V51" s="356"/>
      <c r="W51" s="410"/>
      <c r="X51" s="410"/>
      <c r="Y51" s="410"/>
      <c r="Z51" s="410"/>
      <c r="AA51" s="410"/>
      <c r="AB51" s="415"/>
      <c r="AC51" s="412"/>
      <c r="AD51" s="410"/>
      <c r="AE51" s="412"/>
      <c r="AF51" s="415"/>
      <c r="AG51" s="384"/>
      <c r="AH51" s="409"/>
      <c r="AI51" s="384"/>
      <c r="AJ51" s="409"/>
      <c r="AK51" s="415"/>
      <c r="AL51" s="416"/>
      <c r="AM51" s="416"/>
      <c r="AN51" s="415"/>
      <c r="AO51" s="415"/>
      <c r="AP51" s="415"/>
      <c r="AQ51" s="415"/>
    </row>
    <row r="52" spans="1:43" ht="15">
      <c r="A52" s="2" t="s">
        <v>387</v>
      </c>
      <c r="B52" s="2"/>
      <c r="C52" s="2"/>
      <c r="D52" s="191">
        <f>ROUND(('F 1-2'!$G$19/24),1)</f>
        <v>235.7</v>
      </c>
      <c r="E52" s="2"/>
      <c r="F52" s="5">
        <f t="shared" si="3"/>
        <v>0.1223</v>
      </c>
      <c r="G52" s="2"/>
      <c r="H52" s="5">
        <f t="shared" si="4"/>
        <v>0.0425</v>
      </c>
      <c r="I52" s="2"/>
      <c r="J52" s="5">
        <f>'F 3B 4B'!$K$65</f>
        <v>0.0877</v>
      </c>
      <c r="K52" s="2"/>
      <c r="L52" s="326">
        <f>ROUND(J52*$L$47,4)</f>
        <v>0.0457</v>
      </c>
      <c r="M52" s="2"/>
      <c r="N52" s="2"/>
      <c r="O52" s="2"/>
      <c r="P52" s="2"/>
      <c r="Q52" s="2"/>
      <c r="R52" s="5">
        <f t="shared" si="2"/>
        <v>0.0882</v>
      </c>
      <c r="S52" s="2"/>
      <c r="U52" s="356"/>
      <c r="V52" s="356"/>
      <c r="W52" s="410"/>
      <c r="X52" s="410"/>
      <c r="Y52" s="417"/>
      <c r="Z52" s="410"/>
      <c r="AA52" s="410"/>
      <c r="AB52" s="414"/>
      <c r="AC52" s="418"/>
      <c r="AD52" s="410"/>
      <c r="AE52" s="418"/>
      <c r="AF52" s="409"/>
      <c r="AG52" s="414"/>
      <c r="AH52" s="409"/>
      <c r="AI52" s="414"/>
      <c r="AJ52" s="409"/>
      <c r="AK52" s="409"/>
      <c r="AL52" s="413"/>
      <c r="AM52" s="413"/>
      <c r="AN52" s="409"/>
      <c r="AO52" s="409"/>
      <c r="AP52" s="409"/>
      <c r="AQ52" s="409"/>
    </row>
    <row r="53" spans="1:43" ht="15">
      <c r="A53" s="2" t="s">
        <v>508</v>
      </c>
      <c r="B53" s="2"/>
      <c r="C53" s="2"/>
      <c r="D53" s="191">
        <f>ROUND(('F 1-2'!$G$20/24),1)</f>
        <v>71.5</v>
      </c>
      <c r="E53" s="2"/>
      <c r="F53" s="5">
        <f>ROUND(+D53/$D$57,4)</f>
        <v>0.0371</v>
      </c>
      <c r="G53" s="2"/>
      <c r="H53" s="5">
        <f t="shared" si="4"/>
        <v>0.0129</v>
      </c>
      <c r="I53" s="2"/>
      <c r="J53" s="5">
        <f>'F 3B 4B'!$K$66</f>
        <v>0.0218</v>
      </c>
      <c r="K53" s="2"/>
      <c r="L53" s="5">
        <f>ROUND(J53*$L$47,4)</f>
        <v>0.0114</v>
      </c>
      <c r="M53" s="2"/>
      <c r="N53" s="5"/>
      <c r="O53" s="2"/>
      <c r="P53" s="5"/>
      <c r="Q53" s="2"/>
      <c r="R53" s="5">
        <f t="shared" si="2"/>
        <v>0.024300000000000002</v>
      </c>
      <c r="S53" s="2"/>
      <c r="U53" s="356"/>
      <c r="V53" s="356"/>
      <c r="W53" s="410"/>
      <c r="X53" s="410"/>
      <c r="Y53" s="417"/>
      <c r="Z53" s="410"/>
      <c r="AA53" s="410"/>
      <c r="AB53" s="414"/>
      <c r="AC53" s="418"/>
      <c r="AD53" s="410"/>
      <c r="AE53" s="418"/>
      <c r="AF53" s="409"/>
      <c r="AG53" s="414"/>
      <c r="AH53" s="409"/>
      <c r="AI53" s="414"/>
      <c r="AJ53" s="409"/>
      <c r="AK53" s="409"/>
      <c r="AL53" s="413"/>
      <c r="AM53" s="414"/>
      <c r="AN53" s="409"/>
      <c r="AO53" s="409"/>
      <c r="AP53" s="409"/>
      <c r="AQ53" s="409"/>
    </row>
    <row r="54" spans="1:43" ht="15">
      <c r="A54" s="2" t="s">
        <v>389</v>
      </c>
      <c r="B54" s="2"/>
      <c r="C54" s="2"/>
      <c r="D54" s="191">
        <f>ROUND(('F 1-2'!$G$21/24),1)</f>
        <v>4.8</v>
      </c>
      <c r="E54" s="2"/>
      <c r="F54" s="5">
        <f t="shared" si="3"/>
        <v>0.0025</v>
      </c>
      <c r="G54" s="2"/>
      <c r="H54" s="5">
        <f t="shared" si="4"/>
        <v>0.0009</v>
      </c>
      <c r="I54" s="2"/>
      <c r="J54" s="5"/>
      <c r="K54" s="2"/>
      <c r="L54" s="5"/>
      <c r="M54" s="2"/>
      <c r="N54" s="5">
        <f>Fire!$O$26</f>
        <v>0.4484</v>
      </c>
      <c r="O54" s="2"/>
      <c r="P54" s="326">
        <f>ROUND(N54*$P$47,4)</f>
        <v>0.0589</v>
      </c>
      <c r="Q54" s="2"/>
      <c r="R54" s="5">
        <f t="shared" si="2"/>
        <v>0.0598</v>
      </c>
      <c r="S54" s="2"/>
      <c r="U54" s="356"/>
      <c r="V54" s="356"/>
      <c r="W54" s="410"/>
      <c r="X54" s="410"/>
      <c r="Y54" s="417"/>
      <c r="Z54" s="410"/>
      <c r="AA54" s="410"/>
      <c r="AB54" s="414"/>
      <c r="AC54" s="418"/>
      <c r="AD54" s="410"/>
      <c r="AE54" s="418"/>
      <c r="AF54" s="409"/>
      <c r="AG54" s="414"/>
      <c r="AH54" s="409"/>
      <c r="AI54" s="414"/>
      <c r="AJ54" s="409"/>
      <c r="AK54" s="409"/>
      <c r="AL54" s="413"/>
      <c r="AM54" s="414"/>
      <c r="AN54" s="409"/>
      <c r="AO54" s="409"/>
      <c r="AP54" s="409"/>
      <c r="AQ54" s="409"/>
    </row>
    <row r="55" spans="1:35" ht="15">
      <c r="A55" s="2" t="s">
        <v>390</v>
      </c>
      <c r="B55" s="2"/>
      <c r="C55" s="2"/>
      <c r="D55" s="191">
        <f>ROUND(('F 1-2'!$G$22/24),1)</f>
        <v>5.9</v>
      </c>
      <c r="E55" s="2"/>
      <c r="F55" s="5">
        <f t="shared" si="3"/>
        <v>0.0031</v>
      </c>
      <c r="G55" s="2"/>
      <c r="H55" s="5">
        <f t="shared" si="4"/>
        <v>0.0011</v>
      </c>
      <c r="I55" s="2"/>
      <c r="J55" s="5"/>
      <c r="K55" s="2"/>
      <c r="L55" s="5"/>
      <c r="M55" s="2"/>
      <c r="N55" s="5">
        <f>Fire!$O$33</f>
        <v>0.5516</v>
      </c>
      <c r="O55" s="2"/>
      <c r="P55" s="5">
        <f>ROUND(N55*$P$47,4)</f>
        <v>0.0724</v>
      </c>
      <c r="Q55" s="2"/>
      <c r="R55" s="5">
        <f t="shared" si="2"/>
        <v>0.07350000000000001</v>
      </c>
      <c r="S55" s="2"/>
      <c r="U55" s="356"/>
      <c r="V55" s="356"/>
      <c r="W55" s="356"/>
      <c r="X55" s="356"/>
      <c r="Y55" s="357"/>
      <c r="Z55" s="356"/>
      <c r="AA55" s="356"/>
      <c r="AB55" s="287"/>
      <c r="AC55" s="361"/>
      <c r="AD55" s="356"/>
      <c r="AE55" s="361"/>
      <c r="AG55" s="287"/>
      <c r="AI55" s="287"/>
    </row>
    <row r="56" spans="1:37" ht="15">
      <c r="A56" s="2"/>
      <c r="B56" s="2"/>
      <c r="C56" s="2"/>
      <c r="D56" s="173"/>
      <c r="E56" s="2"/>
      <c r="F56" s="43"/>
      <c r="G56" s="2"/>
      <c r="H56" s="43"/>
      <c r="I56" s="2"/>
      <c r="J56" s="43"/>
      <c r="K56" s="2"/>
      <c r="L56" s="43"/>
      <c r="M56" s="2"/>
      <c r="N56" s="43"/>
      <c r="O56" s="2"/>
      <c r="P56" s="43"/>
      <c r="Q56" s="2"/>
      <c r="R56" s="43"/>
      <c r="S56" s="2"/>
      <c r="U56" s="356"/>
      <c r="V56" s="356"/>
      <c r="W56" s="356"/>
      <c r="X56" s="356"/>
      <c r="Y56" s="357"/>
      <c r="Z56" s="356"/>
      <c r="AA56" s="356"/>
      <c r="AB56" s="287"/>
      <c r="AC56" s="361"/>
      <c r="AD56" s="356"/>
      <c r="AE56" s="361"/>
      <c r="AG56" s="287"/>
      <c r="AI56" s="287"/>
      <c r="AK56" s="5"/>
    </row>
    <row r="57" spans="1:37" ht="15.75" thickBot="1">
      <c r="A57" s="2" t="s">
        <v>391</v>
      </c>
      <c r="B57" s="2"/>
      <c r="C57" s="2"/>
      <c r="D57" s="191">
        <f>SUM(D49:D56)</f>
        <v>1926.5000000000002</v>
      </c>
      <c r="E57" s="2"/>
      <c r="F57" s="5">
        <f>SUM(F49:F56)</f>
        <v>1</v>
      </c>
      <c r="G57" s="2"/>
      <c r="H57" s="5">
        <f>SUM(H49:H56)</f>
        <v>0.3475</v>
      </c>
      <c r="I57" s="2"/>
      <c r="J57" s="5">
        <f>SUM(J49:J56)</f>
        <v>1</v>
      </c>
      <c r="K57" s="2"/>
      <c r="L57" s="5">
        <f>SUM(L49:L56)</f>
        <v>0.5211999999999999</v>
      </c>
      <c r="M57" s="2"/>
      <c r="N57" s="166">
        <f>SUM(N49:N56)</f>
        <v>1</v>
      </c>
      <c r="O57" s="2"/>
      <c r="P57" s="5">
        <f>SUM(P49:P56)</f>
        <v>0.1313</v>
      </c>
      <c r="Q57" s="2"/>
      <c r="R57" s="5">
        <f>SUM(R49:R56)</f>
        <v>1</v>
      </c>
      <c r="S57" s="2"/>
      <c r="U57" s="356"/>
      <c r="V57" s="356"/>
      <c r="W57" s="356"/>
      <c r="X57" s="356"/>
      <c r="Y57" s="357"/>
      <c r="Z57" s="356"/>
      <c r="AA57" s="356"/>
      <c r="AB57" s="287"/>
      <c r="AC57" s="361"/>
      <c r="AE57" s="361"/>
      <c r="AG57" s="287"/>
      <c r="AI57" s="287"/>
      <c r="AK57" s="5"/>
    </row>
    <row r="58" spans="1:37" ht="15.75" thickTop="1">
      <c r="A58" s="2"/>
      <c r="B58" s="2"/>
      <c r="C58" s="2"/>
      <c r="D58" s="8"/>
      <c r="E58" s="2"/>
      <c r="F58" s="44"/>
      <c r="G58" s="2"/>
      <c r="H58" s="44"/>
      <c r="I58" s="2"/>
      <c r="J58" s="44"/>
      <c r="K58" s="2"/>
      <c r="L58" s="44"/>
      <c r="M58" s="2"/>
      <c r="N58" s="176"/>
      <c r="O58" s="2"/>
      <c r="P58" s="44"/>
      <c r="Q58" s="2"/>
      <c r="R58" s="44"/>
      <c r="S58" s="2"/>
      <c r="U58" s="356"/>
      <c r="V58" s="356"/>
      <c r="W58" s="356"/>
      <c r="X58" s="356"/>
      <c r="Y58" s="356"/>
      <c r="Z58" s="356"/>
      <c r="AA58" s="356"/>
      <c r="AB58" s="287"/>
      <c r="AC58" s="287"/>
      <c r="AG58" s="287"/>
      <c r="AK58" s="5"/>
    </row>
    <row r="59" spans="1:37" ht="15">
      <c r="A59" s="586" t="s">
        <v>1</v>
      </c>
      <c r="B59" s="586"/>
      <c r="C59" s="586"/>
      <c r="D59" s="586"/>
      <c r="E59" s="586"/>
      <c r="F59" s="586"/>
      <c r="G59" s="586"/>
      <c r="H59" s="586"/>
      <c r="I59" s="586"/>
      <c r="J59" s="586"/>
      <c r="K59" s="586"/>
      <c r="L59" s="586"/>
      <c r="M59" s="586"/>
      <c r="N59" s="586"/>
      <c r="O59" s="586"/>
      <c r="P59" s="586"/>
      <c r="Q59" s="586"/>
      <c r="R59" s="586"/>
      <c r="S59" s="2"/>
      <c r="U59" s="356"/>
      <c r="V59" s="356"/>
      <c r="W59" s="356"/>
      <c r="X59" s="356"/>
      <c r="Y59" s="357"/>
      <c r="Z59" s="356"/>
      <c r="AA59" s="357"/>
      <c r="AB59" s="287"/>
      <c r="AC59" s="287"/>
      <c r="AE59" s="361"/>
      <c r="AF59" s="287"/>
      <c r="AG59" s="287"/>
      <c r="AI59" s="287"/>
      <c r="AK59" s="5"/>
    </row>
    <row r="60" spans="21:37" ht="15">
      <c r="U60" s="356"/>
      <c r="V60" s="356"/>
      <c r="W60" s="356"/>
      <c r="X60" s="356"/>
      <c r="Y60" s="361"/>
      <c r="Z60" s="361"/>
      <c r="AA60" s="361"/>
      <c r="AB60" s="287"/>
      <c r="AC60" s="287"/>
      <c r="AD60" s="287"/>
      <c r="AE60" s="287"/>
      <c r="AF60" s="287"/>
      <c r="AG60" s="287"/>
      <c r="AH60" s="287"/>
      <c r="AI60" s="287"/>
      <c r="AK60" s="5"/>
    </row>
    <row r="61" spans="21:37" ht="15">
      <c r="U61" s="356"/>
      <c r="V61" s="356"/>
      <c r="W61" s="356"/>
      <c r="X61" s="356"/>
      <c r="Y61" s="361"/>
      <c r="Z61" s="361"/>
      <c r="AA61" s="361"/>
      <c r="AB61" s="287"/>
      <c r="AC61" s="287"/>
      <c r="AD61" s="287"/>
      <c r="AE61" s="361"/>
      <c r="AF61" s="287"/>
      <c r="AG61" s="361"/>
      <c r="AH61" s="287"/>
      <c r="AI61" s="361"/>
      <c r="AK61" s="5"/>
    </row>
    <row r="62" spans="1:37" ht="15">
      <c r="A62" s="37"/>
      <c r="B62" s="1"/>
      <c r="C62" s="1"/>
      <c r="D62" s="1"/>
      <c r="E62" s="1"/>
      <c r="F62" s="1"/>
      <c r="G62" s="37"/>
      <c r="H62" s="1"/>
      <c r="I62" s="1"/>
      <c r="J62" s="1"/>
      <c r="K62" s="1"/>
      <c r="L62" s="1"/>
      <c r="M62" s="1"/>
      <c r="N62" s="1"/>
      <c r="O62" s="1"/>
      <c r="P62" s="1"/>
      <c r="Q62" s="1"/>
      <c r="R62" s="1"/>
      <c r="Y62" s="362"/>
      <c r="AK62" s="5"/>
    </row>
    <row r="63" spans="1:18" ht="15">
      <c r="A63" s="37"/>
      <c r="B63" s="1"/>
      <c r="C63" s="1"/>
      <c r="E63" s="1"/>
      <c r="F63" s="1"/>
      <c r="G63" s="37"/>
      <c r="H63" s="1"/>
      <c r="I63" s="1"/>
      <c r="J63" s="1"/>
      <c r="K63" s="1"/>
      <c r="L63" s="1"/>
      <c r="M63" s="1"/>
      <c r="N63" s="1"/>
      <c r="O63" s="1"/>
      <c r="P63" s="1"/>
      <c r="Q63" s="1"/>
      <c r="R63" s="1"/>
    </row>
    <row r="64" spans="1:18" ht="15">
      <c r="A64" s="1"/>
      <c r="B64" s="1"/>
      <c r="C64" s="1"/>
      <c r="D64" s="392"/>
      <c r="E64" s="1"/>
      <c r="F64" s="1"/>
      <c r="G64" s="1"/>
      <c r="H64" s="1"/>
      <c r="I64" s="1"/>
      <c r="J64" s="1"/>
      <c r="K64" s="1"/>
      <c r="L64" s="1"/>
      <c r="M64" s="1"/>
      <c r="N64" s="1"/>
      <c r="O64" s="1"/>
      <c r="P64" s="1"/>
      <c r="Q64" s="1"/>
      <c r="R64" s="1"/>
    </row>
    <row r="65" spans="1:18" ht="15">
      <c r="A65" s="1"/>
      <c r="B65" s="1"/>
      <c r="C65" s="1"/>
      <c r="D65" s="133"/>
      <c r="E65" s="1"/>
      <c r="F65" s="1"/>
      <c r="G65" s="1"/>
      <c r="H65" s="1"/>
      <c r="I65" s="1"/>
      <c r="J65" s="1"/>
      <c r="K65" s="1"/>
      <c r="L65" s="1"/>
      <c r="M65" s="1"/>
      <c r="N65" s="1"/>
      <c r="O65" s="1"/>
      <c r="P65" s="1"/>
      <c r="Q65" s="1"/>
      <c r="R65" s="1"/>
    </row>
    <row r="66" spans="1:18" ht="15">
      <c r="A66" s="2"/>
      <c r="B66" s="2"/>
      <c r="C66" s="2"/>
      <c r="D66" s="2"/>
      <c r="E66" s="2"/>
      <c r="F66" s="2"/>
      <c r="G66" s="2"/>
      <c r="H66" s="2"/>
      <c r="I66" s="2"/>
      <c r="J66" s="2"/>
      <c r="K66" s="2"/>
      <c r="L66" s="2"/>
      <c r="M66" s="2"/>
      <c r="N66" s="2"/>
      <c r="O66" s="2"/>
      <c r="P66" s="2"/>
      <c r="Q66" s="2"/>
      <c r="R66" s="2"/>
    </row>
    <row r="67" spans="1:18" ht="15">
      <c r="A67" s="2"/>
      <c r="B67" s="2"/>
      <c r="C67" s="2"/>
      <c r="D67" s="2"/>
      <c r="E67" s="2"/>
      <c r="F67" s="2"/>
      <c r="G67" s="2"/>
      <c r="H67" s="2"/>
      <c r="I67" s="2"/>
      <c r="J67" s="2"/>
      <c r="K67" s="2"/>
      <c r="L67" s="2"/>
      <c r="M67" s="2"/>
      <c r="N67" s="2"/>
      <c r="O67" s="2"/>
      <c r="P67" s="2"/>
      <c r="Q67" s="2"/>
      <c r="R67" s="2"/>
    </row>
    <row r="68" spans="1:25" ht="15" customHeight="1">
      <c r="A68" s="587"/>
      <c r="B68" s="587"/>
      <c r="C68" s="587"/>
      <c r="D68" s="587"/>
      <c r="E68" s="587"/>
      <c r="F68" s="587"/>
      <c r="G68" s="587"/>
      <c r="H68" s="587"/>
      <c r="I68" s="587"/>
      <c r="J68" s="587"/>
      <c r="K68" s="587"/>
      <c r="L68" s="587"/>
      <c r="M68" s="587"/>
      <c r="N68" s="587"/>
      <c r="O68" s="587"/>
      <c r="P68" s="587"/>
      <c r="Q68" s="587"/>
      <c r="R68" s="587"/>
      <c r="Y68" s="2"/>
    </row>
    <row r="69" spans="1:18" ht="15">
      <c r="A69" s="2"/>
      <c r="B69" s="2"/>
      <c r="C69" s="2"/>
      <c r="D69" s="2"/>
      <c r="E69" s="2"/>
      <c r="F69" s="2"/>
      <c r="G69" s="2"/>
      <c r="H69" s="2"/>
      <c r="I69" s="2"/>
      <c r="J69" s="2"/>
      <c r="K69" s="2"/>
      <c r="L69" s="2"/>
      <c r="M69" s="2"/>
      <c r="N69" s="2"/>
      <c r="O69" s="2"/>
      <c r="P69" s="2"/>
      <c r="Q69" s="2"/>
      <c r="R69" s="2"/>
    </row>
    <row r="70" spans="1:18" ht="15">
      <c r="A70" s="2"/>
      <c r="B70" s="2"/>
      <c r="C70" s="2"/>
      <c r="D70" s="2"/>
      <c r="E70" s="2"/>
      <c r="F70" s="2"/>
      <c r="G70" s="2"/>
      <c r="H70" s="2"/>
      <c r="I70" s="2"/>
      <c r="J70" s="2"/>
      <c r="K70" s="2"/>
      <c r="L70" s="2"/>
      <c r="M70" s="2"/>
      <c r="N70" s="2"/>
      <c r="O70" s="2"/>
      <c r="P70" s="2"/>
      <c r="Q70" s="2"/>
      <c r="R70" s="2"/>
    </row>
    <row r="71" spans="1:18" ht="27" customHeight="1">
      <c r="A71" s="583"/>
      <c r="B71" s="583"/>
      <c r="C71" s="583"/>
      <c r="D71" s="583"/>
      <c r="E71" s="583"/>
      <c r="F71" s="583"/>
      <c r="G71" s="583"/>
      <c r="H71" s="583"/>
      <c r="I71" s="583"/>
      <c r="J71" s="583"/>
      <c r="K71" s="583"/>
      <c r="L71" s="583"/>
      <c r="M71" s="583"/>
      <c r="N71" s="583"/>
      <c r="O71" s="583"/>
      <c r="P71" s="583"/>
      <c r="Q71" s="583"/>
      <c r="R71" s="583"/>
    </row>
    <row r="72" spans="1:18" ht="15">
      <c r="A72" s="2"/>
      <c r="B72" s="2"/>
      <c r="C72" s="2"/>
      <c r="D72" s="2"/>
      <c r="E72" s="2"/>
      <c r="F72" s="2"/>
      <c r="G72" s="2"/>
      <c r="H72" s="2"/>
      <c r="I72" s="2"/>
      <c r="J72" s="2"/>
      <c r="K72" s="2"/>
      <c r="L72" s="2"/>
      <c r="M72" s="2"/>
      <c r="N72" s="2"/>
      <c r="O72" s="2"/>
      <c r="P72" s="2"/>
      <c r="Q72" s="2"/>
      <c r="R72" s="2"/>
    </row>
    <row r="73" spans="1:18" ht="15">
      <c r="A73" s="2"/>
      <c r="B73" s="2"/>
      <c r="C73" s="2"/>
      <c r="D73" s="2"/>
      <c r="E73" s="2"/>
      <c r="F73" s="2"/>
      <c r="G73" s="2"/>
      <c r="H73" s="2"/>
      <c r="I73" s="2"/>
      <c r="J73" s="1"/>
      <c r="K73" s="1"/>
      <c r="L73" s="1"/>
      <c r="M73" s="2"/>
      <c r="N73" s="2"/>
      <c r="O73" s="2"/>
      <c r="P73" s="2"/>
      <c r="Q73" s="2"/>
      <c r="R73" s="2"/>
    </row>
    <row r="74" spans="1:18" ht="15">
      <c r="A74" s="2"/>
      <c r="B74" s="2"/>
      <c r="C74" s="2"/>
      <c r="D74" s="1"/>
      <c r="E74" s="1"/>
      <c r="F74" s="1"/>
      <c r="G74" s="1"/>
      <c r="H74" s="1"/>
      <c r="I74" s="2"/>
      <c r="J74" s="1"/>
      <c r="K74" s="1"/>
      <c r="L74" s="1"/>
      <c r="M74" s="2"/>
      <c r="N74" s="1"/>
      <c r="O74" s="1"/>
      <c r="P74" s="1"/>
      <c r="Q74" s="2"/>
      <c r="R74" s="2"/>
    </row>
    <row r="75" spans="1:18" ht="15">
      <c r="A75" s="1"/>
      <c r="B75" s="1"/>
      <c r="C75" s="2"/>
      <c r="D75" s="11"/>
      <c r="E75" s="11"/>
      <c r="F75" s="11"/>
      <c r="G75" s="11"/>
      <c r="H75" s="11"/>
      <c r="I75" s="12"/>
      <c r="J75" s="11"/>
      <c r="K75" s="11"/>
      <c r="L75" s="11"/>
      <c r="M75" s="12"/>
      <c r="N75" s="11"/>
      <c r="O75" s="11"/>
      <c r="P75" s="11"/>
      <c r="Q75" s="12"/>
      <c r="R75" s="12"/>
    </row>
    <row r="76" spans="1:18" ht="15">
      <c r="A76" s="1"/>
      <c r="B76" s="1"/>
      <c r="C76" s="2"/>
      <c r="D76" s="12"/>
      <c r="E76" s="12"/>
      <c r="F76" s="12"/>
      <c r="G76" s="12"/>
      <c r="H76" s="12"/>
      <c r="I76" s="12"/>
      <c r="J76" s="12"/>
      <c r="K76" s="12"/>
      <c r="L76" s="12"/>
      <c r="M76" s="12"/>
      <c r="N76" s="12"/>
      <c r="O76" s="12"/>
      <c r="P76" s="12"/>
      <c r="Q76" s="12"/>
      <c r="R76" s="12"/>
    </row>
    <row r="77" spans="1:18" ht="15">
      <c r="A77" s="3"/>
      <c r="B77" s="3"/>
      <c r="C77" s="2"/>
      <c r="D77" s="11"/>
      <c r="E77" s="2"/>
      <c r="F77" s="11"/>
      <c r="G77" s="2"/>
      <c r="H77" s="13"/>
      <c r="I77" s="2"/>
      <c r="J77" s="11"/>
      <c r="K77" s="2"/>
      <c r="L77" s="13"/>
      <c r="M77" s="2"/>
      <c r="N77" s="11"/>
      <c r="O77" s="2"/>
      <c r="P77" s="13"/>
      <c r="Q77" s="2"/>
      <c r="R77" s="11"/>
    </row>
    <row r="78" spans="1:18" ht="15">
      <c r="A78" s="2"/>
      <c r="B78" s="2"/>
      <c r="C78" s="2"/>
      <c r="D78" s="2"/>
      <c r="E78" s="2"/>
      <c r="F78" s="2"/>
      <c r="G78" s="2"/>
      <c r="H78" s="5"/>
      <c r="I78" s="5"/>
      <c r="J78" s="5"/>
      <c r="K78" s="5"/>
      <c r="L78" s="5"/>
      <c r="M78" s="5"/>
      <c r="N78" s="5"/>
      <c r="O78" s="5"/>
      <c r="P78" s="5"/>
      <c r="Q78" s="2"/>
      <c r="R78" s="42"/>
    </row>
    <row r="79" spans="1:18" ht="15">
      <c r="A79" s="2"/>
      <c r="B79" s="2"/>
      <c r="C79" s="2"/>
      <c r="D79" s="2"/>
      <c r="E79" s="2"/>
      <c r="F79" s="2"/>
      <c r="G79" s="2"/>
      <c r="H79" s="2"/>
      <c r="I79" s="2"/>
      <c r="J79" s="2"/>
      <c r="K79" s="2"/>
      <c r="L79" s="2"/>
      <c r="M79" s="2"/>
      <c r="N79" s="2"/>
      <c r="O79" s="2"/>
      <c r="P79" s="2"/>
      <c r="Q79" s="2"/>
      <c r="R79" s="2"/>
    </row>
    <row r="80" spans="1:18" ht="15">
      <c r="A80" s="2"/>
      <c r="B80" s="2"/>
      <c r="C80" s="2"/>
      <c r="D80" s="191"/>
      <c r="E80" s="2"/>
      <c r="F80" s="5"/>
      <c r="G80" s="2"/>
      <c r="H80" s="5"/>
      <c r="I80" s="2"/>
      <c r="J80" s="5"/>
      <c r="K80" s="2"/>
      <c r="L80" s="5"/>
      <c r="M80" s="2"/>
      <c r="N80" s="5"/>
      <c r="O80" s="2"/>
      <c r="P80" s="5"/>
      <c r="Q80" s="2"/>
      <c r="R80" s="5"/>
    </row>
    <row r="81" spans="1:18" ht="15">
      <c r="A81" s="2"/>
      <c r="B81" s="2"/>
      <c r="C81" s="2"/>
      <c r="D81" s="191"/>
      <c r="E81" s="2"/>
      <c r="F81" s="5"/>
      <c r="G81" s="2"/>
      <c r="H81" s="5"/>
      <c r="I81" s="2"/>
      <c r="J81" s="5"/>
      <c r="K81" s="2"/>
      <c r="L81" s="5"/>
      <c r="M81" s="2"/>
      <c r="N81" s="2"/>
      <c r="O81" s="2"/>
      <c r="P81" s="2"/>
      <c r="Q81" s="2"/>
      <c r="R81" s="5"/>
    </row>
    <row r="82" spans="1:18" ht="15">
      <c r="A82" s="2"/>
      <c r="B82" s="2"/>
      <c r="C82" s="2"/>
      <c r="D82" s="191"/>
      <c r="E82" s="2"/>
      <c r="F82" s="5"/>
      <c r="G82" s="2"/>
      <c r="H82" s="5"/>
      <c r="I82" s="2"/>
      <c r="J82" s="5"/>
      <c r="K82" s="2"/>
      <c r="L82" s="5"/>
      <c r="M82" s="2"/>
      <c r="N82" s="2"/>
      <c r="O82" s="2"/>
      <c r="P82" s="2"/>
      <c r="Q82" s="2"/>
      <c r="R82" s="5"/>
    </row>
    <row r="83" spans="1:18" ht="15">
      <c r="A83" s="2"/>
      <c r="B83" s="2"/>
      <c r="C83" s="2"/>
      <c r="D83" s="191"/>
      <c r="E83" s="2"/>
      <c r="F83" s="5"/>
      <c r="G83" s="2"/>
      <c r="H83" s="5"/>
      <c r="I83" s="2"/>
      <c r="J83" s="5"/>
      <c r="K83" s="2"/>
      <c r="L83" s="5"/>
      <c r="M83" s="2"/>
      <c r="N83" s="5"/>
      <c r="O83" s="2"/>
      <c r="P83" s="326"/>
      <c r="Q83" s="2"/>
      <c r="R83" s="5"/>
    </row>
    <row r="84" spans="1:18" ht="15">
      <c r="A84" s="2"/>
      <c r="B84" s="2"/>
      <c r="C84" s="2"/>
      <c r="D84" s="191"/>
      <c r="E84" s="2"/>
      <c r="F84" s="5"/>
      <c r="G84" s="2"/>
      <c r="H84" s="5"/>
      <c r="I84" s="2"/>
      <c r="J84" s="5"/>
      <c r="K84" s="2"/>
      <c r="L84" s="5"/>
      <c r="M84" s="2"/>
      <c r="N84" s="5"/>
      <c r="O84" s="2"/>
      <c r="P84" s="5"/>
      <c r="Q84" s="2"/>
      <c r="R84" s="5"/>
    </row>
    <row r="85" spans="1:18" ht="15">
      <c r="A85" s="2"/>
      <c r="B85" s="2"/>
      <c r="C85" s="2"/>
      <c r="D85" s="173"/>
      <c r="E85" s="2"/>
      <c r="F85" s="43"/>
      <c r="G85" s="2"/>
      <c r="H85" s="43"/>
      <c r="I85" s="2"/>
      <c r="J85" s="43"/>
      <c r="K85" s="2"/>
      <c r="L85" s="43"/>
      <c r="M85" s="2"/>
      <c r="N85" s="43"/>
      <c r="O85" s="2"/>
      <c r="P85" s="43"/>
      <c r="Q85" s="2"/>
      <c r="R85" s="43"/>
    </row>
    <row r="86" spans="1:18" ht="15.75" thickBot="1">
      <c r="A86" s="2"/>
      <c r="B86" s="2"/>
      <c r="C86" s="2"/>
      <c r="D86" s="191"/>
      <c r="E86" s="2"/>
      <c r="F86" s="5"/>
      <c r="G86" s="2"/>
      <c r="H86" s="5"/>
      <c r="I86" s="2"/>
      <c r="J86" s="5"/>
      <c r="K86" s="2"/>
      <c r="L86" s="5"/>
      <c r="M86" s="2"/>
      <c r="N86" s="166"/>
      <c r="O86" s="2"/>
      <c r="P86" s="5"/>
      <c r="Q86" s="2"/>
      <c r="R86" s="5"/>
    </row>
    <row r="87" spans="1:18" ht="15.75" thickTop="1">
      <c r="A87" s="2"/>
      <c r="B87" s="2"/>
      <c r="C87" s="2"/>
      <c r="D87" s="8"/>
      <c r="E87" s="2"/>
      <c r="F87" s="44"/>
      <c r="G87" s="2"/>
      <c r="H87" s="44"/>
      <c r="I87" s="2"/>
      <c r="J87" s="44"/>
      <c r="K87" s="2"/>
      <c r="L87" s="44"/>
      <c r="M87" s="2"/>
      <c r="N87" s="176"/>
      <c r="O87" s="2"/>
      <c r="P87" s="44"/>
      <c r="Q87" s="2"/>
      <c r="R87" s="44"/>
    </row>
    <row r="88" spans="1:18" ht="15">
      <c r="A88" s="586"/>
      <c r="B88" s="586"/>
      <c r="C88" s="586"/>
      <c r="D88" s="586"/>
      <c r="E88" s="586"/>
      <c r="F88" s="586"/>
      <c r="G88" s="586"/>
      <c r="H88" s="586"/>
      <c r="I88" s="586"/>
      <c r="J88" s="586"/>
      <c r="K88" s="586"/>
      <c r="L88" s="586"/>
      <c r="M88" s="586"/>
      <c r="N88" s="586"/>
      <c r="O88" s="586"/>
      <c r="P88" s="586"/>
      <c r="Q88" s="586"/>
      <c r="R88" s="586"/>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c r="AU127" s="329"/>
    </row>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75" spans="66:67" ht="15">
      <c r="BN175" s="1"/>
      <c r="BO175" s="1"/>
    </row>
    <row r="176" spans="66:67" ht="15">
      <c r="BN176" s="1"/>
      <c r="BO176" s="1"/>
    </row>
    <row r="177" ht="12.75" customHeight="1"/>
    <row r="178" spans="66:67" ht="15">
      <c r="BN178" s="12"/>
      <c r="BO178" s="12"/>
    </row>
    <row r="179" spans="66:67" ht="12.75" customHeight="1">
      <c r="BN179" s="2"/>
      <c r="BO179" s="2"/>
    </row>
    <row r="180" spans="66:67" ht="12.75" customHeight="1">
      <c r="BN180" s="10"/>
      <c r="BO180" s="10"/>
    </row>
    <row r="181" spans="66:67" ht="12.75" customHeight="1">
      <c r="BN181" s="10"/>
      <c r="BO181" s="10"/>
    </row>
    <row r="182" spans="66:67" ht="12.75" customHeight="1">
      <c r="BN182" s="10"/>
      <c r="BO182" s="10"/>
    </row>
    <row r="183" spans="66:67" ht="12.75" customHeight="1">
      <c r="BN183" s="10"/>
      <c r="BO183" s="10"/>
    </row>
    <row r="184" spans="66:67" ht="12.75" customHeight="1">
      <c r="BN184" s="2"/>
      <c r="BO184" s="2"/>
    </row>
    <row r="185" spans="66:67" ht="15">
      <c r="BN185" s="354"/>
      <c r="BO185" s="354"/>
    </row>
    <row r="187" ht="12.75" customHeight="1"/>
    <row r="189" ht="12.75" customHeight="1"/>
    <row r="190" ht="12.75" customHeight="1"/>
    <row r="191" ht="12.75" customHeight="1"/>
    <row r="192" ht="12.75" customHeight="1"/>
    <row r="202" ht="12.75" customHeight="1"/>
    <row r="204" ht="12.75" customHeight="1"/>
    <row r="208" ht="12.75" customHeight="1"/>
    <row r="210" ht="12.75" customHeight="1"/>
    <row r="211" ht="12.75" customHeight="1"/>
    <row r="212" ht="12.75" customHeight="1"/>
    <row r="213" ht="12.75" customHeight="1"/>
    <row r="214" ht="12.75" customHeight="1"/>
    <row r="215" ht="12.75" customHeight="1"/>
    <row r="216" ht="12.75" customHeight="1"/>
    <row r="218" ht="12.75" customHeight="1"/>
  </sheetData>
  <mergeCells count="6">
    <mergeCell ref="A10:P10"/>
    <mergeCell ref="A71:R71"/>
    <mergeCell ref="A88:R88"/>
    <mergeCell ref="A68:R68"/>
    <mergeCell ref="A40:R40"/>
    <mergeCell ref="A59:R59"/>
  </mergeCells>
  <printOptions horizontalCentered="1"/>
  <pageMargins left="0.5" right="0.5" top="1" bottom="0.5" header="0.5" footer="0.5"/>
  <pageSetup horizontalDpi="600" verticalDpi="600" orientation="landscape" r:id="rId1"/>
  <rowBreaks count="2" manualBreakCount="2">
    <brk id="30" max="65535" man="1"/>
    <brk id="61" max="255" man="1"/>
  </rowBreaks>
</worksheet>
</file>

<file path=xl/worksheets/sheet5.xml><?xml version="1.0" encoding="utf-8"?>
<worksheet xmlns="http://schemas.openxmlformats.org/spreadsheetml/2006/main" xmlns:r="http://schemas.openxmlformats.org/officeDocument/2006/relationships">
  <dimension ref="A1:Q73"/>
  <sheetViews>
    <sheetView workbookViewId="0" topLeftCell="A1">
      <selection activeCell="A1" sqref="A1"/>
    </sheetView>
  </sheetViews>
  <sheetFormatPr defaultColWidth="8.88671875" defaultRowHeight="12.75"/>
  <cols>
    <col min="1" max="1" width="6.77734375" style="239" customWidth="1"/>
    <col min="2" max="2" width="4.77734375" style="239" customWidth="1"/>
    <col min="3" max="3" width="6.5546875" style="239" customWidth="1"/>
    <col min="4" max="4" width="2.77734375" style="239" customWidth="1"/>
    <col min="5" max="5" width="9.77734375" style="239" customWidth="1"/>
    <col min="6" max="6" width="2.77734375" style="239" customWidth="1"/>
    <col min="7" max="7" width="10.10546875" style="239" customWidth="1"/>
    <col min="8" max="8" width="2.77734375" style="239" customWidth="1"/>
    <col min="9" max="9" width="9.77734375" style="239" customWidth="1"/>
    <col min="10" max="10" width="2.77734375" style="239" customWidth="1"/>
    <col min="11" max="13" width="9.77734375" style="239" customWidth="1"/>
    <col min="14" max="14" width="1.77734375" style="239" customWidth="1"/>
    <col min="15" max="15" width="7.77734375" style="239" customWidth="1"/>
    <col min="16" max="16" width="15.99609375" style="239" bestFit="1" customWidth="1"/>
    <col min="17" max="17" width="10.99609375" style="239" bestFit="1" customWidth="1"/>
    <col min="18" max="16384" width="9.77734375" style="239" customWidth="1"/>
  </cols>
  <sheetData>
    <row r="1" spans="1:11" ht="15">
      <c r="A1" s="37" t="s">
        <v>7</v>
      </c>
      <c r="B1" s="45"/>
      <c r="C1" s="45"/>
      <c r="D1" s="45"/>
      <c r="E1" s="45"/>
      <c r="F1" s="45"/>
      <c r="G1" s="45"/>
      <c r="H1" s="45"/>
      <c r="I1" s="45"/>
      <c r="J1" s="45"/>
      <c r="K1" s="45"/>
    </row>
    <row r="2" spans="1:11" ht="15">
      <c r="A2" s="37"/>
      <c r="B2" s="45"/>
      <c r="C2" s="45"/>
      <c r="D2" s="45"/>
      <c r="E2" s="45"/>
      <c r="F2" s="45"/>
      <c r="G2" s="45"/>
      <c r="H2" s="45"/>
      <c r="I2" s="45"/>
      <c r="J2" s="45"/>
      <c r="K2" s="45"/>
    </row>
    <row r="4" spans="1:12" ht="15">
      <c r="A4" s="46" t="s">
        <v>407</v>
      </c>
      <c r="B4" s="46"/>
      <c r="C4" s="46"/>
      <c r="D4" s="46"/>
      <c r="E4" s="46"/>
      <c r="F4" s="46"/>
      <c r="G4" s="46"/>
      <c r="H4" s="46"/>
      <c r="I4" s="46"/>
      <c r="J4" s="46"/>
      <c r="K4" s="46"/>
      <c r="L4" s="47"/>
    </row>
    <row r="5" spans="1:12" ht="15">
      <c r="A5" s="47"/>
      <c r="B5" s="47"/>
      <c r="C5" s="47"/>
      <c r="D5" s="47"/>
      <c r="E5" s="47"/>
      <c r="F5" s="47"/>
      <c r="G5" s="47"/>
      <c r="H5" s="47"/>
      <c r="I5" s="47"/>
      <c r="J5" s="47"/>
      <c r="K5" s="47"/>
      <c r="L5" s="47"/>
    </row>
    <row r="6" spans="1:12" ht="15">
      <c r="A6" s="48"/>
      <c r="B6" s="48"/>
      <c r="C6" s="48"/>
      <c r="D6" s="48"/>
      <c r="E6" s="48"/>
      <c r="F6" s="48"/>
      <c r="G6" s="48"/>
      <c r="H6" s="48"/>
      <c r="I6" s="48"/>
      <c r="J6" s="48"/>
      <c r="K6" s="48"/>
      <c r="L6" s="48"/>
    </row>
    <row r="7" spans="1:12" ht="15">
      <c r="A7" s="48" t="s">
        <v>438</v>
      </c>
      <c r="B7" s="48"/>
      <c r="C7" s="48"/>
      <c r="D7" s="48"/>
      <c r="E7" s="48"/>
      <c r="F7" s="48"/>
      <c r="G7" s="48"/>
      <c r="H7" s="48"/>
      <c r="I7" s="48"/>
      <c r="J7" s="48"/>
      <c r="K7" s="48"/>
      <c r="L7" s="48"/>
    </row>
    <row r="8" spans="1:12" ht="15">
      <c r="A8" s="48" t="s">
        <v>439</v>
      </c>
      <c r="B8" s="48"/>
      <c r="C8" s="48"/>
      <c r="D8" s="48"/>
      <c r="E8" s="48"/>
      <c r="F8" s="48"/>
      <c r="G8" s="48"/>
      <c r="H8" s="48"/>
      <c r="I8" s="48"/>
      <c r="J8" s="48"/>
      <c r="K8" s="48"/>
      <c r="L8" s="48"/>
    </row>
    <row r="9" spans="1:12" ht="15">
      <c r="A9" s="48"/>
      <c r="B9" s="48"/>
      <c r="C9" s="48"/>
      <c r="D9" s="48"/>
      <c r="E9" s="48"/>
      <c r="F9" s="48"/>
      <c r="G9" s="48"/>
      <c r="H9" s="48"/>
      <c r="I9" s="48"/>
      <c r="J9" s="48"/>
      <c r="K9" s="48"/>
      <c r="L9" s="48"/>
    </row>
    <row r="10" spans="1:12" ht="54" customHeight="1">
      <c r="A10" s="588" t="s">
        <v>359</v>
      </c>
      <c r="B10" s="588"/>
      <c r="C10" s="588"/>
      <c r="D10" s="588"/>
      <c r="E10" s="588"/>
      <c r="F10" s="588"/>
      <c r="G10" s="588"/>
      <c r="H10" s="588"/>
      <c r="I10" s="588"/>
      <c r="J10" s="588"/>
      <c r="K10" s="588"/>
      <c r="L10" s="48"/>
    </row>
    <row r="11" spans="1:12" ht="15">
      <c r="A11" s="48"/>
      <c r="B11" s="48"/>
      <c r="C11" s="48"/>
      <c r="D11" s="48"/>
      <c r="E11" s="48"/>
      <c r="F11" s="48"/>
      <c r="G11" s="48"/>
      <c r="H11" s="48"/>
      <c r="I11" s="48"/>
      <c r="J11" s="48"/>
      <c r="K11" s="48"/>
      <c r="L11" s="48"/>
    </row>
    <row r="12" spans="1:12" ht="15">
      <c r="A12" s="48"/>
      <c r="B12" s="48"/>
      <c r="C12" s="48"/>
      <c r="D12" s="48"/>
      <c r="F12" s="48"/>
      <c r="G12" s="49" t="s">
        <v>410</v>
      </c>
      <c r="H12" s="48"/>
      <c r="J12" s="48"/>
      <c r="K12" s="48"/>
      <c r="L12" s="48"/>
    </row>
    <row r="13" spans="1:12" ht="15">
      <c r="A13" s="48"/>
      <c r="B13" s="48"/>
      <c r="D13" s="48"/>
      <c r="E13" s="49" t="s">
        <v>417</v>
      </c>
      <c r="F13" s="48"/>
      <c r="G13" s="49" t="s">
        <v>440</v>
      </c>
      <c r="H13" s="48"/>
      <c r="I13" s="49" t="s">
        <v>418</v>
      </c>
      <c r="J13" s="48"/>
      <c r="L13" s="48"/>
    </row>
    <row r="14" spans="1:17" ht="15">
      <c r="A14" s="48"/>
      <c r="B14" s="48"/>
      <c r="D14" s="48"/>
      <c r="E14" s="50"/>
      <c r="F14" s="48"/>
      <c r="G14" s="50"/>
      <c r="H14" s="48"/>
      <c r="I14" s="50"/>
      <c r="J14" s="48"/>
      <c r="L14" s="48"/>
      <c r="P14" s="381"/>
      <c r="Q14" s="381"/>
    </row>
    <row r="15" spans="2:12" ht="15">
      <c r="B15" s="48" t="s">
        <v>419</v>
      </c>
      <c r="D15" s="48"/>
      <c r="E15" s="51">
        <v>1</v>
      </c>
      <c r="F15" s="48"/>
      <c r="G15" s="52">
        <v>38094698.630137</v>
      </c>
      <c r="H15" s="48"/>
      <c r="I15" s="53">
        <f>ROUND(+G15/G$23,4)+0.0001</f>
        <v>0.5533</v>
      </c>
      <c r="J15" s="48"/>
      <c r="L15" s="48"/>
    </row>
    <row r="16" spans="2:16" ht="15">
      <c r="B16" s="48" t="s">
        <v>395</v>
      </c>
      <c r="D16" s="48"/>
      <c r="E16" s="51"/>
      <c r="F16" s="48"/>
      <c r="G16" s="52"/>
      <c r="H16" s="48"/>
      <c r="I16" s="53"/>
      <c r="J16" s="48"/>
      <c r="L16" s="48"/>
      <c r="P16" s="381"/>
    </row>
    <row r="17" spans="2:12" ht="15">
      <c r="B17" s="48" t="s">
        <v>420</v>
      </c>
      <c r="D17" s="48"/>
      <c r="E17" s="51">
        <f>+'F 2 B'!F35</f>
        <v>0.65</v>
      </c>
      <c r="F17" s="52"/>
      <c r="G17" s="52">
        <f>ROUND(+G15*E17,0)</f>
        <v>24761554</v>
      </c>
      <c r="H17" s="53"/>
      <c r="I17" s="53">
        <f>ROUND(+G17/G$23,4)</f>
        <v>0.3596</v>
      </c>
      <c r="J17" s="48"/>
      <c r="L17" s="48"/>
    </row>
    <row r="18" spans="2:12" ht="15">
      <c r="B18" s="48"/>
      <c r="D18" s="48"/>
      <c r="E18" s="54"/>
      <c r="F18" s="52"/>
      <c r="G18" s="55"/>
      <c r="H18" s="53"/>
      <c r="I18" s="56"/>
      <c r="J18" s="48"/>
      <c r="L18" s="48"/>
    </row>
    <row r="19" spans="2:12" ht="15.75" thickBot="1">
      <c r="B19" s="48" t="s">
        <v>442</v>
      </c>
      <c r="D19" s="48"/>
      <c r="E19" s="215">
        <f>SUM(E15:E18)</f>
        <v>1.65</v>
      </c>
      <c r="F19" s="52"/>
      <c r="G19" s="52">
        <f>SUM(G15:G18)</f>
        <v>62856252.630137</v>
      </c>
      <c r="H19" s="53"/>
      <c r="I19" s="53">
        <f>SUM(I15:I18)</f>
        <v>0.9129</v>
      </c>
      <c r="J19" s="48"/>
      <c r="L19" s="48"/>
    </row>
    <row r="20" spans="2:16" ht="15.75" thickTop="1">
      <c r="B20" s="48"/>
      <c r="D20" s="48"/>
      <c r="E20" s="179"/>
      <c r="F20" s="52"/>
      <c r="G20" s="52"/>
      <c r="H20" s="58"/>
      <c r="I20" s="53"/>
      <c r="J20" s="48"/>
      <c r="L20" s="48"/>
      <c r="P20" s="355"/>
    </row>
    <row r="21" spans="2:17" ht="15">
      <c r="B21" s="48" t="s">
        <v>424</v>
      </c>
      <c r="C21" s="48"/>
      <c r="D21" s="48"/>
      <c r="F21" s="48"/>
      <c r="G21" s="408">
        <f>+G50*60*10</f>
        <v>6000000</v>
      </c>
      <c r="H21" s="48"/>
      <c r="I21" s="53">
        <f>ROUND(+G21/G$23,4)</f>
        <v>0.0871</v>
      </c>
      <c r="J21" s="48"/>
      <c r="L21" s="48"/>
      <c r="P21" s="355"/>
      <c r="Q21" s="355"/>
    </row>
    <row r="22" spans="2:17" ht="15">
      <c r="B22" s="48"/>
      <c r="C22" s="48"/>
      <c r="D22" s="48"/>
      <c r="F22" s="48"/>
      <c r="G22" s="50"/>
      <c r="H22" s="48"/>
      <c r="I22" s="56"/>
      <c r="J22" s="48"/>
      <c r="L22" s="48"/>
      <c r="P22" s="355"/>
      <c r="Q22" s="355"/>
    </row>
    <row r="23" spans="2:12" ht="15.75" thickBot="1">
      <c r="B23" s="48" t="s">
        <v>421</v>
      </c>
      <c r="C23" s="48"/>
      <c r="D23" s="48"/>
      <c r="F23" s="48"/>
      <c r="G23" s="195">
        <f>SUM(G19:G21)</f>
        <v>68856252.630137</v>
      </c>
      <c r="H23" s="48"/>
      <c r="I23" s="53">
        <f>SUM(I19:I21)</f>
        <v>1</v>
      </c>
      <c r="J23" s="48"/>
      <c r="L23" s="48"/>
    </row>
    <row r="24" spans="2:12" ht="15.75" thickTop="1">
      <c r="B24" s="48"/>
      <c r="C24" s="48"/>
      <c r="D24" s="48"/>
      <c r="E24" s="48"/>
      <c r="F24" s="48"/>
      <c r="G24" s="179"/>
      <c r="H24" s="48"/>
      <c r="I24" s="57"/>
      <c r="J24" s="48"/>
      <c r="L24" s="48"/>
    </row>
    <row r="25" spans="1:12" ht="15">
      <c r="A25" s="48"/>
      <c r="B25" s="48"/>
      <c r="C25" s="48"/>
      <c r="D25" s="48"/>
      <c r="E25" s="48"/>
      <c r="F25" s="48"/>
      <c r="G25" s="48"/>
      <c r="H25" s="48"/>
      <c r="I25" s="48"/>
      <c r="J25" s="48"/>
      <c r="K25" s="48"/>
      <c r="L25" s="48"/>
    </row>
    <row r="26" spans="1:12" ht="30" customHeight="1">
      <c r="A26" s="588" t="s">
        <v>353</v>
      </c>
      <c r="B26" s="588"/>
      <c r="C26" s="588"/>
      <c r="D26" s="588"/>
      <c r="E26" s="588"/>
      <c r="F26" s="588"/>
      <c r="G26" s="588"/>
      <c r="H26" s="588"/>
      <c r="I26" s="588"/>
      <c r="J26" s="588"/>
      <c r="K26" s="588"/>
      <c r="L26" s="48"/>
    </row>
    <row r="27" spans="1:12" ht="15">
      <c r="A27" s="48"/>
      <c r="B27" s="48"/>
      <c r="C27" s="48"/>
      <c r="D27" s="48"/>
      <c r="E27" s="48"/>
      <c r="F27" s="48"/>
      <c r="G27" s="48"/>
      <c r="H27" s="48"/>
      <c r="I27" s="48"/>
      <c r="J27" s="48"/>
      <c r="K27" s="48"/>
      <c r="L27" s="48"/>
    </row>
    <row r="28" spans="1:12" ht="15">
      <c r="A28" s="48"/>
      <c r="B28" s="48"/>
      <c r="C28" s="48"/>
      <c r="D28" s="48"/>
      <c r="E28" s="48"/>
      <c r="F28" s="48"/>
      <c r="G28" s="48"/>
      <c r="H28" s="48"/>
      <c r="I28" s="48"/>
      <c r="J28" s="48"/>
      <c r="K28" s="48"/>
      <c r="L28" s="48"/>
    </row>
    <row r="29" spans="1:12" ht="15">
      <c r="A29" s="48"/>
      <c r="B29" s="48"/>
      <c r="C29" s="48"/>
      <c r="D29" s="48"/>
      <c r="E29" s="48"/>
      <c r="F29" s="48"/>
      <c r="G29" s="48"/>
      <c r="H29" s="48"/>
      <c r="I29" s="48"/>
      <c r="J29" s="48"/>
      <c r="K29" s="48"/>
      <c r="L29" s="48"/>
    </row>
    <row r="30" spans="1:11" ht="15">
      <c r="A30" s="37" t="s">
        <v>7</v>
      </c>
      <c r="B30" s="45"/>
      <c r="C30" s="45"/>
      <c r="D30" s="45"/>
      <c r="E30" s="45"/>
      <c r="F30" s="45"/>
      <c r="G30" s="45"/>
      <c r="H30" s="45"/>
      <c r="I30" s="45"/>
      <c r="J30" s="45"/>
      <c r="K30" s="45"/>
    </row>
    <row r="31" spans="1:11" ht="15">
      <c r="A31" s="37"/>
      <c r="B31" s="45"/>
      <c r="C31" s="45"/>
      <c r="D31" s="45"/>
      <c r="E31" s="45"/>
      <c r="F31" s="45"/>
      <c r="G31" s="45"/>
      <c r="H31" s="45"/>
      <c r="I31" s="45"/>
      <c r="J31" s="45"/>
      <c r="K31" s="45"/>
    </row>
    <row r="33" spans="1:11" ht="15">
      <c r="A33" s="46" t="s">
        <v>407</v>
      </c>
      <c r="B33" s="45"/>
      <c r="C33" s="45"/>
      <c r="D33" s="45"/>
      <c r="E33" s="45"/>
      <c r="F33" s="45"/>
      <c r="G33" s="45"/>
      <c r="H33" s="45"/>
      <c r="I33" s="45"/>
      <c r="J33" s="45"/>
      <c r="K33" s="45"/>
    </row>
    <row r="36" spans="1:12" ht="15">
      <c r="A36" s="48" t="s">
        <v>443</v>
      </c>
      <c r="B36" s="48"/>
      <c r="C36" s="48"/>
      <c r="D36" s="48"/>
      <c r="E36" s="48"/>
      <c r="F36" s="48"/>
      <c r="G36" s="48"/>
      <c r="H36" s="48"/>
      <c r="I36" s="48"/>
      <c r="J36" s="48"/>
      <c r="K36" s="48"/>
      <c r="L36" s="48"/>
    </row>
    <row r="37" spans="1:12" ht="15">
      <c r="A37" s="48" t="s">
        <v>444</v>
      </c>
      <c r="B37" s="48"/>
      <c r="C37" s="48"/>
      <c r="D37" s="48"/>
      <c r="E37" s="48"/>
      <c r="F37" s="48"/>
      <c r="G37" s="48"/>
      <c r="H37" s="48"/>
      <c r="I37" s="48"/>
      <c r="J37" s="48"/>
      <c r="K37" s="48"/>
      <c r="L37" s="48"/>
    </row>
    <row r="38" spans="1:12" ht="11.25" customHeight="1">
      <c r="A38" s="48"/>
      <c r="B38" s="48"/>
      <c r="C38" s="48"/>
      <c r="D38" s="48"/>
      <c r="E38" s="48"/>
      <c r="F38" s="48"/>
      <c r="G38" s="48"/>
      <c r="H38" s="48"/>
      <c r="I38" s="48"/>
      <c r="J38" s="48"/>
      <c r="K38" s="48"/>
      <c r="L38" s="48"/>
    </row>
    <row r="39" spans="1:12" ht="52.5" customHeight="1">
      <c r="A39" s="588" t="s">
        <v>360</v>
      </c>
      <c r="B39" s="588"/>
      <c r="C39" s="588"/>
      <c r="D39" s="588"/>
      <c r="E39" s="588"/>
      <c r="F39" s="588"/>
      <c r="G39" s="588"/>
      <c r="H39" s="588"/>
      <c r="I39" s="588"/>
      <c r="J39" s="588"/>
      <c r="K39" s="588"/>
      <c r="L39" s="48"/>
    </row>
    <row r="40" spans="1:12" ht="8.25" customHeight="1">
      <c r="A40" s="48"/>
      <c r="B40" s="48"/>
      <c r="C40" s="48"/>
      <c r="D40" s="48"/>
      <c r="E40" s="48"/>
      <c r="F40" s="48"/>
      <c r="G40" s="48"/>
      <c r="H40" s="48"/>
      <c r="I40" s="48"/>
      <c r="J40" s="48"/>
      <c r="K40" s="48"/>
      <c r="L40" s="48"/>
    </row>
    <row r="41" spans="1:12" ht="15">
      <c r="A41" s="48"/>
      <c r="B41" s="48"/>
      <c r="C41" s="48"/>
      <c r="D41" s="48"/>
      <c r="F41" s="48"/>
      <c r="G41" s="49" t="s">
        <v>410</v>
      </c>
      <c r="H41" s="48"/>
      <c r="I41" s="48"/>
      <c r="J41" s="48"/>
      <c r="K41" s="48"/>
      <c r="L41" s="48"/>
    </row>
    <row r="42" spans="1:12" ht="15">
      <c r="A42" s="48"/>
      <c r="B42" s="48"/>
      <c r="D42" s="48"/>
      <c r="E42" s="49" t="s">
        <v>417</v>
      </c>
      <c r="F42" s="48"/>
      <c r="G42" s="49" t="s">
        <v>445</v>
      </c>
      <c r="H42" s="48"/>
      <c r="I42" s="49" t="s">
        <v>418</v>
      </c>
      <c r="J42" s="48"/>
      <c r="K42" s="48"/>
      <c r="L42" s="48"/>
    </row>
    <row r="43" spans="1:12" ht="9.75" customHeight="1">
      <c r="A43" s="48"/>
      <c r="B43" s="48"/>
      <c r="D43" s="48"/>
      <c r="E43" s="50"/>
      <c r="F43" s="48"/>
      <c r="G43" s="50"/>
      <c r="H43" s="48"/>
      <c r="I43" s="50"/>
      <c r="J43" s="48"/>
      <c r="K43" s="48"/>
      <c r="L43" s="48"/>
    </row>
    <row r="44" spans="2:13" ht="15">
      <c r="B44" s="48" t="s">
        <v>441</v>
      </c>
      <c r="D44" s="48"/>
      <c r="E44" s="51">
        <v>1</v>
      </c>
      <c r="F44" s="48"/>
      <c r="G44" s="52">
        <f>ROUND(G15/24/60,0)</f>
        <v>26455</v>
      </c>
      <c r="H44" s="48"/>
      <c r="I44" s="53">
        <f>ROUND(+G44/G$52,4)</f>
        <v>0.3475</v>
      </c>
      <c r="J44" s="48"/>
      <c r="K44" s="48"/>
      <c r="L44" s="48"/>
      <c r="M44" s="53"/>
    </row>
    <row r="45" spans="2:13" ht="15">
      <c r="B45" s="48" t="s">
        <v>431</v>
      </c>
      <c r="D45" s="48"/>
      <c r="E45" s="51"/>
      <c r="F45" s="48"/>
      <c r="G45" s="52"/>
      <c r="H45" s="48"/>
      <c r="I45" s="53"/>
      <c r="J45" s="48"/>
      <c r="K45" s="48"/>
      <c r="L45" s="48"/>
      <c r="M45" s="53"/>
    </row>
    <row r="46" spans="2:13" ht="15">
      <c r="B46" s="48" t="s">
        <v>420</v>
      </c>
      <c r="D46" s="48"/>
      <c r="E46" s="51">
        <v>1.5</v>
      </c>
      <c r="F46" s="52"/>
      <c r="G46" s="52">
        <f>ROUND(+G44*E46,0)</f>
        <v>39683</v>
      </c>
      <c r="H46" s="53"/>
      <c r="I46" s="330">
        <f>ROUND(+G46/G$52,4)</f>
        <v>0.5212</v>
      </c>
      <c r="J46" s="48"/>
      <c r="K46" s="48"/>
      <c r="L46" s="48"/>
      <c r="M46" s="53"/>
    </row>
    <row r="47" spans="2:13" ht="15">
      <c r="B47" s="48"/>
      <c r="D47" s="48"/>
      <c r="E47" s="54"/>
      <c r="F47" s="52"/>
      <c r="G47" s="55"/>
      <c r="H47" s="53"/>
      <c r="I47" s="56"/>
      <c r="J47" s="48"/>
      <c r="K47" s="48"/>
      <c r="L47" s="48"/>
      <c r="M47" s="53"/>
    </row>
    <row r="48" spans="2:13" ht="15.75" thickBot="1">
      <c r="B48" s="48" t="s">
        <v>442</v>
      </c>
      <c r="D48" s="48"/>
      <c r="E48" s="215">
        <f>SUM(E44:E47)</f>
        <v>2.5</v>
      </c>
      <c r="F48" s="52"/>
      <c r="G48" s="52">
        <f>SUM(G44:G47)</f>
        <v>66138</v>
      </c>
      <c r="H48" s="53"/>
      <c r="I48" s="53">
        <f>SUM(I44:I47)</f>
        <v>0.8687</v>
      </c>
      <c r="J48" s="48"/>
      <c r="K48" s="48"/>
      <c r="L48" s="48"/>
      <c r="M48" s="53"/>
    </row>
    <row r="49" spans="2:13" ht="9.75" customHeight="1" thickTop="1">
      <c r="B49" s="48"/>
      <c r="D49" s="48"/>
      <c r="E49" s="179"/>
      <c r="F49" s="52"/>
      <c r="G49" s="52"/>
      <c r="H49" s="58"/>
      <c r="I49" s="53"/>
      <c r="J49" s="48"/>
      <c r="K49" s="48"/>
      <c r="L49" s="48"/>
      <c r="M49" s="53"/>
    </row>
    <row r="50" spans="2:15" ht="15">
      <c r="B50" s="48" t="s">
        <v>424</v>
      </c>
      <c r="C50" s="48"/>
      <c r="D50" s="48"/>
      <c r="F50" s="48"/>
      <c r="G50" s="52">
        <v>10000</v>
      </c>
      <c r="H50" s="48"/>
      <c r="I50" s="53">
        <f>ROUND(+G50/G$52,4)</f>
        <v>0.1313</v>
      </c>
      <c r="J50" s="48"/>
      <c r="K50" s="48"/>
      <c r="L50" s="48"/>
      <c r="O50" s="238"/>
    </row>
    <row r="51" spans="2:15" ht="15">
      <c r="B51" s="48"/>
      <c r="C51" s="48"/>
      <c r="D51" s="48"/>
      <c r="F51" s="48"/>
      <c r="G51" s="50"/>
      <c r="H51" s="48"/>
      <c r="I51" s="56"/>
      <c r="J51" s="48"/>
      <c r="K51" s="48"/>
      <c r="L51" s="48"/>
      <c r="O51" s="238"/>
    </row>
    <row r="52" spans="2:13" ht="15.75" thickBot="1">
      <c r="B52" s="48" t="s">
        <v>421</v>
      </c>
      <c r="C52" s="48"/>
      <c r="D52" s="48"/>
      <c r="F52" s="48"/>
      <c r="G52" s="195">
        <f>SUM(G48:G50)</f>
        <v>76138</v>
      </c>
      <c r="H52" s="48"/>
      <c r="I52" s="53">
        <f>SUM(I48:I50)</f>
        <v>1</v>
      </c>
      <c r="J52" s="48"/>
      <c r="K52" s="48"/>
      <c r="L52" s="48"/>
      <c r="M52" s="53"/>
    </row>
    <row r="53" spans="1:12" ht="12" customHeight="1" thickTop="1">
      <c r="A53" s="48"/>
      <c r="B53" s="48"/>
      <c r="C53" s="48"/>
      <c r="D53" s="48"/>
      <c r="E53" s="52"/>
      <c r="F53" s="48"/>
      <c r="G53" s="179"/>
      <c r="H53" s="48"/>
      <c r="I53" s="59"/>
      <c r="J53" s="48"/>
      <c r="K53" s="48"/>
      <c r="L53" s="48"/>
    </row>
    <row r="54" spans="1:12" ht="25.5" customHeight="1">
      <c r="A54" s="588" t="s">
        <v>446</v>
      </c>
      <c r="B54" s="588"/>
      <c r="C54" s="588"/>
      <c r="D54" s="588"/>
      <c r="E54" s="588"/>
      <c r="F54" s="588"/>
      <c r="G54" s="588"/>
      <c r="H54" s="588"/>
      <c r="I54" s="588"/>
      <c r="J54" s="588"/>
      <c r="K54" s="588"/>
      <c r="L54" s="48"/>
    </row>
    <row r="55" spans="1:12" ht="9.75" customHeight="1">
      <c r="A55" s="48"/>
      <c r="B55" s="48"/>
      <c r="C55" s="48"/>
      <c r="D55" s="48"/>
      <c r="E55" s="48"/>
      <c r="F55" s="48"/>
      <c r="G55" s="48"/>
      <c r="H55" s="48"/>
      <c r="I55" s="48"/>
      <c r="J55" s="48"/>
      <c r="K55" s="48"/>
      <c r="L55" s="48"/>
    </row>
    <row r="56" spans="1:12" ht="15">
      <c r="A56" s="48"/>
      <c r="B56" s="48"/>
      <c r="C56" s="48"/>
      <c r="D56" s="48"/>
      <c r="E56" s="49" t="s">
        <v>447</v>
      </c>
      <c r="F56" s="48"/>
      <c r="H56" s="48"/>
      <c r="I56" s="48"/>
      <c r="J56" s="48"/>
      <c r="K56" s="48"/>
      <c r="L56" s="48"/>
    </row>
    <row r="57" spans="1:12" ht="15">
      <c r="A57" s="48"/>
      <c r="B57" s="48"/>
      <c r="C57" s="48"/>
      <c r="D57" s="48"/>
      <c r="E57" s="49" t="s">
        <v>448</v>
      </c>
      <c r="F57" s="48"/>
      <c r="G57" s="46" t="s">
        <v>449</v>
      </c>
      <c r="H57" s="46"/>
      <c r="I57" s="46"/>
      <c r="J57" s="46"/>
      <c r="K57" s="46"/>
      <c r="L57" s="48"/>
    </row>
    <row r="58" spans="1:12" ht="15">
      <c r="A58" s="46" t="s">
        <v>425</v>
      </c>
      <c r="B58" s="46"/>
      <c r="C58" s="46"/>
      <c r="D58" s="48"/>
      <c r="E58" s="49" t="s">
        <v>396</v>
      </c>
      <c r="F58" s="48"/>
      <c r="G58" s="60"/>
      <c r="H58" s="60"/>
      <c r="I58" s="60" t="s">
        <v>622</v>
      </c>
      <c r="J58" s="60"/>
      <c r="K58" s="60" t="s">
        <v>377</v>
      </c>
      <c r="L58" s="48"/>
    </row>
    <row r="59" spans="1:12" ht="15">
      <c r="A59" s="46" t="s">
        <v>378</v>
      </c>
      <c r="B59" s="46"/>
      <c r="C59" s="46"/>
      <c r="D59" s="48"/>
      <c r="E59" s="49" t="s">
        <v>9</v>
      </c>
      <c r="F59" s="48"/>
      <c r="G59" s="49" t="s">
        <v>411</v>
      </c>
      <c r="H59" s="49"/>
      <c r="I59" s="49" t="s">
        <v>450</v>
      </c>
      <c r="J59" s="49"/>
      <c r="K59" s="49" t="s">
        <v>379</v>
      </c>
      <c r="L59" s="48"/>
    </row>
    <row r="60" spans="1:17" ht="15">
      <c r="A60" s="61" t="s">
        <v>380</v>
      </c>
      <c r="B60" s="61"/>
      <c r="C60" s="61"/>
      <c r="D60" s="48"/>
      <c r="E60" s="60" t="s">
        <v>400</v>
      </c>
      <c r="F60" s="48"/>
      <c r="G60" s="60" t="s">
        <v>382</v>
      </c>
      <c r="H60" s="49"/>
      <c r="I60" s="60" t="s">
        <v>413</v>
      </c>
      <c r="J60" s="49"/>
      <c r="K60" s="60" t="s">
        <v>414</v>
      </c>
      <c r="L60" s="48"/>
      <c r="O60" s="419"/>
      <c r="P60" s="419"/>
      <c r="Q60" s="419"/>
    </row>
    <row r="61" spans="3:17" ht="10.5" customHeight="1">
      <c r="C61" s="48"/>
      <c r="D61" s="48"/>
      <c r="E61" s="48"/>
      <c r="F61" s="48"/>
      <c r="G61" s="48"/>
      <c r="H61" s="48"/>
      <c r="I61" s="48"/>
      <c r="J61" s="48"/>
      <c r="K61" s="48"/>
      <c r="L61" s="48"/>
      <c r="O61" s="419"/>
      <c r="P61" s="419"/>
      <c r="Q61" s="419"/>
    </row>
    <row r="62" spans="1:17" ht="15">
      <c r="A62" s="48" t="s">
        <v>383</v>
      </c>
      <c r="B62" s="48"/>
      <c r="C62" s="48"/>
      <c r="D62" s="48"/>
      <c r="E62" s="192">
        <f>'F 3-4'!$D$49</f>
        <v>940.7</v>
      </c>
      <c r="F62" s="48"/>
      <c r="G62" s="51">
        <v>1.7</v>
      </c>
      <c r="H62" s="48"/>
      <c r="I62" s="58">
        <f>ROUND(E62*G62,1)</f>
        <v>1599.2</v>
      </c>
      <c r="J62" s="48"/>
      <c r="K62" s="53">
        <f>ROUND(+I62/I$68,4)</f>
        <v>0.541</v>
      </c>
      <c r="L62" s="48"/>
      <c r="O62" s="420"/>
      <c r="P62" s="419"/>
      <c r="Q62" s="421"/>
    </row>
    <row r="63" spans="1:17" ht="15">
      <c r="A63" s="48" t="s">
        <v>384</v>
      </c>
      <c r="B63" s="48"/>
      <c r="C63" s="48"/>
      <c r="D63" s="48"/>
      <c r="E63" s="192">
        <f>'F 3-4'!$D$50</f>
        <v>589</v>
      </c>
      <c r="F63" s="48"/>
      <c r="G63" s="51">
        <v>1.6</v>
      </c>
      <c r="H63" s="48"/>
      <c r="I63" s="58">
        <f>ROUND(E63*G63,1)</f>
        <v>942.4</v>
      </c>
      <c r="J63" s="48"/>
      <c r="K63" s="53">
        <f>ROUND(+I63/I$68,4)</f>
        <v>0.3188</v>
      </c>
      <c r="L63" s="48"/>
      <c r="O63" s="420"/>
      <c r="P63" s="419"/>
      <c r="Q63" s="421"/>
    </row>
    <row r="64" spans="1:17" ht="15">
      <c r="A64" s="48" t="s">
        <v>385</v>
      </c>
      <c r="B64" s="48"/>
      <c r="C64" s="48"/>
      <c r="D64" s="48"/>
      <c r="E64" s="192">
        <f>'F 3-4'!$D$51</f>
        <v>78.9</v>
      </c>
      <c r="F64" s="48"/>
      <c r="G64" s="51">
        <v>1.15</v>
      </c>
      <c r="H64" s="48"/>
      <c r="I64" s="58">
        <f>ROUND(E64*G64,1)</f>
        <v>90.7</v>
      </c>
      <c r="J64" s="48"/>
      <c r="K64" s="53">
        <f>ROUND(+I64/I$68,4)</f>
        <v>0.0307</v>
      </c>
      <c r="L64" s="48"/>
      <c r="O64" s="419"/>
      <c r="P64" s="419"/>
      <c r="Q64" s="421"/>
    </row>
    <row r="65" spans="1:17" ht="15">
      <c r="A65" s="48" t="s">
        <v>387</v>
      </c>
      <c r="B65" s="48"/>
      <c r="C65" s="48"/>
      <c r="D65" s="48"/>
      <c r="E65" s="192">
        <f>'F 3-4'!D52</f>
        <v>235.7</v>
      </c>
      <c r="F65" s="48"/>
      <c r="G65" s="51">
        <v>1.1</v>
      </c>
      <c r="H65" s="48"/>
      <c r="I65" s="58">
        <f>ROUND(E65*G65,1)</f>
        <v>259.3</v>
      </c>
      <c r="J65" s="48"/>
      <c r="K65" s="53">
        <f>ROUND(+I65/I$68,4)</f>
        <v>0.0877</v>
      </c>
      <c r="L65" s="48"/>
      <c r="O65" s="420"/>
      <c r="P65" s="419"/>
      <c r="Q65" s="421"/>
    </row>
    <row r="66" spans="1:17" ht="15">
      <c r="A66" s="48" t="s">
        <v>508</v>
      </c>
      <c r="B66" s="48"/>
      <c r="C66" s="48"/>
      <c r="D66" s="48"/>
      <c r="E66" s="192">
        <f>'F 3-4'!D53</f>
        <v>71.5</v>
      </c>
      <c r="F66" s="48"/>
      <c r="G66" s="51">
        <v>0.9</v>
      </c>
      <c r="H66" s="48"/>
      <c r="I66" s="58">
        <f>ROUND(E66*G66,1)</f>
        <v>64.4</v>
      </c>
      <c r="J66" s="48"/>
      <c r="K66" s="53">
        <f>ROUND(+I66/I$68,4)</f>
        <v>0.0218</v>
      </c>
      <c r="L66" s="48"/>
      <c r="O66" s="419"/>
      <c r="P66" s="419"/>
      <c r="Q66" s="421"/>
    </row>
    <row r="67" spans="1:17" ht="9" customHeight="1">
      <c r="A67" s="48"/>
      <c r="B67" s="48"/>
      <c r="C67" s="48"/>
      <c r="D67" s="48"/>
      <c r="E67" s="178"/>
      <c r="F67" s="48"/>
      <c r="G67" s="48"/>
      <c r="H67" s="48"/>
      <c r="I67" s="62"/>
      <c r="J67" s="48"/>
      <c r="K67" s="50"/>
      <c r="L67" s="48"/>
      <c r="O67" s="419"/>
      <c r="P67" s="419"/>
      <c r="Q67" s="179"/>
    </row>
    <row r="68" spans="1:17" ht="15.75" thickBot="1">
      <c r="A68" s="48" t="s">
        <v>451</v>
      </c>
      <c r="B68" s="48"/>
      <c r="C68" s="48"/>
      <c r="D68" s="48"/>
      <c r="E68" s="192">
        <f>SUM(E62:E67)</f>
        <v>1915.8000000000002</v>
      </c>
      <c r="F68" s="58"/>
      <c r="G68" s="58"/>
      <c r="H68" s="58"/>
      <c r="I68" s="192">
        <f>SUM(I62:I67)</f>
        <v>2956</v>
      </c>
      <c r="J68" s="48"/>
      <c r="K68" s="180">
        <f>SUM(K62:K67)</f>
        <v>1</v>
      </c>
      <c r="L68" s="289"/>
      <c r="O68" s="422"/>
      <c r="P68" s="419"/>
      <c r="Q68" s="421"/>
    </row>
    <row r="69" spans="1:17" ht="15.75" thickTop="1">
      <c r="A69" s="194"/>
      <c r="B69" s="194"/>
      <c r="C69" s="194"/>
      <c r="D69" s="48"/>
      <c r="E69" s="63"/>
      <c r="F69" s="48"/>
      <c r="G69" s="48"/>
      <c r="H69" s="48"/>
      <c r="I69" s="57"/>
      <c r="J69" s="48"/>
      <c r="K69" s="179"/>
      <c r="L69" s="48"/>
      <c r="O69" s="419"/>
      <c r="P69" s="419"/>
      <c r="Q69" s="419"/>
    </row>
    <row r="70" spans="1:12" ht="15">
      <c r="A70" s="48" t="s">
        <v>452</v>
      </c>
      <c r="B70" s="48"/>
      <c r="C70" s="48"/>
      <c r="D70" s="48"/>
      <c r="E70" s="48"/>
      <c r="F70" s="48"/>
      <c r="G70" s="48"/>
      <c r="H70" s="48"/>
      <c r="I70" s="48"/>
      <c r="J70" s="48"/>
      <c r="K70" s="48"/>
      <c r="L70" s="48"/>
    </row>
    <row r="71" spans="1:12" ht="11.25" customHeight="1">
      <c r="A71" s="48"/>
      <c r="B71" s="48"/>
      <c r="C71" s="48"/>
      <c r="D71" s="48"/>
      <c r="E71" s="48"/>
      <c r="F71" s="48"/>
      <c r="G71" s="48"/>
      <c r="H71" s="48"/>
      <c r="I71" s="48"/>
      <c r="J71" s="48"/>
      <c r="K71" s="48"/>
      <c r="L71" s="48"/>
    </row>
    <row r="72" spans="1:12" ht="29.25" customHeight="1">
      <c r="A72" s="588" t="s">
        <v>352</v>
      </c>
      <c r="B72" s="588"/>
      <c r="C72" s="588"/>
      <c r="D72" s="588"/>
      <c r="E72" s="588"/>
      <c r="F72" s="588"/>
      <c r="G72" s="588"/>
      <c r="H72" s="588"/>
      <c r="I72" s="588"/>
      <c r="J72" s="588"/>
      <c r="K72" s="588"/>
      <c r="L72" s="48"/>
    </row>
    <row r="73" spans="1:12" ht="15">
      <c r="A73" s="48"/>
      <c r="B73" s="48"/>
      <c r="C73" s="48"/>
      <c r="D73" s="48"/>
      <c r="E73" s="48"/>
      <c r="F73" s="48"/>
      <c r="G73" s="48"/>
      <c r="H73" s="48"/>
      <c r="I73" s="48"/>
      <c r="J73" s="48"/>
      <c r="K73" s="48"/>
      <c r="L73" s="48"/>
    </row>
  </sheetData>
  <mergeCells count="5">
    <mergeCell ref="A72:K72"/>
    <mergeCell ref="A10:K10"/>
    <mergeCell ref="A26:K26"/>
    <mergeCell ref="A39:K39"/>
    <mergeCell ref="A54:K54"/>
  </mergeCells>
  <printOptions horizontalCentered="1"/>
  <pageMargins left="1" right="1" top="1" bottom="0.5" header="0.5" footer="0.5"/>
  <pageSetup horizontalDpi="600" verticalDpi="600" orientation="portrait" r:id="rId1"/>
  <rowBreaks count="1" manualBreakCount="1">
    <brk id="29" max="255" man="1"/>
  </rowBreaks>
</worksheet>
</file>

<file path=xl/worksheets/sheet6.xml><?xml version="1.0" encoding="utf-8"?>
<worksheet xmlns="http://schemas.openxmlformats.org/spreadsheetml/2006/main" xmlns:r="http://schemas.openxmlformats.org/officeDocument/2006/relationships">
  <dimension ref="A1:AE67"/>
  <sheetViews>
    <sheetView workbookViewId="0" topLeftCell="A1">
      <selection activeCell="A1" sqref="A1"/>
    </sheetView>
  </sheetViews>
  <sheetFormatPr defaultColWidth="8.88671875" defaultRowHeight="12.75"/>
  <cols>
    <col min="1" max="2" width="7.77734375" style="67" customWidth="1"/>
    <col min="3" max="3" width="2.21484375" style="67" customWidth="1"/>
    <col min="4" max="4" width="7.77734375" style="67" customWidth="1"/>
    <col min="5" max="5" width="2.21484375" style="67" customWidth="1"/>
    <col min="6" max="6" width="7.77734375" style="67" customWidth="1"/>
    <col min="7" max="7" width="2.10546875" style="67" customWidth="1"/>
    <col min="8" max="8" width="7.77734375" style="67" customWidth="1"/>
    <col min="9" max="9" width="2.10546875" style="67" customWidth="1"/>
    <col min="10" max="10" width="7.77734375" style="67" customWidth="1"/>
    <col min="11" max="11" width="2.10546875" style="67" customWidth="1"/>
    <col min="12" max="12" width="7.77734375" style="67" customWidth="1"/>
    <col min="13" max="13" width="2.10546875" style="67" customWidth="1"/>
    <col min="14" max="14" width="7.77734375" style="67" customWidth="1"/>
    <col min="15" max="15" width="2.10546875" style="67" customWidth="1"/>
    <col min="16" max="16" width="7.77734375" style="67" customWidth="1"/>
    <col min="17" max="17" width="2.10546875" style="67" customWidth="1"/>
    <col min="18" max="18" width="11.21484375" style="67" customWidth="1"/>
    <col min="19" max="22" width="9.77734375" style="67" customWidth="1"/>
    <col min="23" max="23" width="10.77734375" style="67" customWidth="1"/>
    <col min="24" max="25" width="6.77734375" style="67" customWidth="1"/>
    <col min="26" max="28" width="7.77734375" style="67" customWidth="1"/>
    <col min="29" max="29" width="4.77734375" style="67" customWidth="1"/>
    <col min="30" max="16384" width="9.77734375" style="67" customWidth="1"/>
  </cols>
  <sheetData>
    <row r="1" spans="1:31" ht="15">
      <c r="A1" s="37" t="s">
        <v>7</v>
      </c>
      <c r="B1" s="65"/>
      <c r="C1" s="65"/>
      <c r="D1" s="65"/>
      <c r="E1" s="65"/>
      <c r="F1" s="65"/>
      <c r="G1" s="64"/>
      <c r="H1" s="65"/>
      <c r="I1" s="65"/>
      <c r="J1" s="65"/>
      <c r="K1" s="65"/>
      <c r="L1" s="65"/>
      <c r="M1" s="65"/>
      <c r="N1" s="65"/>
      <c r="O1" s="65"/>
      <c r="P1" s="65"/>
      <c r="Q1" s="65"/>
      <c r="R1" s="65"/>
      <c r="S1" s="66"/>
      <c r="T1" s="66"/>
      <c r="U1" s="66"/>
      <c r="V1" s="66"/>
      <c r="W1" s="66"/>
      <c r="X1" s="66"/>
      <c r="Y1" s="66"/>
      <c r="Z1" s="66"/>
      <c r="AA1" s="66"/>
      <c r="AB1" s="66"/>
      <c r="AC1" s="66"/>
      <c r="AD1" s="66"/>
      <c r="AE1" s="66"/>
    </row>
    <row r="2" spans="1:31" ht="15">
      <c r="A2" s="37"/>
      <c r="B2" s="65"/>
      <c r="C2" s="65"/>
      <c r="D2" s="65"/>
      <c r="E2" s="65"/>
      <c r="F2" s="65"/>
      <c r="G2" s="64"/>
      <c r="H2" s="65"/>
      <c r="I2" s="65"/>
      <c r="J2" s="65"/>
      <c r="K2" s="65"/>
      <c r="L2" s="65"/>
      <c r="M2" s="65"/>
      <c r="N2" s="65"/>
      <c r="O2" s="65"/>
      <c r="P2" s="65"/>
      <c r="Q2" s="65"/>
      <c r="R2" s="65"/>
      <c r="S2" s="66"/>
      <c r="T2" s="66"/>
      <c r="U2" s="66"/>
      <c r="V2" s="66"/>
      <c r="W2" s="66"/>
      <c r="X2" s="66"/>
      <c r="Y2" s="66"/>
      <c r="Z2" s="66"/>
      <c r="AA2" s="66"/>
      <c r="AB2" s="66"/>
      <c r="AC2" s="66"/>
      <c r="AD2" s="66"/>
      <c r="AE2" s="66"/>
    </row>
    <row r="3" spans="1:31" ht="15">
      <c r="A3" s="65"/>
      <c r="B3" s="65"/>
      <c r="C3" s="65"/>
      <c r="D3" s="65"/>
      <c r="E3" s="65"/>
      <c r="F3" s="65"/>
      <c r="G3" s="65"/>
      <c r="H3" s="65"/>
      <c r="I3" s="65"/>
      <c r="J3" s="65"/>
      <c r="K3" s="65"/>
      <c r="L3" s="65"/>
      <c r="M3" s="65"/>
      <c r="N3" s="65"/>
      <c r="O3" s="65"/>
      <c r="P3" s="65"/>
      <c r="Q3" s="65"/>
      <c r="R3" s="65"/>
      <c r="S3" s="66"/>
      <c r="T3" s="66"/>
      <c r="U3" s="66"/>
      <c r="V3" s="66"/>
      <c r="W3" s="66"/>
      <c r="X3" s="66"/>
      <c r="Y3" s="66"/>
      <c r="Z3" s="66"/>
      <c r="AA3" s="66"/>
      <c r="AB3" s="66"/>
      <c r="AC3" s="66"/>
      <c r="AD3" s="66"/>
      <c r="AE3" s="66"/>
    </row>
    <row r="4" spans="1:31" ht="15">
      <c r="A4" s="65" t="s">
        <v>407</v>
      </c>
      <c r="B4" s="65"/>
      <c r="C4" s="65"/>
      <c r="D4" s="64"/>
      <c r="E4" s="65"/>
      <c r="F4" s="65"/>
      <c r="G4" s="65"/>
      <c r="H4" s="65"/>
      <c r="I4" s="65"/>
      <c r="J4" s="65"/>
      <c r="K4" s="65"/>
      <c r="L4" s="65"/>
      <c r="M4" s="65"/>
      <c r="N4" s="65"/>
      <c r="O4" s="65"/>
      <c r="P4" s="65"/>
      <c r="Q4" s="65"/>
      <c r="R4" s="65"/>
      <c r="S4" s="66"/>
      <c r="T4" s="66"/>
      <c r="U4" s="66"/>
      <c r="V4" s="66"/>
      <c r="W4" s="66"/>
      <c r="X4" s="66"/>
      <c r="Y4" s="66"/>
      <c r="Z4" s="66"/>
      <c r="AA4" s="66"/>
      <c r="AB4" s="66"/>
      <c r="AC4" s="66"/>
      <c r="AD4" s="66"/>
      <c r="AE4" s="66"/>
    </row>
    <row r="5" spans="1:31" ht="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1" ht="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ht="15">
      <c r="A7" s="66" t="s">
        <v>453</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ht="1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ht="27" customHeight="1">
      <c r="A9" s="589" t="s">
        <v>454</v>
      </c>
      <c r="B9" s="589"/>
      <c r="C9" s="589"/>
      <c r="D9" s="589"/>
      <c r="E9" s="589"/>
      <c r="F9" s="589"/>
      <c r="G9" s="589"/>
      <c r="H9" s="589"/>
      <c r="I9" s="589"/>
      <c r="J9" s="589"/>
      <c r="K9" s="589"/>
      <c r="L9" s="589"/>
      <c r="M9" s="589"/>
      <c r="N9" s="589"/>
      <c r="O9" s="589"/>
      <c r="P9" s="589"/>
      <c r="Q9" s="589"/>
      <c r="R9" s="589"/>
      <c r="S9" s="66"/>
      <c r="T9" s="66"/>
      <c r="U9" s="66"/>
      <c r="V9" s="66"/>
      <c r="W9" s="66"/>
      <c r="X9" s="66"/>
      <c r="Y9" s="66"/>
      <c r="Z9" s="66"/>
      <c r="AA9" s="66"/>
      <c r="AB9" s="66"/>
      <c r="AC9" s="66"/>
      <c r="AD9" s="66"/>
      <c r="AE9" s="66"/>
    </row>
    <row r="10" spans="1:31" ht="15">
      <c r="A10" s="66"/>
      <c r="B10" s="66"/>
      <c r="C10" s="66"/>
      <c r="D10" s="66"/>
      <c r="E10" s="66"/>
      <c r="F10" s="66"/>
      <c r="G10" s="66"/>
      <c r="H10" s="66"/>
      <c r="I10" s="66"/>
      <c r="K10" s="66"/>
      <c r="L10" s="66"/>
      <c r="M10" s="66"/>
      <c r="N10" s="66"/>
      <c r="O10" s="66"/>
      <c r="P10" s="66"/>
      <c r="Q10" s="66"/>
      <c r="R10" s="66"/>
      <c r="S10" s="66"/>
      <c r="T10" s="66"/>
      <c r="U10" s="66"/>
      <c r="V10" s="66"/>
      <c r="W10" s="66"/>
      <c r="X10" s="66"/>
      <c r="Y10" s="66"/>
      <c r="Z10" s="66"/>
      <c r="AA10" s="66"/>
      <c r="AB10" s="66"/>
      <c r="AC10" s="66"/>
      <c r="AD10" s="66"/>
      <c r="AE10" s="66"/>
    </row>
    <row r="11" spans="1:31" ht="15">
      <c r="A11" s="66"/>
      <c r="B11" s="66"/>
      <c r="C11" s="66"/>
      <c r="E11" s="66"/>
      <c r="F11" s="66"/>
      <c r="G11" s="66"/>
      <c r="H11" s="66"/>
      <c r="I11" s="66"/>
      <c r="J11" s="65" t="s">
        <v>431</v>
      </c>
      <c r="K11" s="65"/>
      <c r="L11" s="65"/>
      <c r="M11" s="66"/>
      <c r="O11" s="66"/>
      <c r="P11" s="66"/>
      <c r="Q11" s="66"/>
      <c r="R11" s="66"/>
      <c r="S11" s="66"/>
      <c r="T11" s="66"/>
      <c r="U11" s="66"/>
      <c r="V11" s="66"/>
      <c r="W11" s="66"/>
      <c r="X11" s="66"/>
      <c r="Y11" s="66"/>
      <c r="Z11" s="66"/>
      <c r="AA11" s="66"/>
      <c r="AB11" s="66"/>
      <c r="AC11" s="66"/>
      <c r="AD11" s="66"/>
      <c r="AE11" s="66"/>
    </row>
    <row r="12" spans="1:31" ht="15">
      <c r="A12" s="66"/>
      <c r="B12" s="66"/>
      <c r="C12" s="66"/>
      <c r="D12" s="65" t="s">
        <v>432</v>
      </c>
      <c r="E12" s="65"/>
      <c r="F12" s="65"/>
      <c r="G12" s="65"/>
      <c r="H12" s="65"/>
      <c r="I12" s="66"/>
      <c r="J12" s="65" t="s">
        <v>397</v>
      </c>
      <c r="K12" s="65"/>
      <c r="L12" s="65"/>
      <c r="M12" s="66"/>
      <c r="N12" s="65" t="s">
        <v>424</v>
      </c>
      <c r="O12" s="65"/>
      <c r="P12" s="65"/>
      <c r="Q12" s="66"/>
      <c r="R12" s="66"/>
      <c r="S12" s="66"/>
      <c r="T12" s="66"/>
      <c r="U12" s="66"/>
      <c r="V12" s="66"/>
      <c r="W12" s="66"/>
      <c r="X12" s="66"/>
      <c r="Y12" s="66"/>
      <c r="Z12" s="66"/>
      <c r="AA12" s="66"/>
      <c r="AB12" s="66"/>
      <c r="AC12" s="66"/>
      <c r="AD12" s="66"/>
      <c r="AE12" s="66"/>
    </row>
    <row r="13" spans="1:31" ht="15">
      <c r="A13" s="65" t="s">
        <v>425</v>
      </c>
      <c r="B13" s="65"/>
      <c r="C13" s="66"/>
      <c r="D13" s="68"/>
      <c r="E13" s="68"/>
      <c r="F13" s="68" t="s">
        <v>377</v>
      </c>
      <c r="G13" s="68"/>
      <c r="H13" s="68" t="s">
        <v>398</v>
      </c>
      <c r="I13" s="69"/>
      <c r="J13" s="68" t="s">
        <v>377</v>
      </c>
      <c r="K13" s="68"/>
      <c r="L13" s="68" t="s">
        <v>398</v>
      </c>
      <c r="M13" s="69"/>
      <c r="N13" s="68" t="s">
        <v>377</v>
      </c>
      <c r="O13" s="68"/>
      <c r="P13" s="68" t="s">
        <v>398</v>
      </c>
      <c r="Q13" s="69"/>
      <c r="R13" s="69" t="s">
        <v>377</v>
      </c>
      <c r="S13" s="66"/>
      <c r="T13" s="66"/>
      <c r="U13" s="66"/>
      <c r="V13" s="66"/>
      <c r="W13" s="66"/>
      <c r="X13" s="66"/>
      <c r="Y13" s="66"/>
      <c r="Z13" s="66"/>
      <c r="AA13" s="66"/>
      <c r="AB13" s="66"/>
      <c r="AC13" s="66"/>
      <c r="AD13" s="66"/>
      <c r="AE13" s="66"/>
    </row>
    <row r="14" spans="1:31" ht="15">
      <c r="A14" s="65" t="s">
        <v>378</v>
      </c>
      <c r="B14" s="65"/>
      <c r="C14" s="66"/>
      <c r="D14" s="69" t="s">
        <v>9</v>
      </c>
      <c r="E14" s="69"/>
      <c r="F14" s="69" t="s">
        <v>379</v>
      </c>
      <c r="G14" s="69"/>
      <c r="H14" s="69" t="s">
        <v>379</v>
      </c>
      <c r="I14" s="69"/>
      <c r="J14" s="69" t="s">
        <v>379</v>
      </c>
      <c r="K14" s="69"/>
      <c r="L14" s="69" t="s">
        <v>379</v>
      </c>
      <c r="M14" s="69"/>
      <c r="N14" s="69" t="s">
        <v>379</v>
      </c>
      <c r="O14" s="69"/>
      <c r="P14" s="69" t="s">
        <v>379</v>
      </c>
      <c r="Q14" s="69"/>
      <c r="R14" s="69" t="s">
        <v>379</v>
      </c>
      <c r="S14" s="66"/>
      <c r="T14" s="66"/>
      <c r="U14" s="66"/>
      <c r="V14" s="66"/>
      <c r="W14" s="66"/>
      <c r="X14" s="66"/>
      <c r="Y14" s="66"/>
      <c r="Z14" s="66"/>
      <c r="AA14" s="66"/>
      <c r="AB14" s="66"/>
      <c r="AC14" s="66"/>
      <c r="AD14" s="66"/>
      <c r="AE14" s="66"/>
    </row>
    <row r="15" spans="1:31" ht="15">
      <c r="A15" s="70" t="s">
        <v>380</v>
      </c>
      <c r="B15" s="70"/>
      <c r="C15" s="66"/>
      <c r="D15" s="68" t="s">
        <v>400</v>
      </c>
      <c r="E15" s="66"/>
      <c r="F15" s="68" t="s">
        <v>382</v>
      </c>
      <c r="G15" s="66"/>
      <c r="H15" s="71" t="s">
        <v>433</v>
      </c>
      <c r="I15" s="66"/>
      <c r="J15" s="68" t="s">
        <v>414</v>
      </c>
      <c r="K15" s="66"/>
      <c r="L15" s="71" t="s">
        <v>434</v>
      </c>
      <c r="M15" s="66"/>
      <c r="N15" s="68" t="s">
        <v>435</v>
      </c>
      <c r="O15" s="66"/>
      <c r="P15" s="71" t="s">
        <v>436</v>
      </c>
      <c r="Q15" s="66"/>
      <c r="R15" s="68" t="s">
        <v>437</v>
      </c>
      <c r="S15" s="66"/>
      <c r="T15" s="66"/>
      <c r="U15" s="66"/>
      <c r="V15" s="66"/>
      <c r="W15" s="66"/>
      <c r="X15" s="66"/>
      <c r="Y15" s="66"/>
      <c r="Z15" s="66"/>
      <c r="AA15" s="66"/>
      <c r="AB15" s="66"/>
      <c r="AC15" s="66"/>
      <c r="AD15" s="66"/>
      <c r="AE15" s="66"/>
    </row>
    <row r="16" spans="1:31" ht="15">
      <c r="A16" s="66"/>
      <c r="B16" s="66"/>
      <c r="C16" s="66"/>
      <c r="D16" s="66"/>
      <c r="E16" s="66"/>
      <c r="F16" s="66"/>
      <c r="G16" s="66"/>
      <c r="H16" s="72">
        <f>'F 5B'!$H$24</f>
        <v>0.3124</v>
      </c>
      <c r="I16" s="72"/>
      <c r="J16" s="72"/>
      <c r="K16" s="72"/>
      <c r="L16" s="72">
        <f>'F 5B'!$H$27</f>
        <v>0.4685</v>
      </c>
      <c r="M16" s="72"/>
      <c r="N16" s="72"/>
      <c r="O16" s="72"/>
      <c r="P16" s="72">
        <f>'F 5B'!$H$12</f>
        <v>0.2191</v>
      </c>
      <c r="Q16" s="72"/>
      <c r="R16" s="66"/>
      <c r="S16" s="66"/>
      <c r="T16" s="66"/>
      <c r="U16" s="66"/>
      <c r="V16" s="66"/>
      <c r="W16" s="66"/>
      <c r="X16" s="66"/>
      <c r="Y16" s="66"/>
      <c r="Z16" s="66"/>
      <c r="AA16" s="66"/>
      <c r="AB16" s="66"/>
      <c r="AC16" s="66"/>
      <c r="AD16" s="66"/>
      <c r="AE16" s="66"/>
    </row>
    <row r="17" spans="1:31" ht="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ht="15">
      <c r="A18" s="66" t="s">
        <v>383</v>
      </c>
      <c r="B18" s="66"/>
      <c r="C18" s="66"/>
      <c r="D18" s="224">
        <f>ROUND(('F 1-2'!$G$16/24),1)</f>
        <v>940.7</v>
      </c>
      <c r="E18" s="66"/>
      <c r="F18" s="72">
        <f>ROUND(+D18/$D$26,4)</f>
        <v>0.4883</v>
      </c>
      <c r="G18" s="66"/>
      <c r="H18" s="73">
        <f>ROUND(F18*$H$16,4)</f>
        <v>0.1525</v>
      </c>
      <c r="I18" s="66"/>
      <c r="J18" s="72">
        <f>+'F 5B'!J38</f>
        <v>0.541</v>
      </c>
      <c r="K18" s="66"/>
      <c r="L18" s="74">
        <f>ROUND(J18*$L$16,4)-0.0001</f>
        <v>0.2534</v>
      </c>
      <c r="M18" s="66"/>
      <c r="N18" s="72"/>
      <c r="O18" s="66"/>
      <c r="P18" s="72"/>
      <c r="Q18" s="66"/>
      <c r="R18" s="72">
        <f aca="true" t="shared" si="0" ref="R18:R24">H18+L18+P18</f>
        <v>0.40590000000000004</v>
      </c>
      <c r="S18" s="66"/>
      <c r="T18" s="72"/>
      <c r="U18" s="66"/>
      <c r="V18" s="66"/>
      <c r="W18" s="66"/>
      <c r="X18" s="66"/>
      <c r="Y18" s="66"/>
      <c r="Z18" s="66"/>
      <c r="AA18" s="66"/>
      <c r="AB18" s="66"/>
      <c r="AC18" s="66"/>
      <c r="AD18" s="66"/>
      <c r="AE18" s="66"/>
    </row>
    <row r="19" spans="1:31" ht="15">
      <c r="A19" s="66" t="s">
        <v>384</v>
      </c>
      <c r="B19" s="66"/>
      <c r="C19" s="66"/>
      <c r="D19" s="224">
        <f>ROUND(('F 1-2'!$G$17/24),1)</f>
        <v>589</v>
      </c>
      <c r="E19" s="66"/>
      <c r="F19" s="72">
        <f aca="true" t="shared" si="1" ref="F19:F24">ROUND(+D19/$D$26,4)</f>
        <v>0.3057</v>
      </c>
      <c r="G19" s="66"/>
      <c r="H19" s="73">
        <f aca="true" t="shared" si="2" ref="H19:H24">ROUND(F19*$H$16,4)</f>
        <v>0.0955</v>
      </c>
      <c r="I19" s="66"/>
      <c r="J19" s="72">
        <f>+'F 5B'!J39</f>
        <v>0.3188</v>
      </c>
      <c r="K19" s="66"/>
      <c r="L19" s="72">
        <f>ROUND(J19*$L$16,4)</f>
        <v>0.1494</v>
      </c>
      <c r="M19" s="66"/>
      <c r="N19" s="66"/>
      <c r="O19" s="66"/>
      <c r="P19" s="66"/>
      <c r="Q19" s="66"/>
      <c r="R19" s="72">
        <f t="shared" si="0"/>
        <v>0.2449</v>
      </c>
      <c r="S19" s="66"/>
      <c r="T19" s="72"/>
      <c r="U19" s="66"/>
      <c r="V19" s="66"/>
      <c r="W19" s="66"/>
      <c r="X19" s="66"/>
      <c r="Y19" s="66"/>
      <c r="Z19" s="66"/>
      <c r="AA19" s="66"/>
      <c r="AB19" s="66"/>
      <c r="AC19" s="66"/>
      <c r="AD19" s="66"/>
      <c r="AE19" s="66"/>
    </row>
    <row r="20" spans="1:31" ht="15">
      <c r="A20" s="66" t="s">
        <v>385</v>
      </c>
      <c r="B20" s="66"/>
      <c r="C20" s="66"/>
      <c r="D20" s="224">
        <f>ROUND(('F 1-2'!$G$18/24),1)</f>
        <v>78.9</v>
      </c>
      <c r="E20" s="66"/>
      <c r="F20" s="72">
        <f t="shared" si="1"/>
        <v>0.041</v>
      </c>
      <c r="G20" s="66"/>
      <c r="H20" s="73">
        <f t="shared" si="2"/>
        <v>0.0128</v>
      </c>
      <c r="I20" s="66"/>
      <c r="J20" s="72">
        <f>+'F 5B'!J40</f>
        <v>0.0307</v>
      </c>
      <c r="K20" s="66"/>
      <c r="L20" s="72">
        <f>ROUND(J20*$L$16,4)</f>
        <v>0.0144</v>
      </c>
      <c r="M20" s="66"/>
      <c r="N20" s="66"/>
      <c r="O20" s="66"/>
      <c r="P20" s="66"/>
      <c r="Q20" s="66"/>
      <c r="R20" s="72">
        <f t="shared" si="0"/>
        <v>0.027200000000000002</v>
      </c>
      <c r="S20" s="66"/>
      <c r="T20" s="72"/>
      <c r="U20" s="66"/>
      <c r="V20" s="66"/>
      <c r="W20" s="66"/>
      <c r="X20" s="66"/>
      <c r="Y20" s="66"/>
      <c r="Z20" s="66"/>
      <c r="AA20" s="66"/>
      <c r="AB20" s="66"/>
      <c r="AC20" s="66"/>
      <c r="AD20" s="66"/>
      <c r="AE20" s="66"/>
    </row>
    <row r="21" spans="1:31" ht="15">
      <c r="A21" s="66" t="s">
        <v>387</v>
      </c>
      <c r="B21" s="66"/>
      <c r="C21" s="66"/>
      <c r="D21" s="224">
        <f>ROUND(('F 1-2'!$G$19/24),1)</f>
        <v>235.7</v>
      </c>
      <c r="E21" s="66"/>
      <c r="F21" s="72">
        <f t="shared" si="1"/>
        <v>0.1223</v>
      </c>
      <c r="G21" s="66"/>
      <c r="H21" s="73">
        <f t="shared" si="2"/>
        <v>0.0382</v>
      </c>
      <c r="I21" s="66"/>
      <c r="J21" s="72">
        <f>+'F 5B'!J41</f>
        <v>0.0877</v>
      </c>
      <c r="K21" s="66"/>
      <c r="L21" s="72">
        <f>ROUND(J21*$L$16,4)</f>
        <v>0.0411</v>
      </c>
      <c r="M21" s="66"/>
      <c r="N21" s="66"/>
      <c r="O21" s="66"/>
      <c r="P21" s="66"/>
      <c r="Q21" s="66"/>
      <c r="R21" s="72">
        <f t="shared" si="0"/>
        <v>0.0793</v>
      </c>
      <c r="S21" s="66"/>
      <c r="T21" s="72"/>
      <c r="U21" s="66"/>
      <c r="V21" s="66"/>
      <c r="W21" s="66"/>
      <c r="X21" s="66"/>
      <c r="Y21" s="66"/>
      <c r="Z21" s="66"/>
      <c r="AA21" s="66"/>
      <c r="AB21" s="66"/>
      <c r="AC21" s="66"/>
      <c r="AD21" s="66"/>
      <c r="AE21" s="66"/>
    </row>
    <row r="22" spans="1:31" ht="15">
      <c r="A22" s="66" t="s">
        <v>508</v>
      </c>
      <c r="B22" s="66"/>
      <c r="C22" s="66"/>
      <c r="D22" s="224">
        <f>ROUND(('F 1-2'!$G$20/24),1)</f>
        <v>71.5</v>
      </c>
      <c r="E22" s="66"/>
      <c r="F22" s="72">
        <f t="shared" si="1"/>
        <v>0.0371</v>
      </c>
      <c r="G22" s="66"/>
      <c r="H22" s="73">
        <f t="shared" si="2"/>
        <v>0.0116</v>
      </c>
      <c r="I22" s="66"/>
      <c r="J22" s="72">
        <f>+'F 5B'!J42</f>
        <v>0.0218</v>
      </c>
      <c r="K22" s="66"/>
      <c r="L22" s="72">
        <f>ROUND(J22*$L$16,4)</f>
        <v>0.0102</v>
      </c>
      <c r="M22" s="66"/>
      <c r="N22" s="66"/>
      <c r="O22" s="66"/>
      <c r="P22" s="66"/>
      <c r="Q22" s="66"/>
      <c r="R22" s="72">
        <f t="shared" si="0"/>
        <v>0.0218</v>
      </c>
      <c r="S22" s="66"/>
      <c r="T22" s="72"/>
      <c r="U22" s="66"/>
      <c r="V22" s="66"/>
      <c r="W22" s="66"/>
      <c r="X22" s="66"/>
      <c r="Y22" s="66"/>
      <c r="Z22" s="66"/>
      <c r="AA22" s="66"/>
      <c r="AB22" s="66"/>
      <c r="AC22" s="66"/>
      <c r="AD22" s="66"/>
      <c r="AE22" s="66"/>
    </row>
    <row r="23" spans="1:31" ht="15">
      <c r="A23" s="66" t="s">
        <v>389</v>
      </c>
      <c r="B23" s="66"/>
      <c r="C23" s="66"/>
      <c r="D23" s="224">
        <f>ROUND(('F 1-2'!$G$21/24),1)</f>
        <v>4.8</v>
      </c>
      <c r="E23" s="66"/>
      <c r="F23" s="72">
        <f t="shared" si="1"/>
        <v>0.0025</v>
      </c>
      <c r="G23" s="66"/>
      <c r="H23" s="73">
        <f t="shared" si="2"/>
        <v>0.0008</v>
      </c>
      <c r="I23" s="66"/>
      <c r="J23" s="66"/>
      <c r="K23" s="66"/>
      <c r="L23" s="66"/>
      <c r="M23" s="66"/>
      <c r="N23" s="72">
        <f>Fire!$O$26</f>
        <v>0.4484</v>
      </c>
      <c r="O23" s="66"/>
      <c r="P23" s="72">
        <f>ROUND(N23*$P$16,4)</f>
        <v>0.0982</v>
      </c>
      <c r="Q23" s="66"/>
      <c r="R23" s="72">
        <f t="shared" si="0"/>
        <v>0.09899999999999999</v>
      </c>
      <c r="S23" s="66"/>
      <c r="T23" s="72"/>
      <c r="U23" s="66"/>
      <c r="V23" s="66"/>
      <c r="W23" s="66"/>
      <c r="X23" s="66"/>
      <c r="Y23" s="66"/>
      <c r="Z23" s="66"/>
      <c r="AA23" s="66"/>
      <c r="AB23" s="66"/>
      <c r="AC23" s="66"/>
      <c r="AD23" s="66"/>
      <c r="AE23" s="66"/>
    </row>
    <row r="24" spans="1:31" ht="15">
      <c r="A24" s="66" t="s">
        <v>390</v>
      </c>
      <c r="B24" s="66"/>
      <c r="C24" s="66"/>
      <c r="D24" s="224">
        <f>ROUND(('F 1-2'!$G$22/24),1)</f>
        <v>5.9</v>
      </c>
      <c r="E24" s="66"/>
      <c r="F24" s="72">
        <f t="shared" si="1"/>
        <v>0.0031</v>
      </c>
      <c r="G24" s="66"/>
      <c r="H24" s="72">
        <f t="shared" si="2"/>
        <v>0.001</v>
      </c>
      <c r="I24" s="66"/>
      <c r="J24" s="66"/>
      <c r="K24" s="66"/>
      <c r="L24" s="66"/>
      <c r="M24" s="66"/>
      <c r="N24" s="72">
        <f>Fire!$O$33</f>
        <v>0.5516</v>
      </c>
      <c r="O24" s="66"/>
      <c r="P24" s="72">
        <f>ROUND(N24*$P$16,4)</f>
        <v>0.1209</v>
      </c>
      <c r="Q24" s="66"/>
      <c r="R24" s="72">
        <f t="shared" si="0"/>
        <v>0.1219</v>
      </c>
      <c r="S24" s="72"/>
      <c r="T24" s="72"/>
      <c r="U24" s="66"/>
      <c r="V24" s="66"/>
      <c r="W24" s="66"/>
      <c r="X24" s="66"/>
      <c r="Y24" s="66"/>
      <c r="Z24" s="66"/>
      <c r="AA24" s="66"/>
      <c r="AB24" s="66"/>
      <c r="AC24" s="66"/>
      <c r="AD24" s="66"/>
      <c r="AE24" s="66"/>
    </row>
    <row r="25" spans="1:31" ht="15">
      <c r="A25" s="66"/>
      <c r="B25" s="66"/>
      <c r="C25" s="66"/>
      <c r="D25" s="225"/>
      <c r="E25" s="66"/>
      <c r="F25" s="75"/>
      <c r="G25" s="66"/>
      <c r="H25" s="75"/>
      <c r="I25" s="66"/>
      <c r="J25" s="75"/>
      <c r="K25" s="66"/>
      <c r="L25" s="75"/>
      <c r="M25" s="66"/>
      <c r="N25" s="75"/>
      <c r="O25" s="66"/>
      <c r="P25" s="75"/>
      <c r="Q25" s="66"/>
      <c r="R25" s="75"/>
      <c r="S25" s="66"/>
      <c r="T25" s="66"/>
      <c r="U25" s="66"/>
      <c r="V25" s="66"/>
      <c r="W25" s="66"/>
      <c r="X25" s="66"/>
      <c r="Y25" s="66"/>
      <c r="Z25" s="66"/>
      <c r="AA25" s="66"/>
      <c r="AB25" s="66"/>
      <c r="AC25" s="66"/>
      <c r="AD25" s="66"/>
      <c r="AE25" s="66"/>
    </row>
    <row r="26" spans="1:31" ht="15.75" thickBot="1">
      <c r="A26" s="66" t="s">
        <v>391</v>
      </c>
      <c r="B26" s="66"/>
      <c r="C26" s="66"/>
      <c r="D26" s="227">
        <f>SUM(D18:D25)</f>
        <v>1926.5000000000002</v>
      </c>
      <c r="E26" s="66"/>
      <c r="F26" s="72">
        <f>SUM(F18:F25)</f>
        <v>1</v>
      </c>
      <c r="G26" s="66"/>
      <c r="H26" s="72">
        <f>SUM(H18:H25)</f>
        <v>0.3124</v>
      </c>
      <c r="I26" s="66"/>
      <c r="J26" s="72">
        <f>SUM(J18:J25)</f>
        <v>1</v>
      </c>
      <c r="K26" s="66"/>
      <c r="L26" s="72">
        <f>SUM(L18:L25)</f>
        <v>0.4685</v>
      </c>
      <c r="M26" s="66"/>
      <c r="N26" s="72">
        <f>SUM(N18:N25)</f>
        <v>1</v>
      </c>
      <c r="O26" s="66"/>
      <c r="P26" s="72">
        <f>SUM(P18:P25)</f>
        <v>0.2191</v>
      </c>
      <c r="Q26" s="66"/>
      <c r="R26" s="72">
        <f>SUM(R18:R25)</f>
        <v>1</v>
      </c>
      <c r="S26" s="66"/>
      <c r="T26" s="66"/>
      <c r="U26" s="66"/>
      <c r="V26" s="66"/>
      <c r="W26" s="66"/>
      <c r="X26" s="66"/>
      <c r="Y26" s="66"/>
      <c r="Z26" s="66"/>
      <c r="AA26" s="66"/>
      <c r="AB26" s="66"/>
      <c r="AC26" s="66"/>
      <c r="AD26" s="66"/>
      <c r="AE26" s="66"/>
    </row>
    <row r="27" spans="1:31" ht="15.75" thickTop="1">
      <c r="A27" s="66"/>
      <c r="B27" s="66"/>
      <c r="C27" s="66"/>
      <c r="D27" s="226"/>
      <c r="E27" s="66"/>
      <c r="F27" s="76"/>
      <c r="G27" s="66"/>
      <c r="H27" s="76"/>
      <c r="I27" s="66"/>
      <c r="J27" s="76"/>
      <c r="K27" s="66"/>
      <c r="L27" s="76"/>
      <c r="M27" s="66"/>
      <c r="N27" s="76"/>
      <c r="O27" s="66"/>
      <c r="P27" s="76"/>
      <c r="Q27" s="66"/>
      <c r="R27" s="76"/>
      <c r="S27" s="66"/>
      <c r="T27" s="66"/>
      <c r="U27" s="66"/>
      <c r="V27" s="66"/>
      <c r="W27" s="66"/>
      <c r="X27" s="66"/>
      <c r="Y27" s="66"/>
      <c r="Z27" s="66"/>
      <c r="AA27" s="66"/>
      <c r="AB27" s="66"/>
      <c r="AC27" s="66"/>
      <c r="AD27" s="66"/>
      <c r="AE27" s="66"/>
    </row>
    <row r="28" spans="1:31" ht="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27" customHeight="1">
      <c r="A29" s="589" t="s">
        <v>624</v>
      </c>
      <c r="B29" s="589"/>
      <c r="C29" s="589"/>
      <c r="D29" s="589"/>
      <c r="E29" s="589"/>
      <c r="F29" s="589"/>
      <c r="G29" s="589"/>
      <c r="H29" s="589"/>
      <c r="I29" s="589"/>
      <c r="J29" s="589"/>
      <c r="K29" s="589"/>
      <c r="L29" s="589"/>
      <c r="M29" s="589"/>
      <c r="N29" s="589"/>
      <c r="O29" s="589"/>
      <c r="P29" s="589"/>
      <c r="Q29" s="589"/>
      <c r="R29" s="589"/>
      <c r="S29" s="66"/>
      <c r="T29" s="66"/>
      <c r="U29" s="66"/>
      <c r="V29" s="66"/>
      <c r="W29" s="66"/>
      <c r="X29" s="66"/>
      <c r="Y29" s="66"/>
      <c r="Z29" s="66"/>
      <c r="AA29" s="66"/>
      <c r="AB29" s="66"/>
      <c r="AC29" s="66"/>
      <c r="AD29" s="66"/>
      <c r="AE29" s="66"/>
    </row>
    <row r="30" spans="1:31" ht="15">
      <c r="A30" s="66"/>
      <c r="B30" s="66"/>
      <c r="C30" s="66"/>
      <c r="D30" s="66"/>
      <c r="E30" s="66"/>
      <c r="F30" s="66"/>
      <c r="G30" s="66"/>
      <c r="H30" s="66"/>
      <c r="I30" s="66"/>
      <c r="J30" s="66"/>
      <c r="K30" s="66"/>
      <c r="L30" s="66"/>
      <c r="M30" s="66"/>
      <c r="N30" s="66"/>
      <c r="O30" s="66"/>
      <c r="P30" s="66"/>
      <c r="Q30" s="66"/>
      <c r="R30" s="66"/>
      <c r="S30" s="66"/>
      <c r="T30" s="66"/>
      <c r="U30" s="77"/>
      <c r="V30" s="66"/>
      <c r="W30" s="66"/>
      <c r="X30" s="66"/>
      <c r="Y30" s="66"/>
      <c r="Z30" s="66"/>
      <c r="AA30" s="66"/>
      <c r="AB30" s="66"/>
      <c r="AC30" s="66"/>
      <c r="AD30" s="66"/>
      <c r="AE30" s="66"/>
    </row>
    <row r="31" spans="1:31" ht="1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ht="15">
      <c r="A32" s="66"/>
      <c r="B32" s="66"/>
      <c r="C32" s="66"/>
      <c r="D32" s="66"/>
      <c r="E32" s="66"/>
      <c r="F32" s="66"/>
      <c r="G32" s="66"/>
      <c r="H32" s="66"/>
      <c r="I32" s="66"/>
      <c r="J32" s="66"/>
      <c r="K32" s="66"/>
      <c r="L32" s="66"/>
      <c r="M32" s="66"/>
      <c r="N32" s="66"/>
      <c r="O32" s="66"/>
      <c r="P32" s="66"/>
      <c r="Q32" s="66"/>
      <c r="R32" s="66"/>
      <c r="S32" s="66"/>
      <c r="T32" s="66"/>
      <c r="AE32" s="66"/>
    </row>
    <row r="33" spans="1:31" ht="15">
      <c r="A33" s="66"/>
      <c r="B33" s="66"/>
      <c r="C33" s="66"/>
      <c r="D33" s="66"/>
      <c r="E33" s="66"/>
      <c r="F33" s="66"/>
      <c r="G33" s="66"/>
      <c r="H33" s="66"/>
      <c r="I33" s="66"/>
      <c r="J33" s="66"/>
      <c r="K33" s="66"/>
      <c r="L33" s="66"/>
      <c r="M33" s="66"/>
      <c r="N33" s="66"/>
      <c r="O33" s="66"/>
      <c r="P33" s="66"/>
      <c r="Q33" s="66"/>
      <c r="R33" s="66"/>
      <c r="S33" s="66"/>
      <c r="T33" s="66"/>
      <c r="AE33" s="66"/>
    </row>
    <row r="34" spans="1:31" ht="15">
      <c r="A34" s="66"/>
      <c r="B34" s="66"/>
      <c r="C34" s="66"/>
      <c r="D34" s="66"/>
      <c r="E34" s="66"/>
      <c r="F34" s="66"/>
      <c r="G34" s="66"/>
      <c r="H34" s="66"/>
      <c r="I34" s="66"/>
      <c r="J34" s="66"/>
      <c r="K34" s="66"/>
      <c r="L34" s="66"/>
      <c r="M34" s="66"/>
      <c r="N34" s="66"/>
      <c r="O34" s="66"/>
      <c r="P34" s="66"/>
      <c r="Q34" s="66"/>
      <c r="R34" s="66"/>
      <c r="S34" s="66"/>
      <c r="T34" s="66"/>
      <c r="AE34" s="66"/>
    </row>
    <row r="35" spans="1:31" ht="15">
      <c r="A35" s="66"/>
      <c r="B35" s="66"/>
      <c r="C35" s="66"/>
      <c r="D35" s="66"/>
      <c r="E35" s="66"/>
      <c r="F35" s="66"/>
      <c r="G35" s="66"/>
      <c r="H35" s="66"/>
      <c r="I35" s="66"/>
      <c r="J35" s="66"/>
      <c r="K35" s="66"/>
      <c r="L35" s="66"/>
      <c r="M35" s="66"/>
      <c r="N35" s="66"/>
      <c r="O35" s="66"/>
      <c r="P35" s="66"/>
      <c r="Q35" s="66"/>
      <c r="R35" s="66"/>
      <c r="S35" s="66"/>
      <c r="T35" s="66"/>
      <c r="AE35" s="66"/>
    </row>
    <row r="36" spans="1:31" ht="15">
      <c r="A36" s="66"/>
      <c r="B36" s="66"/>
      <c r="C36" s="66"/>
      <c r="D36" s="66"/>
      <c r="E36" s="66"/>
      <c r="F36" s="66"/>
      <c r="G36" s="66"/>
      <c r="H36" s="66"/>
      <c r="I36" s="66"/>
      <c r="J36" s="66"/>
      <c r="K36" s="66"/>
      <c r="L36" s="66"/>
      <c r="M36" s="66"/>
      <c r="N36" s="66"/>
      <c r="O36" s="66"/>
      <c r="P36" s="66"/>
      <c r="Q36" s="66"/>
      <c r="R36" s="66"/>
      <c r="S36" s="66"/>
      <c r="T36" s="66"/>
      <c r="AE36" s="66"/>
    </row>
    <row r="37" spans="1:31" ht="15">
      <c r="A37" s="66"/>
      <c r="B37" s="66"/>
      <c r="C37" s="66"/>
      <c r="D37" s="66"/>
      <c r="E37" s="66"/>
      <c r="F37" s="66"/>
      <c r="G37" s="66"/>
      <c r="H37" s="66"/>
      <c r="I37" s="66"/>
      <c r="J37" s="66"/>
      <c r="K37" s="66"/>
      <c r="L37" s="66"/>
      <c r="M37" s="66"/>
      <c r="N37" s="66"/>
      <c r="O37" s="66"/>
      <c r="P37" s="66"/>
      <c r="Q37" s="66"/>
      <c r="R37" s="66"/>
      <c r="S37" s="66"/>
      <c r="T37" s="66"/>
      <c r="AE37" s="66"/>
    </row>
    <row r="38" spans="1:31" ht="15">
      <c r="A38" s="66"/>
      <c r="B38" s="66"/>
      <c r="C38" s="66"/>
      <c r="D38" s="66"/>
      <c r="E38" s="66"/>
      <c r="F38" s="66"/>
      <c r="G38" s="66"/>
      <c r="H38" s="66"/>
      <c r="I38" s="66"/>
      <c r="J38" s="66"/>
      <c r="K38" s="66"/>
      <c r="L38" s="66"/>
      <c r="M38" s="66"/>
      <c r="N38" s="66"/>
      <c r="O38" s="66"/>
      <c r="P38" s="66"/>
      <c r="Q38" s="66"/>
      <c r="R38" s="66"/>
      <c r="S38" s="66"/>
      <c r="T38" s="66"/>
      <c r="AE38" s="66"/>
    </row>
    <row r="39" spans="1:31" ht="15">
      <c r="A39" s="66"/>
      <c r="B39" s="66"/>
      <c r="C39" s="66"/>
      <c r="D39" s="66"/>
      <c r="E39" s="66"/>
      <c r="F39" s="66"/>
      <c r="G39" s="66"/>
      <c r="H39" s="66"/>
      <c r="I39" s="66"/>
      <c r="J39" s="66"/>
      <c r="K39" s="66"/>
      <c r="L39" s="66"/>
      <c r="M39" s="66"/>
      <c r="N39" s="66"/>
      <c r="O39" s="66"/>
      <c r="P39" s="66"/>
      <c r="Q39" s="66"/>
      <c r="R39" s="66"/>
      <c r="S39" s="66"/>
      <c r="T39" s="66"/>
      <c r="AE39" s="66"/>
    </row>
    <row r="40" spans="1:31" ht="15">
      <c r="A40" s="66"/>
      <c r="B40" s="66"/>
      <c r="C40" s="66"/>
      <c r="D40" s="66"/>
      <c r="E40" s="66"/>
      <c r="F40" s="66"/>
      <c r="G40" s="66"/>
      <c r="H40" s="66"/>
      <c r="I40" s="66"/>
      <c r="J40" s="66"/>
      <c r="K40" s="66"/>
      <c r="L40" s="66"/>
      <c r="M40" s="66"/>
      <c r="N40" s="66"/>
      <c r="O40" s="66"/>
      <c r="P40" s="66"/>
      <c r="Q40" s="66"/>
      <c r="R40" s="66"/>
      <c r="S40" s="66"/>
      <c r="T40" s="66"/>
      <c r="AE40" s="66"/>
    </row>
    <row r="41" spans="1:31" ht="15">
      <c r="A41" s="66"/>
      <c r="B41" s="66"/>
      <c r="C41" s="66"/>
      <c r="D41" s="66"/>
      <c r="E41" s="66"/>
      <c r="F41" s="66"/>
      <c r="G41" s="66"/>
      <c r="H41" s="66"/>
      <c r="I41" s="66"/>
      <c r="J41" s="66"/>
      <c r="K41" s="66"/>
      <c r="L41" s="66"/>
      <c r="M41" s="66"/>
      <c r="N41" s="66"/>
      <c r="O41" s="66"/>
      <c r="P41" s="66"/>
      <c r="Q41" s="66"/>
      <c r="R41" s="66"/>
      <c r="S41" s="66"/>
      <c r="T41" s="66"/>
      <c r="AE41" s="66"/>
    </row>
    <row r="42" spans="1:31" ht="15">
      <c r="A42" s="66"/>
      <c r="B42" s="66"/>
      <c r="C42" s="66"/>
      <c r="D42" s="66"/>
      <c r="E42" s="66"/>
      <c r="F42" s="66"/>
      <c r="G42" s="66"/>
      <c r="H42" s="66"/>
      <c r="I42" s="66"/>
      <c r="J42" s="66"/>
      <c r="K42" s="66"/>
      <c r="L42" s="66"/>
      <c r="M42" s="66"/>
      <c r="N42" s="66"/>
      <c r="O42" s="66"/>
      <c r="P42" s="66"/>
      <c r="Q42" s="66"/>
      <c r="R42" s="66"/>
      <c r="S42" s="66"/>
      <c r="T42" s="66"/>
      <c r="AE42" s="66"/>
    </row>
    <row r="43" spans="1:31" ht="15">
      <c r="A43" s="66"/>
      <c r="B43" s="66"/>
      <c r="C43" s="66"/>
      <c r="D43" s="66"/>
      <c r="E43" s="66"/>
      <c r="F43" s="66"/>
      <c r="G43" s="66"/>
      <c r="H43" s="66"/>
      <c r="I43" s="66"/>
      <c r="J43" s="66"/>
      <c r="K43" s="66"/>
      <c r="L43" s="66"/>
      <c r="M43" s="66"/>
      <c r="N43" s="66"/>
      <c r="O43" s="66"/>
      <c r="P43" s="66"/>
      <c r="Q43" s="66"/>
      <c r="R43" s="66"/>
      <c r="S43" s="66"/>
      <c r="T43" s="66"/>
      <c r="AE43" s="66"/>
    </row>
    <row r="44" spans="1:31" ht="15">
      <c r="A44" s="66"/>
      <c r="B44" s="66"/>
      <c r="C44" s="66"/>
      <c r="D44" s="66"/>
      <c r="E44" s="66"/>
      <c r="F44" s="66"/>
      <c r="G44" s="66"/>
      <c r="H44" s="66"/>
      <c r="I44" s="66"/>
      <c r="J44" s="66"/>
      <c r="K44" s="66"/>
      <c r="L44" s="66"/>
      <c r="M44" s="66"/>
      <c r="N44" s="66"/>
      <c r="O44" s="66"/>
      <c r="P44" s="66"/>
      <c r="Q44" s="66"/>
      <c r="R44" s="66"/>
      <c r="S44" s="66"/>
      <c r="T44" s="66"/>
      <c r="AE44" s="66"/>
    </row>
    <row r="45" spans="1:31" ht="15">
      <c r="A45" s="66"/>
      <c r="B45" s="66"/>
      <c r="C45" s="66"/>
      <c r="D45" s="66"/>
      <c r="E45" s="66"/>
      <c r="F45" s="66"/>
      <c r="G45" s="66"/>
      <c r="H45" s="66"/>
      <c r="I45" s="66"/>
      <c r="J45" s="66"/>
      <c r="K45" s="66"/>
      <c r="L45" s="66"/>
      <c r="M45" s="66"/>
      <c r="N45" s="66"/>
      <c r="O45" s="66"/>
      <c r="P45" s="66"/>
      <c r="Q45" s="66"/>
      <c r="R45" s="66"/>
      <c r="S45" s="66"/>
      <c r="T45" s="66"/>
      <c r="AE45" s="66"/>
    </row>
    <row r="46" spans="1:31" ht="15">
      <c r="A46" s="66"/>
      <c r="B46" s="66"/>
      <c r="C46" s="66"/>
      <c r="D46" s="66"/>
      <c r="E46" s="66"/>
      <c r="F46" s="66"/>
      <c r="G46" s="66"/>
      <c r="H46" s="66"/>
      <c r="I46" s="66"/>
      <c r="J46" s="66"/>
      <c r="K46" s="66"/>
      <c r="L46" s="66"/>
      <c r="M46" s="66"/>
      <c r="N46" s="66"/>
      <c r="O46" s="66"/>
      <c r="P46" s="66"/>
      <c r="Q46" s="66"/>
      <c r="R46" s="66"/>
      <c r="S46" s="66"/>
      <c r="T46" s="66"/>
      <c r="AE46" s="66"/>
    </row>
    <row r="47" spans="1:31" ht="15">
      <c r="A47" s="66"/>
      <c r="B47" s="66"/>
      <c r="C47" s="66"/>
      <c r="D47" s="66"/>
      <c r="E47" s="66"/>
      <c r="F47" s="66"/>
      <c r="G47" s="66"/>
      <c r="H47" s="66"/>
      <c r="I47" s="66"/>
      <c r="J47" s="66"/>
      <c r="K47" s="66"/>
      <c r="L47" s="66"/>
      <c r="M47" s="66"/>
      <c r="N47" s="66"/>
      <c r="O47" s="66"/>
      <c r="P47" s="66"/>
      <c r="Q47" s="66"/>
      <c r="R47" s="66"/>
      <c r="S47" s="66"/>
      <c r="T47" s="66"/>
      <c r="AE47" s="66"/>
    </row>
    <row r="48" spans="1:31" ht="15">
      <c r="A48" s="66"/>
      <c r="B48" s="66"/>
      <c r="C48" s="66"/>
      <c r="D48" s="66"/>
      <c r="E48" s="66"/>
      <c r="F48" s="66"/>
      <c r="G48" s="66"/>
      <c r="H48" s="66"/>
      <c r="I48" s="66"/>
      <c r="J48" s="66"/>
      <c r="K48" s="66"/>
      <c r="L48" s="66"/>
      <c r="M48" s="66"/>
      <c r="N48" s="66"/>
      <c r="O48" s="66"/>
      <c r="P48" s="66"/>
      <c r="Q48" s="66"/>
      <c r="R48" s="66"/>
      <c r="S48" s="66"/>
      <c r="T48" s="66"/>
      <c r="AE48" s="66"/>
    </row>
    <row r="49" spans="1:31" ht="15">
      <c r="A49" s="66"/>
      <c r="B49" s="66"/>
      <c r="C49" s="66"/>
      <c r="D49" s="66"/>
      <c r="E49" s="66"/>
      <c r="F49" s="66"/>
      <c r="G49" s="66"/>
      <c r="H49" s="66"/>
      <c r="I49" s="66"/>
      <c r="J49" s="66"/>
      <c r="K49" s="66"/>
      <c r="L49" s="66"/>
      <c r="M49" s="66"/>
      <c r="N49" s="66"/>
      <c r="O49" s="66"/>
      <c r="P49" s="66"/>
      <c r="Q49" s="66"/>
      <c r="R49" s="66"/>
      <c r="S49" s="66"/>
      <c r="T49" s="66"/>
      <c r="AE49" s="66"/>
    </row>
    <row r="50" spans="1:31" ht="15">
      <c r="A50" s="66"/>
      <c r="B50" s="66"/>
      <c r="C50" s="66"/>
      <c r="D50" s="66"/>
      <c r="E50" s="66"/>
      <c r="F50" s="66"/>
      <c r="G50" s="66"/>
      <c r="H50" s="66"/>
      <c r="I50" s="66"/>
      <c r="J50" s="66"/>
      <c r="K50" s="66"/>
      <c r="L50" s="66"/>
      <c r="M50" s="66"/>
      <c r="N50" s="66"/>
      <c r="O50" s="66"/>
      <c r="P50" s="66"/>
      <c r="Q50" s="66"/>
      <c r="R50" s="66"/>
      <c r="S50" s="66"/>
      <c r="T50" s="66"/>
      <c r="AE50" s="66"/>
    </row>
    <row r="51" spans="1:31" ht="15">
      <c r="A51" s="66"/>
      <c r="B51" s="66"/>
      <c r="C51" s="66"/>
      <c r="D51" s="66"/>
      <c r="E51" s="66"/>
      <c r="F51" s="66"/>
      <c r="G51" s="66"/>
      <c r="H51" s="66"/>
      <c r="I51" s="66"/>
      <c r="J51" s="66"/>
      <c r="K51" s="66"/>
      <c r="L51" s="66"/>
      <c r="M51" s="66"/>
      <c r="N51" s="66"/>
      <c r="O51" s="66"/>
      <c r="P51" s="66"/>
      <c r="Q51" s="66"/>
      <c r="R51" s="66"/>
      <c r="S51" s="66"/>
      <c r="T51" s="66"/>
      <c r="AE51" s="66"/>
    </row>
    <row r="52" spans="1:31" ht="15">
      <c r="A52" s="66"/>
      <c r="B52" s="66"/>
      <c r="C52" s="66"/>
      <c r="D52" s="66"/>
      <c r="E52" s="66"/>
      <c r="F52" s="66"/>
      <c r="G52" s="66"/>
      <c r="H52" s="66"/>
      <c r="I52" s="66"/>
      <c r="J52" s="66"/>
      <c r="K52" s="66"/>
      <c r="L52" s="66"/>
      <c r="M52" s="66"/>
      <c r="N52" s="66"/>
      <c r="O52" s="66"/>
      <c r="P52" s="66"/>
      <c r="Q52" s="66"/>
      <c r="R52" s="66"/>
      <c r="S52" s="66"/>
      <c r="T52" s="66"/>
      <c r="AE52" s="66"/>
    </row>
    <row r="53" spans="1:31" ht="15">
      <c r="A53" s="66"/>
      <c r="B53" s="66"/>
      <c r="C53" s="66"/>
      <c r="D53" s="66"/>
      <c r="E53" s="66"/>
      <c r="F53" s="66"/>
      <c r="G53" s="66"/>
      <c r="H53" s="66"/>
      <c r="I53" s="66"/>
      <c r="J53" s="66"/>
      <c r="K53" s="66"/>
      <c r="L53" s="66"/>
      <c r="M53" s="66"/>
      <c r="N53" s="66"/>
      <c r="O53" s="66"/>
      <c r="P53" s="66"/>
      <c r="Q53" s="66"/>
      <c r="R53" s="66"/>
      <c r="S53" s="66"/>
      <c r="T53" s="66"/>
      <c r="AE53" s="66"/>
    </row>
    <row r="54" spans="1:31" ht="15">
      <c r="A54" s="66"/>
      <c r="B54" s="66"/>
      <c r="C54" s="66"/>
      <c r="D54" s="66"/>
      <c r="E54" s="66"/>
      <c r="F54" s="66"/>
      <c r="G54" s="66"/>
      <c r="H54" s="66"/>
      <c r="I54" s="66"/>
      <c r="J54" s="66"/>
      <c r="K54" s="66"/>
      <c r="L54" s="66"/>
      <c r="M54" s="66"/>
      <c r="N54" s="66"/>
      <c r="O54" s="66"/>
      <c r="P54" s="66"/>
      <c r="Q54" s="66"/>
      <c r="R54" s="66"/>
      <c r="S54" s="66"/>
      <c r="T54" s="66"/>
      <c r="AE54" s="66"/>
    </row>
    <row r="55" spans="1:31" ht="15">
      <c r="A55" s="66"/>
      <c r="B55" s="66"/>
      <c r="C55" s="66"/>
      <c r="D55" s="66"/>
      <c r="E55" s="66"/>
      <c r="F55" s="66"/>
      <c r="G55" s="66"/>
      <c r="H55" s="66"/>
      <c r="I55" s="66"/>
      <c r="J55" s="66"/>
      <c r="K55" s="66"/>
      <c r="L55" s="66"/>
      <c r="M55" s="66"/>
      <c r="N55" s="66"/>
      <c r="O55" s="66"/>
      <c r="P55" s="66"/>
      <c r="Q55" s="66"/>
      <c r="R55" s="66"/>
      <c r="S55" s="66"/>
      <c r="T55" s="66"/>
      <c r="AE55" s="66"/>
    </row>
    <row r="56" spans="1:31" ht="15">
      <c r="A56" s="66"/>
      <c r="B56" s="66"/>
      <c r="C56" s="66"/>
      <c r="D56" s="66"/>
      <c r="E56" s="66"/>
      <c r="F56" s="66"/>
      <c r="G56" s="66"/>
      <c r="H56" s="66"/>
      <c r="I56" s="66"/>
      <c r="J56" s="66"/>
      <c r="K56" s="66"/>
      <c r="L56" s="66"/>
      <c r="M56" s="66"/>
      <c r="N56" s="66"/>
      <c r="O56" s="66"/>
      <c r="P56" s="66"/>
      <c r="Q56" s="66"/>
      <c r="R56" s="66"/>
      <c r="S56" s="66"/>
      <c r="T56" s="66"/>
      <c r="AE56" s="66"/>
    </row>
    <row r="57" spans="1:31" ht="15">
      <c r="A57" s="66"/>
      <c r="B57" s="66"/>
      <c r="C57" s="66"/>
      <c r="D57" s="66"/>
      <c r="E57" s="66"/>
      <c r="F57" s="66"/>
      <c r="G57" s="66"/>
      <c r="H57" s="66"/>
      <c r="I57" s="66"/>
      <c r="J57" s="66"/>
      <c r="K57" s="66"/>
      <c r="L57" s="66"/>
      <c r="M57" s="66"/>
      <c r="N57" s="66"/>
      <c r="O57" s="66"/>
      <c r="P57" s="66"/>
      <c r="Q57" s="66"/>
      <c r="R57" s="66"/>
      <c r="S57" s="66"/>
      <c r="T57" s="66"/>
      <c r="AE57" s="66"/>
    </row>
    <row r="58" spans="1:31" ht="15">
      <c r="A58" s="66"/>
      <c r="B58" s="66"/>
      <c r="C58" s="66"/>
      <c r="D58" s="66"/>
      <c r="E58" s="66"/>
      <c r="F58" s="66"/>
      <c r="G58" s="66"/>
      <c r="H58" s="66"/>
      <c r="I58" s="66"/>
      <c r="J58" s="66"/>
      <c r="K58" s="66"/>
      <c r="L58" s="66"/>
      <c r="M58" s="66"/>
      <c r="N58" s="66"/>
      <c r="O58" s="66"/>
      <c r="P58" s="66"/>
      <c r="Q58" s="66"/>
      <c r="R58" s="66"/>
      <c r="S58" s="66"/>
      <c r="T58" s="66"/>
      <c r="AE58" s="66"/>
    </row>
    <row r="59" spans="1:31" ht="15">
      <c r="A59" s="66"/>
      <c r="B59" s="66"/>
      <c r="C59" s="66"/>
      <c r="D59" s="66"/>
      <c r="E59" s="66"/>
      <c r="F59" s="66"/>
      <c r="G59" s="66"/>
      <c r="H59" s="66"/>
      <c r="I59" s="66"/>
      <c r="J59" s="66"/>
      <c r="K59" s="66"/>
      <c r="L59" s="66"/>
      <c r="M59" s="66"/>
      <c r="N59" s="66"/>
      <c r="O59" s="66"/>
      <c r="P59" s="66"/>
      <c r="Q59" s="66"/>
      <c r="R59" s="66"/>
      <c r="S59" s="66"/>
      <c r="T59" s="66"/>
      <c r="AE59" s="66"/>
    </row>
    <row r="60" spans="1:31" ht="15">
      <c r="A60" s="66"/>
      <c r="B60" s="66"/>
      <c r="C60" s="66"/>
      <c r="D60" s="66"/>
      <c r="E60" s="66"/>
      <c r="F60" s="66"/>
      <c r="G60" s="66"/>
      <c r="H60" s="66"/>
      <c r="I60" s="66"/>
      <c r="J60" s="66"/>
      <c r="K60" s="66"/>
      <c r="L60" s="66"/>
      <c r="M60" s="66"/>
      <c r="N60" s="66"/>
      <c r="O60" s="66"/>
      <c r="P60" s="66"/>
      <c r="Q60" s="66"/>
      <c r="R60" s="66"/>
      <c r="S60" s="66"/>
      <c r="T60" s="66"/>
      <c r="AE60" s="66"/>
    </row>
    <row r="61" spans="1:31" ht="15">
      <c r="A61" s="66"/>
      <c r="B61" s="66"/>
      <c r="C61" s="66"/>
      <c r="D61" s="66"/>
      <c r="E61" s="66"/>
      <c r="F61" s="66"/>
      <c r="G61" s="66"/>
      <c r="H61" s="66"/>
      <c r="I61" s="66"/>
      <c r="J61" s="66"/>
      <c r="K61" s="66"/>
      <c r="L61" s="66"/>
      <c r="M61" s="66"/>
      <c r="N61" s="66"/>
      <c r="O61" s="66"/>
      <c r="P61" s="66"/>
      <c r="Q61" s="66"/>
      <c r="R61" s="66"/>
      <c r="S61" s="66"/>
      <c r="T61" s="66"/>
      <c r="AE61" s="66"/>
    </row>
    <row r="62" spans="1:31" ht="15">
      <c r="A62" s="66"/>
      <c r="B62" s="66"/>
      <c r="C62" s="66"/>
      <c r="D62" s="66"/>
      <c r="E62" s="66"/>
      <c r="F62" s="66"/>
      <c r="G62" s="66"/>
      <c r="H62" s="66"/>
      <c r="I62" s="66"/>
      <c r="J62" s="66"/>
      <c r="K62" s="66"/>
      <c r="L62" s="66"/>
      <c r="M62" s="66"/>
      <c r="N62" s="66"/>
      <c r="O62" s="66"/>
      <c r="P62" s="66"/>
      <c r="Q62" s="66"/>
      <c r="R62" s="66"/>
      <c r="S62" s="66"/>
      <c r="T62" s="66"/>
      <c r="AE62" s="66"/>
    </row>
    <row r="63" spans="1:31" ht="1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row>
    <row r="64" spans="1:31" ht="1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1" ht="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row>
    <row r="66" spans="1:31" ht="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row>
    <row r="67" spans="1:31" ht="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row>
  </sheetData>
  <mergeCells count="2">
    <mergeCell ref="A9:R9"/>
    <mergeCell ref="A29:R29"/>
  </mergeCells>
  <printOptions horizontalCentered="1"/>
  <pageMargins left="0.5" right="0.5" top="1"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S46"/>
  <sheetViews>
    <sheetView workbookViewId="0" topLeftCell="A1">
      <selection activeCell="A1" sqref="A1"/>
    </sheetView>
  </sheetViews>
  <sheetFormatPr defaultColWidth="8.88671875" defaultRowHeight="12.75"/>
  <cols>
    <col min="1" max="1" width="4.99609375" style="355" customWidth="1"/>
    <col min="2" max="2" width="13.21484375" style="355" customWidth="1"/>
    <col min="3" max="3" width="6.88671875" style="355" customWidth="1"/>
    <col min="4" max="4" width="9.77734375" style="355" customWidth="1"/>
    <col min="5" max="5" width="7.99609375" style="355" customWidth="1"/>
    <col min="6" max="6" width="9.77734375" style="355" customWidth="1"/>
    <col min="7" max="7" width="2.5546875" style="355" customWidth="1"/>
    <col min="8" max="8" width="9.77734375" style="355" customWidth="1"/>
    <col min="9" max="9" width="3.5546875" style="355" customWidth="1"/>
    <col min="10" max="13" width="9.77734375" style="355" customWidth="1"/>
    <col min="14" max="14" width="10.99609375" style="355" bestFit="1" customWidth="1"/>
    <col min="15" max="16384" width="9.77734375" style="355" customWidth="1"/>
  </cols>
  <sheetData>
    <row r="1" spans="1:10" ht="15">
      <c r="A1" s="37" t="s">
        <v>7</v>
      </c>
      <c r="B1" s="37"/>
      <c r="C1" s="37"/>
      <c r="D1" s="37"/>
      <c r="E1" s="37"/>
      <c r="F1" s="37"/>
      <c r="G1" s="37"/>
      <c r="H1" s="37"/>
      <c r="I1" s="37"/>
      <c r="J1" s="37"/>
    </row>
    <row r="2" spans="1:10" ht="15">
      <c r="A2" s="37"/>
      <c r="B2" s="37"/>
      <c r="C2" s="37"/>
      <c r="D2" s="37"/>
      <c r="E2" s="37"/>
      <c r="F2" s="37"/>
      <c r="G2" s="37"/>
      <c r="H2" s="37"/>
      <c r="I2" s="37"/>
      <c r="J2" s="37"/>
    </row>
    <row r="3" spans="1:14" ht="15">
      <c r="A3" s="78"/>
      <c r="B3" s="78"/>
      <c r="C3" s="78"/>
      <c r="D3" s="78"/>
      <c r="E3" s="78"/>
      <c r="F3" s="78"/>
      <c r="G3" s="78"/>
      <c r="H3" s="78"/>
      <c r="I3" s="79"/>
      <c r="N3" s="479"/>
    </row>
    <row r="4" spans="1:14" ht="15">
      <c r="A4" s="38" t="s">
        <v>407</v>
      </c>
      <c r="B4" s="38"/>
      <c r="C4" s="38"/>
      <c r="D4" s="38"/>
      <c r="E4" s="38"/>
      <c r="F4" s="38"/>
      <c r="G4" s="38"/>
      <c r="H4" s="38"/>
      <c r="I4" s="79"/>
      <c r="N4" s="479"/>
    </row>
    <row r="5" spans="1:14" ht="15">
      <c r="A5" s="79"/>
      <c r="B5" s="79"/>
      <c r="C5" s="79"/>
      <c r="D5" s="79"/>
      <c r="E5" s="79"/>
      <c r="F5" s="79"/>
      <c r="G5" s="79"/>
      <c r="H5" s="79"/>
      <c r="I5" s="79"/>
      <c r="N5" s="381"/>
    </row>
    <row r="6" spans="1:14" ht="15">
      <c r="A6" s="79"/>
      <c r="B6" s="79"/>
      <c r="C6" s="79"/>
      <c r="D6" s="79"/>
      <c r="E6" s="79"/>
      <c r="F6" s="79"/>
      <c r="G6" s="79"/>
      <c r="H6" s="79"/>
      <c r="I6" s="79"/>
      <c r="N6" s="381"/>
    </row>
    <row r="7" spans="1:14" ht="15">
      <c r="A7" s="79" t="s">
        <v>320</v>
      </c>
      <c r="B7" s="79"/>
      <c r="C7" s="79"/>
      <c r="D7" s="79"/>
      <c r="E7" s="79"/>
      <c r="F7" s="79"/>
      <c r="G7" s="79"/>
      <c r="H7" s="79"/>
      <c r="I7" s="79"/>
      <c r="N7" s="381"/>
    </row>
    <row r="8" spans="1:14" ht="15">
      <c r="A8" s="79"/>
      <c r="B8" s="79"/>
      <c r="C8" s="79"/>
      <c r="D8" s="79"/>
      <c r="E8" s="79"/>
      <c r="F8" s="79"/>
      <c r="G8" s="79"/>
      <c r="H8" s="79"/>
      <c r="I8" s="79"/>
      <c r="N8" s="381"/>
    </row>
    <row r="9" spans="1:14" ht="27.75" customHeight="1">
      <c r="A9" s="592" t="s">
        <v>623</v>
      </c>
      <c r="B9" s="593"/>
      <c r="C9" s="593"/>
      <c r="D9" s="593"/>
      <c r="E9" s="593"/>
      <c r="F9" s="593"/>
      <c r="G9" s="593"/>
      <c r="H9" s="593"/>
      <c r="I9" s="593"/>
      <c r="J9" s="593"/>
      <c r="N9" s="381"/>
    </row>
    <row r="10" spans="1:14" ht="15">
      <c r="A10" s="79"/>
      <c r="B10" s="79"/>
      <c r="C10" s="79"/>
      <c r="D10" s="79"/>
      <c r="E10" s="79"/>
      <c r="F10" s="79"/>
      <c r="G10" s="79"/>
      <c r="H10" s="79"/>
      <c r="I10" s="79"/>
      <c r="N10" s="381"/>
    </row>
    <row r="11" spans="1:14" ht="15">
      <c r="A11" s="79"/>
      <c r="B11" s="79"/>
      <c r="C11" s="79"/>
      <c r="E11" s="79"/>
      <c r="F11" s="79"/>
      <c r="G11" s="79"/>
      <c r="H11" s="79"/>
      <c r="I11" s="79"/>
      <c r="N11" s="381"/>
    </row>
    <row r="12" spans="1:17" ht="15">
      <c r="A12" s="79" t="s">
        <v>457</v>
      </c>
      <c r="B12" s="79"/>
      <c r="C12" s="244">
        <f>+'F 3B 4B'!G50</f>
        <v>10000</v>
      </c>
      <c r="D12" s="240" t="s">
        <v>32</v>
      </c>
      <c r="E12" s="78"/>
      <c r="F12" s="80" t="s">
        <v>458</v>
      </c>
      <c r="H12" s="81">
        <f>ROUND(+C12*60*10/D13,4)</f>
        <v>0.2191</v>
      </c>
      <c r="I12" s="79"/>
      <c r="N12" s="381"/>
      <c r="Q12" s="239"/>
    </row>
    <row r="13" spans="1:14" ht="15">
      <c r="A13" s="79"/>
      <c r="B13" s="79"/>
      <c r="D13" s="364">
        <v>27386000</v>
      </c>
      <c r="E13" s="83" t="s">
        <v>552</v>
      </c>
      <c r="F13" s="80"/>
      <c r="G13" s="79"/>
      <c r="I13" s="79"/>
      <c r="N13" s="381"/>
    </row>
    <row r="14" spans="1:14" ht="15">
      <c r="A14" s="79"/>
      <c r="B14" s="79"/>
      <c r="C14" s="79"/>
      <c r="D14" s="79"/>
      <c r="E14" s="79"/>
      <c r="F14" s="80"/>
      <c r="G14" s="79"/>
      <c r="I14" s="79"/>
      <c r="N14" s="381"/>
    </row>
    <row r="15" spans="1:14" ht="15">
      <c r="A15" s="79" t="s">
        <v>459</v>
      </c>
      <c r="B15" s="79"/>
      <c r="D15" s="81">
        <v>1</v>
      </c>
      <c r="E15" s="80" t="s">
        <v>460</v>
      </c>
      <c r="F15" s="81">
        <f>H12</f>
        <v>0.2191</v>
      </c>
      <c r="G15" s="82" t="s">
        <v>458</v>
      </c>
      <c r="H15" s="81">
        <f>D15-F15</f>
        <v>0.7809</v>
      </c>
      <c r="I15" s="79"/>
      <c r="K15" s="370"/>
      <c r="N15" s="381"/>
    </row>
    <row r="16" spans="1:14" ht="15">
      <c r="A16" s="79"/>
      <c r="B16" s="79"/>
      <c r="C16" s="79"/>
      <c r="D16" s="79"/>
      <c r="E16" s="79"/>
      <c r="F16" s="79"/>
      <c r="G16" s="79"/>
      <c r="H16" s="79"/>
      <c r="I16" s="79"/>
      <c r="N16" s="381"/>
    </row>
    <row r="17" spans="1:19" ht="15">
      <c r="A17" s="79"/>
      <c r="B17" s="79"/>
      <c r="C17" s="79"/>
      <c r="D17" s="79"/>
      <c r="E17" s="79"/>
      <c r="F17" s="79"/>
      <c r="G17" s="79"/>
      <c r="H17" s="79"/>
      <c r="I17" s="79"/>
      <c r="J17" s="296"/>
      <c r="K17" s="296"/>
      <c r="L17" s="296"/>
      <c r="M17" s="296"/>
      <c r="N17" s="478"/>
      <c r="O17" s="296"/>
      <c r="P17" s="296"/>
      <c r="Q17" s="296"/>
      <c r="R17" s="296"/>
      <c r="S17" s="296"/>
    </row>
    <row r="18" spans="1:14" ht="29.25" customHeight="1">
      <c r="A18" s="592" t="s">
        <v>461</v>
      </c>
      <c r="B18" s="592"/>
      <c r="C18" s="592"/>
      <c r="D18" s="592"/>
      <c r="E18" s="592"/>
      <c r="F18" s="592"/>
      <c r="G18" s="592"/>
      <c r="H18" s="592"/>
      <c r="I18" s="79"/>
      <c r="N18" s="381"/>
    </row>
    <row r="19" spans="1:14" ht="15">
      <c r="A19" s="79"/>
      <c r="B19" s="79"/>
      <c r="C19" s="79"/>
      <c r="D19" s="79"/>
      <c r="E19" s="79"/>
      <c r="F19" s="79"/>
      <c r="G19" s="79"/>
      <c r="H19" s="79"/>
      <c r="I19" s="79"/>
      <c r="N19" s="381"/>
    </row>
    <row r="20" spans="1:14" ht="15">
      <c r="A20" s="79"/>
      <c r="B20" s="79"/>
      <c r="C20" s="79"/>
      <c r="D20" s="80" t="s">
        <v>415</v>
      </c>
      <c r="E20" s="79"/>
      <c r="F20" s="79"/>
      <c r="G20" s="79"/>
      <c r="H20" s="79"/>
      <c r="I20" s="79"/>
      <c r="N20" s="381"/>
    </row>
    <row r="21" spans="1:14" ht="15">
      <c r="A21" s="79"/>
      <c r="B21" s="79"/>
      <c r="C21" s="79"/>
      <c r="D21" s="80" t="s">
        <v>462</v>
      </c>
      <c r="E21" s="79"/>
      <c r="F21" s="79"/>
      <c r="G21" s="79"/>
      <c r="H21" s="79"/>
      <c r="I21" s="79"/>
      <c r="N21" s="381"/>
    </row>
    <row r="22" spans="1:14" ht="15">
      <c r="A22" s="79"/>
      <c r="B22" s="79"/>
      <c r="C22" s="79"/>
      <c r="D22" s="80" t="s">
        <v>417</v>
      </c>
      <c r="E22" s="79"/>
      <c r="F22" s="80" t="s">
        <v>463</v>
      </c>
      <c r="G22" s="79"/>
      <c r="H22" s="80" t="s">
        <v>418</v>
      </c>
      <c r="I22" s="79"/>
      <c r="N22" s="381"/>
    </row>
    <row r="23" spans="1:14" ht="15">
      <c r="A23" s="79"/>
      <c r="B23" s="79"/>
      <c r="C23" s="79"/>
      <c r="D23" s="83"/>
      <c r="E23" s="79"/>
      <c r="F23" s="83"/>
      <c r="G23" s="79"/>
      <c r="H23" s="83"/>
      <c r="I23" s="79"/>
      <c r="N23" s="381"/>
    </row>
    <row r="24" spans="1:14" ht="15">
      <c r="A24" s="79"/>
      <c r="B24" s="79" t="s">
        <v>441</v>
      </c>
      <c r="C24" s="79"/>
      <c r="D24" s="84">
        <v>1</v>
      </c>
      <c r="E24" s="79"/>
      <c r="F24" s="84">
        <f>D24/D29*100</f>
        <v>40</v>
      </c>
      <c r="G24" s="79"/>
      <c r="H24" s="81">
        <f>ROUND(F24/100*(1-H12),4)</f>
        <v>0.3124</v>
      </c>
      <c r="I24" s="79"/>
      <c r="N24" s="381"/>
    </row>
    <row r="25" spans="1:14" ht="15">
      <c r="A25" s="79"/>
      <c r="B25" s="79"/>
      <c r="C25" s="79"/>
      <c r="D25" s="79"/>
      <c r="E25" s="79"/>
      <c r="F25" s="79"/>
      <c r="G25" s="79"/>
      <c r="H25" s="79"/>
      <c r="I25" s="79"/>
      <c r="N25" s="381"/>
    </row>
    <row r="26" spans="1:14" ht="15">
      <c r="A26" s="79"/>
      <c r="B26" s="79" t="s">
        <v>397</v>
      </c>
      <c r="C26" s="79"/>
      <c r="D26" s="79"/>
      <c r="E26" s="79"/>
      <c r="F26" s="79"/>
      <c r="G26" s="79"/>
      <c r="H26" s="79"/>
      <c r="I26" s="79"/>
      <c r="N26" s="381"/>
    </row>
    <row r="27" spans="1:14" ht="15">
      <c r="A27" s="79"/>
      <c r="B27" s="79" t="s">
        <v>464</v>
      </c>
      <c r="C27" s="79"/>
      <c r="D27" s="84">
        <f>'F 3B 4B'!$E$46</f>
        <v>1.5</v>
      </c>
      <c r="E27" s="79"/>
      <c r="F27" s="84">
        <f>D27/D29*100</f>
        <v>60</v>
      </c>
      <c r="G27" s="79"/>
      <c r="H27" s="81">
        <f>ROUND(F27/100*(1-H12),4)</f>
        <v>0.4685</v>
      </c>
      <c r="I27" s="79"/>
      <c r="N27" s="381"/>
    </row>
    <row r="28" spans="1:14" ht="15">
      <c r="A28" s="79"/>
      <c r="B28" s="79"/>
      <c r="C28" s="79"/>
      <c r="D28" s="85"/>
      <c r="E28" s="79"/>
      <c r="F28" s="85"/>
      <c r="G28" s="79"/>
      <c r="H28" s="85"/>
      <c r="I28" s="79"/>
      <c r="N28" s="381"/>
    </row>
    <row r="29" spans="1:14" ht="15.75" thickBot="1">
      <c r="A29" s="79"/>
      <c r="B29" s="79" t="s">
        <v>421</v>
      </c>
      <c r="C29" s="79"/>
      <c r="D29" s="84">
        <f>SUM(D24:D28)</f>
        <v>2.5</v>
      </c>
      <c r="E29" s="79"/>
      <c r="F29" s="84">
        <f>SUM(F24:F28)</f>
        <v>100</v>
      </c>
      <c r="G29" s="79"/>
      <c r="H29" s="214">
        <f>SUM(H24:H28)</f>
        <v>0.7809</v>
      </c>
      <c r="I29" s="79"/>
      <c r="N29" s="381"/>
    </row>
    <row r="30" spans="1:14" ht="15.75" thickTop="1">
      <c r="A30" s="79"/>
      <c r="B30" s="79"/>
      <c r="C30" s="79"/>
      <c r="D30" s="86"/>
      <c r="E30" s="79"/>
      <c r="F30" s="86"/>
      <c r="G30" s="79"/>
      <c r="H30" s="213"/>
      <c r="I30" s="79"/>
      <c r="N30" s="381"/>
    </row>
    <row r="31" ht="15">
      <c r="N31" s="381"/>
    </row>
    <row r="32" spans="1:14" ht="15">
      <c r="A32" s="48"/>
      <c r="B32" s="48"/>
      <c r="C32" s="48"/>
      <c r="D32" s="49" t="s">
        <v>447</v>
      </c>
      <c r="F32" s="48"/>
      <c r="G32" s="239"/>
      <c r="H32" s="48"/>
      <c r="I32" s="48"/>
      <c r="J32" s="48"/>
      <c r="K32" s="48"/>
      <c r="N32" s="381"/>
    </row>
    <row r="33" spans="1:10" ht="15">
      <c r="A33" s="48"/>
      <c r="B33" s="48"/>
      <c r="C33" s="48"/>
      <c r="D33" s="49" t="s">
        <v>448</v>
      </c>
      <c r="F33" s="46" t="s">
        <v>449</v>
      </c>
      <c r="G33" s="46"/>
      <c r="H33" s="46"/>
      <c r="I33" s="46"/>
      <c r="J33" s="46"/>
    </row>
    <row r="34" spans="1:10" ht="15">
      <c r="A34" s="590" t="s">
        <v>425</v>
      </c>
      <c r="B34" s="590"/>
      <c r="C34" s="46"/>
      <c r="D34" s="49" t="s">
        <v>396</v>
      </c>
      <c r="F34" s="60"/>
      <c r="G34" s="60"/>
      <c r="H34" s="60" t="s">
        <v>9</v>
      </c>
      <c r="I34" s="60"/>
      <c r="J34" s="60" t="s">
        <v>377</v>
      </c>
    </row>
    <row r="35" spans="1:10" ht="15">
      <c r="A35" s="591" t="s">
        <v>378</v>
      </c>
      <c r="B35" s="591"/>
      <c r="C35" s="79"/>
      <c r="D35" s="49" t="s">
        <v>9</v>
      </c>
      <c r="F35" s="49" t="s">
        <v>411</v>
      </c>
      <c r="G35" s="49"/>
      <c r="H35" s="49" t="s">
        <v>450</v>
      </c>
      <c r="I35" s="49"/>
      <c r="J35" s="49" t="s">
        <v>379</v>
      </c>
    </row>
    <row r="36" spans="1:10" ht="15">
      <c r="A36" s="61" t="s">
        <v>380</v>
      </c>
      <c r="B36" s="61"/>
      <c r="D36" s="60" t="s">
        <v>400</v>
      </c>
      <c r="F36" s="60" t="s">
        <v>382</v>
      </c>
      <c r="G36" s="49"/>
      <c r="H36" s="60" t="s">
        <v>413</v>
      </c>
      <c r="I36" s="49"/>
      <c r="J36" s="60" t="s">
        <v>414</v>
      </c>
    </row>
    <row r="37" spans="1:10" ht="15">
      <c r="A37" s="239"/>
      <c r="B37" s="239"/>
      <c r="C37" s="48"/>
      <c r="D37" s="48"/>
      <c r="F37" s="48"/>
      <c r="G37" s="48"/>
      <c r="H37" s="48"/>
      <c r="I37" s="48"/>
      <c r="J37" s="48"/>
    </row>
    <row r="38" spans="1:10" ht="15">
      <c r="A38" s="48" t="s">
        <v>383</v>
      </c>
      <c r="B38" s="48"/>
      <c r="C38" s="48"/>
      <c r="D38" s="192">
        <f>+'F 5'!D18</f>
        <v>940.7</v>
      </c>
      <c r="F38" s="181">
        <f>+'F 3B 4B'!G62</f>
        <v>1.7</v>
      </c>
      <c r="G38" s="48"/>
      <c r="H38" s="58">
        <f>ROUND(D38*F38,1)</f>
        <v>1599.2</v>
      </c>
      <c r="I38" s="48"/>
      <c r="J38" s="53">
        <f>ROUND(+H38/H$44,4)</f>
        <v>0.541</v>
      </c>
    </row>
    <row r="39" spans="1:10" ht="15">
      <c r="A39" s="48" t="s">
        <v>384</v>
      </c>
      <c r="B39" s="48"/>
      <c r="C39" s="48"/>
      <c r="D39" s="192">
        <f>+'F 5'!D19</f>
        <v>589</v>
      </c>
      <c r="F39" s="181">
        <f>+'F 3B 4B'!G63</f>
        <v>1.6</v>
      </c>
      <c r="G39" s="48"/>
      <c r="H39" s="58">
        <f>ROUND(D39*F39,1)</f>
        <v>942.4</v>
      </c>
      <c r="I39" s="48"/>
      <c r="J39" s="53">
        <f>ROUND(+H39/H$44,4)</f>
        <v>0.3188</v>
      </c>
    </row>
    <row r="40" spans="1:10" ht="15">
      <c r="A40" s="48" t="s">
        <v>385</v>
      </c>
      <c r="B40" s="48"/>
      <c r="C40" s="48"/>
      <c r="D40" s="192">
        <f>+'F 5'!D20</f>
        <v>78.9</v>
      </c>
      <c r="F40" s="181">
        <f>+'F 3B 4B'!G64</f>
        <v>1.15</v>
      </c>
      <c r="G40" s="48"/>
      <c r="H40" s="58">
        <f>ROUND(D40*F40,1)</f>
        <v>90.7</v>
      </c>
      <c r="I40" s="48"/>
      <c r="J40" s="53">
        <f>ROUND(+H40/H$44,4)</f>
        <v>0.0307</v>
      </c>
    </row>
    <row r="41" spans="1:10" ht="15">
      <c r="A41" s="48" t="s">
        <v>387</v>
      </c>
      <c r="B41" s="48"/>
      <c r="C41" s="48"/>
      <c r="D41" s="192">
        <f>+'F 5'!D21</f>
        <v>235.7</v>
      </c>
      <c r="F41" s="181">
        <f>+'F 3B 4B'!G65</f>
        <v>1.1</v>
      </c>
      <c r="G41" s="48"/>
      <c r="H41" s="58">
        <f>ROUND(D41*F41,1)</f>
        <v>259.3</v>
      </c>
      <c r="I41" s="48"/>
      <c r="J41" s="53">
        <f>ROUND(+H41/H$44,4)</f>
        <v>0.0877</v>
      </c>
    </row>
    <row r="42" spans="1:10" ht="15">
      <c r="A42" s="48" t="s">
        <v>508</v>
      </c>
      <c r="B42" s="48"/>
      <c r="C42" s="48"/>
      <c r="D42" s="192">
        <f>+'F 5'!D22</f>
        <v>71.5</v>
      </c>
      <c r="F42" s="181">
        <f>+'F 3B 4B'!G66</f>
        <v>0.9</v>
      </c>
      <c r="G42" s="48"/>
      <c r="H42" s="58">
        <f>ROUND(D42*F42,1)</f>
        <v>64.4</v>
      </c>
      <c r="I42" s="48"/>
      <c r="J42" s="53">
        <f>ROUND(+H42/H$44,4)</f>
        <v>0.0218</v>
      </c>
    </row>
    <row r="43" spans="1:10" ht="15">
      <c r="A43" s="48"/>
      <c r="B43" s="48"/>
      <c r="C43" s="48"/>
      <c r="D43" s="178"/>
      <c r="F43" s="48"/>
      <c r="G43" s="48"/>
      <c r="H43" s="62"/>
      <c r="I43" s="48"/>
      <c r="J43" s="50"/>
    </row>
    <row r="44" spans="1:10" ht="15.75" thickBot="1">
      <c r="A44" s="48" t="s">
        <v>451</v>
      </c>
      <c r="B44" s="48"/>
      <c r="C44" s="48"/>
      <c r="D44" s="297">
        <f>SUM(D38:D43)</f>
        <v>1915.8000000000002</v>
      </c>
      <c r="F44" s="58"/>
      <c r="G44" s="58"/>
      <c r="H44" s="297">
        <f>SUM(H38:H43)</f>
        <v>2956</v>
      </c>
      <c r="I44" s="48"/>
      <c r="J44" s="180">
        <f>SUM(J38:J43)</f>
        <v>1</v>
      </c>
    </row>
    <row r="45" spans="1:11" ht="15.75" thickTop="1">
      <c r="A45" s="239"/>
      <c r="B45" s="239"/>
      <c r="C45" s="239"/>
      <c r="D45" s="239"/>
      <c r="E45" s="239"/>
      <c r="F45" s="239"/>
      <c r="G45" s="239"/>
      <c r="H45" s="239"/>
      <c r="I45" s="239"/>
      <c r="J45" s="239"/>
      <c r="K45" s="239"/>
    </row>
    <row r="46" ht="15">
      <c r="A46" s="48" t="s">
        <v>452</v>
      </c>
    </row>
  </sheetData>
  <mergeCells count="4">
    <mergeCell ref="A34:B34"/>
    <mergeCell ref="A35:B35"/>
    <mergeCell ref="A9:J9"/>
    <mergeCell ref="A18:H18"/>
  </mergeCells>
  <printOptions horizontalCentered="1"/>
  <pageMargins left="1" right="1" top="1" bottom="0.5" header="0.5" footer="0.5"/>
  <pageSetup horizontalDpi="600" verticalDpi="600" orientation="portrait" scale="88" r:id="rId1"/>
</worksheet>
</file>

<file path=xl/worksheets/sheet8.xml><?xml version="1.0" encoding="utf-8"?>
<worksheet xmlns="http://schemas.openxmlformats.org/spreadsheetml/2006/main" xmlns:r="http://schemas.openxmlformats.org/officeDocument/2006/relationships">
  <dimension ref="A1:Y121"/>
  <sheetViews>
    <sheetView workbookViewId="0" topLeftCell="A1">
      <selection activeCell="F4" sqref="F4"/>
    </sheetView>
  </sheetViews>
  <sheetFormatPr defaultColWidth="8.88671875" defaultRowHeight="12.75"/>
  <cols>
    <col min="1" max="2" width="7.77734375" style="184" customWidth="1"/>
    <col min="3" max="3" width="1.77734375" style="184" customWidth="1"/>
    <col min="4" max="4" width="7.77734375" style="184" customWidth="1"/>
    <col min="5" max="5" width="1.2265625" style="184" customWidth="1"/>
    <col min="6" max="6" width="7.77734375" style="184" customWidth="1"/>
    <col min="7" max="7" width="1.2265625" style="184" customWidth="1"/>
    <col min="8" max="8" width="8.4453125" style="184" customWidth="1"/>
    <col min="9" max="9" width="1.2265625" style="184" customWidth="1"/>
    <col min="10" max="10" width="7.77734375" style="184" customWidth="1"/>
    <col min="11" max="11" width="1.2265625" style="184" customWidth="1"/>
    <col min="12" max="12" width="7.77734375" style="184" customWidth="1"/>
    <col min="13" max="13" width="1.2265625" style="184" customWidth="1"/>
    <col min="14" max="14" width="7.77734375" style="184" customWidth="1"/>
    <col min="15" max="15" width="1.2265625" style="184" customWidth="1"/>
    <col min="16" max="16" width="7.77734375" style="184" customWidth="1"/>
    <col min="17" max="16384" width="9.77734375" style="184" customWidth="1"/>
  </cols>
  <sheetData>
    <row r="1" spans="1:17" ht="15">
      <c r="A1" s="37" t="s">
        <v>7</v>
      </c>
      <c r="B1" s="87"/>
      <c r="C1" s="87"/>
      <c r="D1" s="88"/>
      <c r="E1" s="88"/>
      <c r="F1" s="88"/>
      <c r="G1" s="88"/>
      <c r="H1" s="88"/>
      <c r="I1" s="88"/>
      <c r="J1" s="88"/>
      <c r="K1" s="88"/>
      <c r="L1" s="88"/>
      <c r="M1" s="88"/>
      <c r="N1" s="88"/>
      <c r="O1" s="88"/>
      <c r="P1" s="88"/>
      <c r="Q1" s="89"/>
    </row>
    <row r="2" spans="1:17" ht="15">
      <c r="A2" s="37"/>
      <c r="B2" s="87"/>
      <c r="C2" s="87"/>
      <c r="D2" s="88"/>
      <c r="E2" s="88"/>
      <c r="F2" s="88"/>
      <c r="G2" s="88"/>
      <c r="H2" s="88"/>
      <c r="I2" s="88"/>
      <c r="J2" s="88"/>
      <c r="K2" s="88"/>
      <c r="L2" s="88"/>
      <c r="M2" s="88"/>
      <c r="N2" s="88"/>
      <c r="O2" s="88"/>
      <c r="P2" s="88"/>
      <c r="Q2" s="89"/>
    </row>
    <row r="3" spans="1:17" ht="15">
      <c r="A3" s="88"/>
      <c r="B3" s="88"/>
      <c r="C3" s="88"/>
      <c r="D3" s="88"/>
      <c r="E3" s="88"/>
      <c r="F3" s="88"/>
      <c r="G3" s="88"/>
      <c r="H3" s="88"/>
      <c r="I3" s="88"/>
      <c r="J3" s="88"/>
      <c r="K3" s="88"/>
      <c r="L3" s="88"/>
      <c r="M3" s="88"/>
      <c r="N3" s="88"/>
      <c r="O3" s="88"/>
      <c r="P3" s="88"/>
      <c r="Q3" s="89"/>
    </row>
    <row r="4" spans="1:17" ht="15">
      <c r="A4" s="88" t="s">
        <v>407</v>
      </c>
      <c r="B4" s="88"/>
      <c r="C4" s="88"/>
      <c r="D4" s="88"/>
      <c r="E4" s="88"/>
      <c r="F4" s="88"/>
      <c r="G4" s="88"/>
      <c r="H4" s="88"/>
      <c r="I4" s="88"/>
      <c r="J4" s="88"/>
      <c r="K4" s="88"/>
      <c r="L4" s="88"/>
      <c r="M4" s="88"/>
      <c r="N4" s="88"/>
      <c r="O4" s="88"/>
      <c r="P4" s="88"/>
      <c r="Q4" s="89"/>
    </row>
    <row r="5" spans="1:17" ht="15">
      <c r="A5" s="89"/>
      <c r="B5" s="89"/>
      <c r="C5" s="89"/>
      <c r="D5" s="89"/>
      <c r="E5" s="89"/>
      <c r="F5" s="89"/>
      <c r="G5" s="89"/>
      <c r="H5" s="89"/>
      <c r="I5" s="89"/>
      <c r="J5" s="89"/>
      <c r="K5" s="89"/>
      <c r="L5" s="89"/>
      <c r="M5" s="89"/>
      <c r="N5" s="89"/>
      <c r="O5" s="89"/>
      <c r="P5" s="89"/>
      <c r="Q5" s="89"/>
    </row>
    <row r="6" spans="1:17" ht="15">
      <c r="A6" s="89"/>
      <c r="B6" s="89"/>
      <c r="C6" s="89"/>
      <c r="D6" s="89"/>
      <c r="E6" s="89"/>
      <c r="F6" s="89"/>
      <c r="G6" s="89"/>
      <c r="H6" s="89"/>
      <c r="I6" s="89"/>
      <c r="J6" s="89"/>
      <c r="K6" s="89"/>
      <c r="L6" s="89"/>
      <c r="M6" s="89"/>
      <c r="N6" s="89"/>
      <c r="O6" s="89"/>
      <c r="P6" s="89"/>
      <c r="Q6" s="89"/>
    </row>
    <row r="7" spans="1:17" ht="15">
      <c r="A7" s="89" t="s">
        <v>321</v>
      </c>
      <c r="B7" s="89"/>
      <c r="C7" s="89"/>
      <c r="D7" s="89"/>
      <c r="E7" s="89"/>
      <c r="F7" s="89"/>
      <c r="G7" s="89"/>
      <c r="H7" s="89"/>
      <c r="I7" s="89"/>
      <c r="J7" s="89"/>
      <c r="K7" s="89"/>
      <c r="L7" s="89"/>
      <c r="M7" s="89"/>
      <c r="N7" s="89"/>
      <c r="O7" s="89"/>
      <c r="P7" s="89"/>
      <c r="Q7" s="89"/>
    </row>
    <row r="8" spans="1:17" ht="15">
      <c r="A8" s="89"/>
      <c r="B8" s="89"/>
      <c r="C8" s="89"/>
      <c r="D8" s="89"/>
      <c r="E8" s="89"/>
      <c r="F8" s="89"/>
      <c r="G8" s="89"/>
      <c r="H8" s="89"/>
      <c r="I8" s="89"/>
      <c r="J8" s="89"/>
      <c r="K8" s="89"/>
      <c r="L8" s="89"/>
      <c r="M8" s="89"/>
      <c r="N8" s="89"/>
      <c r="O8" s="89"/>
      <c r="P8" s="89"/>
      <c r="Q8" s="89"/>
    </row>
    <row r="9" spans="1:17" ht="29.25" customHeight="1">
      <c r="A9" s="594" t="s">
        <v>465</v>
      </c>
      <c r="B9" s="594"/>
      <c r="C9" s="594"/>
      <c r="D9" s="594"/>
      <c r="E9" s="594"/>
      <c r="F9" s="594"/>
      <c r="G9" s="594"/>
      <c r="H9" s="594"/>
      <c r="I9" s="594"/>
      <c r="J9" s="594"/>
      <c r="K9" s="594"/>
      <c r="L9" s="594"/>
      <c r="M9" s="594"/>
      <c r="N9" s="594"/>
      <c r="O9" s="594"/>
      <c r="P9" s="594"/>
      <c r="Q9" s="89"/>
    </row>
    <row r="10" spans="1:17" ht="15">
      <c r="A10" s="89"/>
      <c r="B10" s="89"/>
      <c r="C10" s="89"/>
      <c r="D10" s="89"/>
      <c r="E10" s="89"/>
      <c r="F10" s="89"/>
      <c r="G10" s="89"/>
      <c r="H10" s="89"/>
      <c r="I10" s="89"/>
      <c r="J10" s="89"/>
      <c r="K10" s="89"/>
      <c r="L10" s="89"/>
      <c r="M10" s="89"/>
      <c r="N10" s="89"/>
      <c r="O10" s="89"/>
      <c r="P10" s="89"/>
      <c r="Q10" s="89"/>
    </row>
    <row r="11" spans="1:17" ht="15">
      <c r="A11" s="89"/>
      <c r="B11" s="89"/>
      <c r="C11" s="89"/>
      <c r="D11" s="88" t="s">
        <v>466</v>
      </c>
      <c r="E11" s="88"/>
      <c r="F11" s="88"/>
      <c r="G11" s="89"/>
      <c r="H11" s="88" t="s">
        <v>466</v>
      </c>
      <c r="I11" s="88"/>
      <c r="J11" s="88"/>
      <c r="K11" s="89"/>
      <c r="L11" s="88" t="s">
        <v>467</v>
      </c>
      <c r="M11" s="88"/>
      <c r="N11" s="88"/>
      <c r="O11" s="89"/>
      <c r="P11" s="89"/>
      <c r="Q11" s="89"/>
    </row>
    <row r="12" spans="1:17" ht="15">
      <c r="A12" s="89"/>
      <c r="B12" s="89"/>
      <c r="C12" s="89"/>
      <c r="D12" s="88" t="s">
        <v>396</v>
      </c>
      <c r="E12" s="88"/>
      <c r="F12" s="88"/>
      <c r="G12" s="89"/>
      <c r="H12" s="88" t="s">
        <v>0</v>
      </c>
      <c r="I12" s="88"/>
      <c r="J12" s="88"/>
      <c r="K12" s="89"/>
      <c r="L12" s="88" t="s">
        <v>396</v>
      </c>
      <c r="M12" s="88"/>
      <c r="N12" s="88"/>
      <c r="O12" s="89"/>
      <c r="P12" s="89"/>
      <c r="Q12" s="89"/>
    </row>
    <row r="13" spans="1:17" ht="15">
      <c r="A13" s="88" t="s">
        <v>375</v>
      </c>
      <c r="B13" s="88"/>
      <c r="C13" s="89"/>
      <c r="D13" s="90" t="s">
        <v>377</v>
      </c>
      <c r="E13" s="90"/>
      <c r="F13" s="90" t="s">
        <v>398</v>
      </c>
      <c r="G13" s="91"/>
      <c r="H13" s="90" t="s">
        <v>377</v>
      </c>
      <c r="I13" s="90"/>
      <c r="J13" s="90" t="s">
        <v>398</v>
      </c>
      <c r="K13" s="91"/>
      <c r="L13" s="90" t="s">
        <v>377</v>
      </c>
      <c r="M13" s="90"/>
      <c r="N13" s="90" t="s">
        <v>398</v>
      </c>
      <c r="O13" s="91"/>
      <c r="P13" s="91" t="s">
        <v>377</v>
      </c>
      <c r="Q13" s="89"/>
    </row>
    <row r="14" spans="1:17" ht="15">
      <c r="A14" s="88" t="s">
        <v>378</v>
      </c>
      <c r="B14" s="88"/>
      <c r="C14" s="89"/>
      <c r="D14" s="91" t="s">
        <v>468</v>
      </c>
      <c r="E14" s="91"/>
      <c r="F14" s="91" t="s">
        <v>379</v>
      </c>
      <c r="G14" s="91"/>
      <c r="H14" s="91" t="s">
        <v>469</v>
      </c>
      <c r="I14" s="91"/>
      <c r="J14" s="91" t="s">
        <v>379</v>
      </c>
      <c r="K14" s="91"/>
      <c r="L14" s="91" t="s">
        <v>470</v>
      </c>
      <c r="M14" s="91"/>
      <c r="N14" s="91" t="s">
        <v>379</v>
      </c>
      <c r="O14" s="91"/>
      <c r="P14" s="91" t="s">
        <v>379</v>
      </c>
      <c r="Q14" s="89"/>
    </row>
    <row r="15" spans="1:25" ht="15">
      <c r="A15" s="92" t="s">
        <v>380</v>
      </c>
      <c r="B15" s="92"/>
      <c r="C15" s="89"/>
      <c r="D15" s="90" t="s">
        <v>400</v>
      </c>
      <c r="E15" s="89"/>
      <c r="F15" s="93" t="s">
        <v>471</v>
      </c>
      <c r="G15" s="89"/>
      <c r="H15" s="90" t="s">
        <v>402</v>
      </c>
      <c r="I15" s="89"/>
      <c r="J15" s="93" t="s">
        <v>472</v>
      </c>
      <c r="K15" s="89"/>
      <c r="L15" s="90" t="s">
        <v>428</v>
      </c>
      <c r="M15" s="89"/>
      <c r="N15" s="93" t="s">
        <v>473</v>
      </c>
      <c r="O15" s="89"/>
      <c r="P15" s="93" t="s">
        <v>474</v>
      </c>
      <c r="Q15" s="89"/>
      <c r="R15" s="184" t="s">
        <v>621</v>
      </c>
      <c r="Y15" s="184" t="s">
        <v>377</v>
      </c>
    </row>
    <row r="16" spans="1:25" ht="15">
      <c r="A16" s="89"/>
      <c r="B16" s="89"/>
      <c r="C16" s="89"/>
      <c r="D16" s="89"/>
      <c r="E16" s="89"/>
      <c r="F16" s="94">
        <f>N35</f>
        <v>0.4248</v>
      </c>
      <c r="G16" s="94"/>
      <c r="H16" s="94"/>
      <c r="I16" s="94"/>
      <c r="J16" s="94">
        <f>N37</f>
        <v>0.3062</v>
      </c>
      <c r="K16" s="94"/>
      <c r="L16" s="94"/>
      <c r="M16" s="94"/>
      <c r="N16" s="94">
        <f>N39</f>
        <v>0.269</v>
      </c>
      <c r="O16" s="94"/>
      <c r="P16" s="95" t="s">
        <v>475</v>
      </c>
      <c r="Q16" s="89"/>
      <c r="R16" s="184" t="s">
        <v>476</v>
      </c>
      <c r="S16" s="184" t="s">
        <v>367</v>
      </c>
      <c r="T16" s="281">
        <f>+F16</f>
        <v>0.4248</v>
      </c>
      <c r="U16" s="184" t="s">
        <v>365</v>
      </c>
      <c r="V16" s="281">
        <f>+J16</f>
        <v>0.3062</v>
      </c>
      <c r="W16" s="184" t="s">
        <v>470</v>
      </c>
      <c r="X16" s="281">
        <f>+N16</f>
        <v>0.269</v>
      </c>
      <c r="Y16" s="184" t="s">
        <v>379</v>
      </c>
    </row>
    <row r="17" spans="1:17" ht="12.75" customHeight="1">
      <c r="A17" s="89"/>
      <c r="B17" s="89"/>
      <c r="C17" s="89"/>
      <c r="D17" s="89"/>
      <c r="E17" s="89"/>
      <c r="F17" s="89"/>
      <c r="G17" s="89"/>
      <c r="H17" s="89"/>
      <c r="I17" s="89"/>
      <c r="J17" s="89"/>
      <c r="K17" s="89"/>
      <c r="L17" s="89"/>
      <c r="M17" s="89"/>
      <c r="N17" s="89"/>
      <c r="O17" s="89"/>
      <c r="P17" s="89"/>
      <c r="Q17" s="89"/>
    </row>
    <row r="18" spans="1:25" ht="15">
      <c r="A18" s="89" t="s">
        <v>383</v>
      </c>
      <c r="B18" s="89"/>
      <c r="C18" s="89"/>
      <c r="D18" s="94">
        <f>'F 1-2'!$M$39</f>
        <v>0.5006999999999999</v>
      </c>
      <c r="E18" s="94"/>
      <c r="F18" s="94">
        <f>ROUND(+$F$16*D18,4)</f>
        <v>0.2127</v>
      </c>
      <c r="G18" s="94"/>
      <c r="H18" s="94">
        <f>'F 3-4'!$P$19</f>
        <v>0.45699999999999996</v>
      </c>
      <c r="I18" s="94"/>
      <c r="J18" s="94">
        <f>ROUND(+$J$16*H18,4)+0.0001</f>
        <v>0.13999999999999999</v>
      </c>
      <c r="K18" s="94"/>
      <c r="L18" s="94">
        <f>'F 3-4'!$R$49</f>
        <v>0.4516</v>
      </c>
      <c r="M18" s="94"/>
      <c r="N18" s="94">
        <f>ROUND(+$N$16*L18,4)</f>
        <v>0.1215</v>
      </c>
      <c r="O18" s="94"/>
      <c r="P18" s="94">
        <f>N18+F18+J18</f>
        <v>0.47419999999999995</v>
      </c>
      <c r="Q18" s="89"/>
      <c r="R18" s="94" t="s">
        <v>477</v>
      </c>
      <c r="S18" s="184">
        <f>'F 1-2'!$G$37-'F 1-2'!$G$44-'F 1-2'!$G$45</f>
        <v>0.6028</v>
      </c>
      <c r="T18" s="320">
        <f>ROUND(+S18*$F$16,4)</f>
        <v>0.2561</v>
      </c>
      <c r="U18" s="184">
        <f>'F 3-4'!$F$17-'F 3-4'!$F$24-'F 3-4'!$F$25</f>
        <v>0.5502</v>
      </c>
      <c r="V18" s="320">
        <f>ROUND(U18*$J$16,4)</f>
        <v>0.1685</v>
      </c>
      <c r="W18" s="184">
        <f>'F 3-4'!$H$47-'F 3-4'!$H$54-'F 3-4'!$H$55</f>
        <v>0.3455</v>
      </c>
      <c r="X18" s="320">
        <f>W18*$N$16</f>
        <v>0.0929395</v>
      </c>
      <c r="Y18" s="281">
        <f>T18+V18+X18</f>
        <v>0.5175394999999999</v>
      </c>
    </row>
    <row r="19" spans="1:25" ht="15">
      <c r="A19" s="89" t="s">
        <v>384</v>
      </c>
      <c r="B19" s="89"/>
      <c r="C19" s="89"/>
      <c r="D19" s="94">
        <f>'F 1-2'!$M$40</f>
        <v>0.3063</v>
      </c>
      <c r="E19" s="94"/>
      <c r="F19" s="94">
        <f aca="true" t="shared" si="0" ref="F19:F24">ROUND(+$F$16*D19,4)</f>
        <v>0.1301</v>
      </c>
      <c r="G19" s="94"/>
      <c r="H19" s="94">
        <f>'F 3-4'!$P$20</f>
        <v>0.2797</v>
      </c>
      <c r="I19" s="94"/>
      <c r="J19" s="94">
        <f aca="true" t="shared" si="1" ref="J19:J24">ROUND(+$J$16*H19,4)</f>
        <v>0.0856</v>
      </c>
      <c r="K19" s="94"/>
      <c r="L19" s="94">
        <f>'F 3-4'!$R$50</f>
        <v>0.2724</v>
      </c>
      <c r="M19" s="94"/>
      <c r="N19" s="94">
        <f aca="true" t="shared" si="2" ref="N19:N24">ROUND(+$N$16*L19,4)</f>
        <v>0.0733</v>
      </c>
      <c r="O19" s="94"/>
      <c r="P19" s="94">
        <f aca="true" t="shared" si="3" ref="P19:P24">N19+F19+J19</f>
        <v>0.289</v>
      </c>
      <c r="Q19" s="89"/>
      <c r="R19" s="94" t="s">
        <v>478</v>
      </c>
      <c r="S19" s="184">
        <f>'F 1-2'!$K$37</f>
        <v>0.3939</v>
      </c>
      <c r="T19" s="320">
        <f>ROUND(+S19*$F$16,4)</f>
        <v>0.1673</v>
      </c>
      <c r="U19" s="184">
        <f>'F 3-4'!$J$17</f>
        <v>0.3596</v>
      </c>
      <c r="V19" s="320">
        <f>ROUND(U19*$J$16,4)</f>
        <v>0.1101</v>
      </c>
      <c r="X19" s="320">
        <f>W19*$N$16</f>
        <v>0</v>
      </c>
      <c r="Y19" s="320">
        <f>T19+V19+X19</f>
        <v>0.2774</v>
      </c>
    </row>
    <row r="20" spans="1:25" ht="15">
      <c r="A20" s="89" t="s">
        <v>385</v>
      </c>
      <c r="B20" s="89"/>
      <c r="C20" s="89"/>
      <c r="D20" s="94">
        <f>'F 1-2'!$M$41</f>
        <v>0.0383</v>
      </c>
      <c r="E20" s="94"/>
      <c r="F20" s="321">
        <f t="shared" si="0"/>
        <v>0.0163</v>
      </c>
      <c r="G20" s="94"/>
      <c r="H20" s="94">
        <f>'F 3-4'!$P$21</f>
        <v>0.0349</v>
      </c>
      <c r="I20" s="94"/>
      <c r="J20" s="94">
        <f t="shared" si="1"/>
        <v>0.0107</v>
      </c>
      <c r="K20" s="94"/>
      <c r="L20" s="94">
        <f>'F 3-4'!$R$51</f>
        <v>0.0302</v>
      </c>
      <c r="M20" s="94"/>
      <c r="N20" s="94">
        <f t="shared" si="2"/>
        <v>0.0081</v>
      </c>
      <c r="O20" s="94"/>
      <c r="P20" s="94">
        <f t="shared" si="3"/>
        <v>0.0351</v>
      </c>
      <c r="Q20" s="89"/>
      <c r="R20" s="94" t="s">
        <v>479</v>
      </c>
      <c r="T20" s="320">
        <f>ROUND(+S20*$F$16,4)</f>
        <v>0</v>
      </c>
      <c r="V20" s="320">
        <f>ROUND(U20*$J$16,4)</f>
        <v>0</v>
      </c>
      <c r="W20" s="322">
        <f>'F 3-4'!$L$47</f>
        <v>0.5212</v>
      </c>
      <c r="X20" s="320">
        <f>W20*$N$16</f>
        <v>0.14020280000000002</v>
      </c>
      <c r="Y20" s="320">
        <f>T20+V20+X20</f>
        <v>0.14020280000000002</v>
      </c>
    </row>
    <row r="21" spans="1:25" ht="15">
      <c r="A21" s="89" t="s">
        <v>387</v>
      </c>
      <c r="B21" s="89"/>
      <c r="C21" s="89"/>
      <c r="D21" s="94">
        <f>'F 1-2'!$M$42</f>
        <v>0.1168</v>
      </c>
      <c r="E21" s="94"/>
      <c r="F21" s="94">
        <f t="shared" si="0"/>
        <v>0.0496</v>
      </c>
      <c r="G21" s="94"/>
      <c r="H21" s="94">
        <f>'F 3-4'!$P$22</f>
        <v>0.10669999999999999</v>
      </c>
      <c r="I21" s="94"/>
      <c r="J21" s="94">
        <f t="shared" si="1"/>
        <v>0.0327</v>
      </c>
      <c r="K21" s="94"/>
      <c r="L21" s="94">
        <f>'F 3-4'!$R$52</f>
        <v>0.0882</v>
      </c>
      <c r="M21" s="94"/>
      <c r="N21" s="321">
        <f t="shared" si="2"/>
        <v>0.0237</v>
      </c>
      <c r="O21" s="94"/>
      <c r="P21" s="94">
        <f t="shared" si="3"/>
        <v>0.10600000000000001</v>
      </c>
      <c r="Q21" s="89"/>
      <c r="R21" s="94" t="s">
        <v>480</v>
      </c>
      <c r="S21" s="184">
        <f>'F 1-2'!$M$44</f>
        <v>0.0015</v>
      </c>
      <c r="T21" s="320">
        <f>ROUND(+S21*$F$16,4)</f>
        <v>0.0006</v>
      </c>
      <c r="U21" s="184">
        <f>'F 3-4'!$P$24</f>
        <v>0.0405</v>
      </c>
      <c r="V21" s="320">
        <f>ROUND(U21*$J$16,4)</f>
        <v>0.0124</v>
      </c>
      <c r="W21" s="184">
        <f>'F 3-4'!$R$54</f>
        <v>0.0598</v>
      </c>
      <c r="X21" s="320">
        <f>W21*$N$16</f>
        <v>0.016086200000000002</v>
      </c>
      <c r="Y21" s="320">
        <f>T21+V21+X21</f>
        <v>0.0290862</v>
      </c>
    </row>
    <row r="22" spans="1:25" ht="15">
      <c r="A22" s="89" t="s">
        <v>508</v>
      </c>
      <c r="B22" s="89"/>
      <c r="C22" s="89"/>
      <c r="D22" s="94">
        <f>'F 1-2'!$M$43</f>
        <v>0.0346</v>
      </c>
      <c r="E22" s="94"/>
      <c r="F22" s="94">
        <f t="shared" si="0"/>
        <v>0.0147</v>
      </c>
      <c r="G22" s="94"/>
      <c r="H22" s="94">
        <f>'F 3-4'!$P$23</f>
        <v>0.0315</v>
      </c>
      <c r="I22" s="94"/>
      <c r="J22" s="94">
        <f>ROUND(+$J$16*H22,4)</f>
        <v>0.0096</v>
      </c>
      <c r="K22" s="94"/>
      <c r="L22" s="94">
        <f>'F 3-4'!$R$53</f>
        <v>0.024300000000000002</v>
      </c>
      <c r="M22" s="94"/>
      <c r="N22" s="94">
        <f t="shared" si="2"/>
        <v>0.0065</v>
      </c>
      <c r="O22" s="94"/>
      <c r="P22" s="94">
        <f t="shared" si="3"/>
        <v>0.0308</v>
      </c>
      <c r="Q22" s="89"/>
      <c r="R22" s="94" t="s">
        <v>481</v>
      </c>
      <c r="S22" s="184">
        <f>'F 1-2'!$M$45</f>
        <v>0.0018</v>
      </c>
      <c r="T22" s="320">
        <f>ROUND(+S22*$F$16,4)</f>
        <v>0.0008</v>
      </c>
      <c r="U22" s="184">
        <f>'F 3-4'!$P$25</f>
        <v>0.0497</v>
      </c>
      <c r="V22" s="320">
        <f>ROUND(U22*$J$16,4)</f>
        <v>0.0152</v>
      </c>
      <c r="W22" s="184">
        <f>'F 3-4'!$R$55</f>
        <v>0.07350000000000001</v>
      </c>
      <c r="X22" s="320">
        <f>W22*$N$16</f>
        <v>0.019771500000000004</v>
      </c>
      <c r="Y22" s="320">
        <f>T22+V22+X22</f>
        <v>0.035771500000000005</v>
      </c>
    </row>
    <row r="23" spans="1:25" ht="15">
      <c r="A23" s="89" t="s">
        <v>389</v>
      </c>
      <c r="B23" s="89"/>
      <c r="C23" s="89"/>
      <c r="D23" s="94">
        <f>'F 1-2'!$M$44</f>
        <v>0.0015</v>
      </c>
      <c r="E23" s="94"/>
      <c r="F23" s="94">
        <f t="shared" si="0"/>
        <v>0.0006</v>
      </c>
      <c r="G23" s="94"/>
      <c r="H23" s="94">
        <f>'F 3-4'!$P$24</f>
        <v>0.0405</v>
      </c>
      <c r="I23" s="94"/>
      <c r="J23" s="94">
        <f>ROUND(+$J$16*H23,4)</f>
        <v>0.0124</v>
      </c>
      <c r="K23" s="94"/>
      <c r="L23" s="94">
        <f>'F 3-4'!$R$54</f>
        <v>0.0598</v>
      </c>
      <c r="M23" s="94"/>
      <c r="N23" s="94">
        <f t="shared" si="2"/>
        <v>0.0161</v>
      </c>
      <c r="O23" s="94"/>
      <c r="P23" s="94">
        <f t="shared" si="3"/>
        <v>0.0291</v>
      </c>
      <c r="Q23" s="89"/>
      <c r="R23" s="94"/>
      <c r="S23" s="94"/>
      <c r="T23" s="94"/>
      <c r="U23" s="94"/>
      <c r="V23" s="94"/>
      <c r="W23" s="94"/>
      <c r="X23" s="94"/>
      <c r="Y23" s="94"/>
    </row>
    <row r="24" spans="1:25" ht="15">
      <c r="A24" s="89" t="s">
        <v>390</v>
      </c>
      <c r="B24" s="89"/>
      <c r="C24" s="89"/>
      <c r="D24" s="94">
        <f>'F 1-2'!$M$45</f>
        <v>0.0018</v>
      </c>
      <c r="E24" s="94"/>
      <c r="F24" s="94">
        <f t="shared" si="0"/>
        <v>0.0008</v>
      </c>
      <c r="G24" s="94"/>
      <c r="H24" s="94">
        <f>'F 3-4'!$P$25</f>
        <v>0.0497</v>
      </c>
      <c r="I24" s="94"/>
      <c r="J24" s="94">
        <f t="shared" si="1"/>
        <v>0.0152</v>
      </c>
      <c r="K24" s="94"/>
      <c r="L24" s="94">
        <f>'F 3-4'!$R$55</f>
        <v>0.07350000000000001</v>
      </c>
      <c r="M24" s="94"/>
      <c r="N24" s="94">
        <f t="shared" si="2"/>
        <v>0.0198</v>
      </c>
      <c r="O24" s="94"/>
      <c r="P24" s="94">
        <f t="shared" si="3"/>
        <v>0.0358</v>
      </c>
      <c r="Q24" s="89"/>
      <c r="R24" s="94"/>
      <c r="S24" s="320">
        <f aca="true" t="shared" si="4" ref="S24:Y24">SUM(S18:S23)</f>
        <v>0.9999999999999999</v>
      </c>
      <c r="T24" s="320">
        <f t="shared" si="4"/>
        <v>0.4248</v>
      </c>
      <c r="U24" s="320">
        <f t="shared" si="4"/>
        <v>0.9999999999999999</v>
      </c>
      <c r="V24" s="320">
        <f t="shared" si="4"/>
        <v>0.3062</v>
      </c>
      <c r="W24" s="320">
        <f t="shared" si="4"/>
        <v>1</v>
      </c>
      <c r="X24" s="320">
        <f t="shared" si="4"/>
        <v>0.269</v>
      </c>
      <c r="Y24" s="320">
        <f t="shared" si="4"/>
        <v>0.9999999999999998</v>
      </c>
    </row>
    <row r="25" spans="1:17" ht="15">
      <c r="A25" s="89"/>
      <c r="B25" s="89"/>
      <c r="C25" s="89"/>
      <c r="D25" s="96"/>
      <c r="E25" s="94"/>
      <c r="F25" s="96"/>
      <c r="G25" s="94"/>
      <c r="H25" s="96"/>
      <c r="I25" s="94"/>
      <c r="J25" s="96"/>
      <c r="K25" s="94"/>
      <c r="L25" s="96"/>
      <c r="M25" s="94"/>
      <c r="N25" s="96"/>
      <c r="O25" s="94"/>
      <c r="P25" s="96"/>
      <c r="Q25" s="89"/>
    </row>
    <row r="26" spans="1:17" ht="15.75" thickBot="1">
      <c r="A26" s="89" t="s">
        <v>391</v>
      </c>
      <c r="B26" s="89"/>
      <c r="C26" s="89"/>
      <c r="D26" s="94">
        <f>SUM(D18:D25)</f>
        <v>0.9999999999999999</v>
      </c>
      <c r="E26" s="94"/>
      <c r="F26" s="186">
        <f>SUM(F18:F25)</f>
        <v>0.42479999999999996</v>
      </c>
      <c r="G26" s="94"/>
      <c r="H26" s="94">
        <f>SUM(H18:H25)</f>
        <v>0.9999999999999999</v>
      </c>
      <c r="I26" s="94"/>
      <c r="J26" s="94">
        <f>SUM(J18:J25)</f>
        <v>0.30619999999999997</v>
      </c>
      <c r="K26" s="94"/>
      <c r="L26" s="94">
        <f>SUM(L18:L25)</f>
        <v>1</v>
      </c>
      <c r="M26" s="94"/>
      <c r="N26" s="94">
        <f>SUM(N18:N25)</f>
        <v>0.269</v>
      </c>
      <c r="O26" s="94"/>
      <c r="P26" s="94">
        <f>SUM(P18:P25)</f>
        <v>1</v>
      </c>
      <c r="Q26" s="89"/>
    </row>
    <row r="27" spans="1:17" ht="15.75" thickTop="1">
      <c r="A27" s="89"/>
      <c r="B27" s="89"/>
      <c r="C27" s="89"/>
      <c r="D27" s="97"/>
      <c r="E27" s="89"/>
      <c r="F27" s="185"/>
      <c r="G27" s="89"/>
      <c r="H27" s="97"/>
      <c r="I27" s="89"/>
      <c r="J27" s="97"/>
      <c r="K27" s="89"/>
      <c r="L27" s="97"/>
      <c r="M27" s="89"/>
      <c r="N27" s="97"/>
      <c r="O27" s="89"/>
      <c r="P27" s="97"/>
      <c r="Q27" s="89"/>
    </row>
    <row r="28" spans="1:17" ht="15">
      <c r="A28" s="89"/>
      <c r="B28" s="89"/>
      <c r="C28" s="89"/>
      <c r="D28" s="89"/>
      <c r="E28" s="89"/>
      <c r="F28" s="89"/>
      <c r="G28" s="89"/>
      <c r="H28" s="89"/>
      <c r="I28" s="89"/>
      <c r="J28" s="89"/>
      <c r="K28" s="89"/>
      <c r="L28" s="89"/>
      <c r="M28" s="89"/>
      <c r="N28" s="89"/>
      <c r="O28" s="89"/>
      <c r="P28" s="89"/>
      <c r="Q28" s="89"/>
    </row>
    <row r="29" spans="1:17" ht="29.25" customHeight="1">
      <c r="A29" s="594" t="s">
        <v>482</v>
      </c>
      <c r="B29" s="594"/>
      <c r="C29" s="594"/>
      <c r="D29" s="594"/>
      <c r="E29" s="594"/>
      <c r="F29" s="594"/>
      <c r="G29" s="594"/>
      <c r="H29" s="594"/>
      <c r="I29" s="594"/>
      <c r="J29" s="594"/>
      <c r="K29" s="594"/>
      <c r="L29" s="594"/>
      <c r="M29" s="594"/>
      <c r="N29" s="594"/>
      <c r="O29" s="594"/>
      <c r="P29" s="594"/>
      <c r="Q29" s="89"/>
    </row>
    <row r="30" spans="1:23" ht="15">
      <c r="A30" s="89"/>
      <c r="B30" s="89"/>
      <c r="C30" s="89"/>
      <c r="D30" s="89"/>
      <c r="E30" s="89"/>
      <c r="F30" s="89"/>
      <c r="G30" s="89"/>
      <c r="H30" s="367"/>
      <c r="I30" s="89"/>
      <c r="J30" s="89"/>
      <c r="K30" s="89"/>
      <c r="L30" s="89"/>
      <c r="M30" s="89"/>
      <c r="N30" s="89"/>
      <c r="O30" s="89"/>
      <c r="P30" s="89"/>
      <c r="Q30" s="89"/>
      <c r="W30" s="382"/>
    </row>
    <row r="31" spans="1:22" ht="15">
      <c r="A31" s="89"/>
      <c r="B31" s="89"/>
      <c r="C31" s="89"/>
      <c r="D31" s="89"/>
      <c r="E31" s="89"/>
      <c r="G31" s="91"/>
      <c r="H31" s="91" t="s">
        <v>483</v>
      </c>
      <c r="I31" s="91"/>
      <c r="K31" s="91"/>
      <c r="L31" s="91"/>
      <c r="M31" s="91"/>
      <c r="N31" s="91"/>
      <c r="O31" s="89"/>
      <c r="P31" s="89"/>
      <c r="Q31" s="367"/>
      <c r="R31" s="368"/>
      <c r="S31" s="368"/>
      <c r="T31" s="368"/>
      <c r="U31" s="368"/>
      <c r="V31" s="368"/>
    </row>
    <row r="32" spans="1:22" ht="15">
      <c r="A32" s="89"/>
      <c r="B32" s="89"/>
      <c r="C32" s="89"/>
      <c r="D32" s="89"/>
      <c r="E32" s="89"/>
      <c r="G32" s="91"/>
      <c r="H32" s="91" t="s">
        <v>484</v>
      </c>
      <c r="I32" s="91"/>
      <c r="K32" s="91"/>
      <c r="L32" s="91"/>
      <c r="M32" s="91"/>
      <c r="N32" s="91" t="s">
        <v>418</v>
      </c>
      <c r="O32" s="89"/>
      <c r="P32" s="89"/>
      <c r="Q32" s="367"/>
      <c r="R32" s="368"/>
      <c r="S32" s="368"/>
      <c r="T32" s="368"/>
      <c r="U32" s="368"/>
      <c r="V32" s="368"/>
    </row>
    <row r="33" spans="1:22" ht="15">
      <c r="A33" s="89"/>
      <c r="B33" s="89"/>
      <c r="C33" s="89"/>
      <c r="D33" s="89"/>
      <c r="E33" s="89"/>
      <c r="G33" s="89"/>
      <c r="H33" s="98"/>
      <c r="I33" s="89"/>
      <c r="K33" s="89"/>
      <c r="L33" s="89"/>
      <c r="M33" s="89"/>
      <c r="N33" s="98"/>
      <c r="O33" s="89"/>
      <c r="P33" s="89"/>
      <c r="Q33" s="367"/>
      <c r="R33" s="368"/>
      <c r="S33" s="368"/>
      <c r="T33" s="368"/>
      <c r="U33" s="368"/>
      <c r="V33" s="368"/>
    </row>
    <row r="34" spans="1:22" ht="15">
      <c r="A34" s="89"/>
      <c r="B34" s="89"/>
      <c r="C34" s="89"/>
      <c r="D34" s="89"/>
      <c r="E34" s="89"/>
      <c r="G34" s="89"/>
      <c r="H34" s="89"/>
      <c r="I34" s="89"/>
      <c r="K34" s="89"/>
      <c r="L34" s="89"/>
      <c r="M34" s="89"/>
      <c r="N34" s="89"/>
      <c r="O34" s="89"/>
      <c r="P34" s="89"/>
      <c r="Q34" s="367"/>
      <c r="R34" s="368"/>
      <c r="S34" s="368"/>
      <c r="T34" s="368"/>
      <c r="U34" s="368"/>
      <c r="V34" s="368"/>
    </row>
    <row r="35" spans="1:22" ht="15">
      <c r="A35" s="89" t="s">
        <v>485</v>
      </c>
      <c r="C35" s="89"/>
      <c r="D35" s="89"/>
      <c r="E35" s="89"/>
      <c r="G35" s="89"/>
      <c r="H35" s="323">
        <f>+Pumps!I35</f>
        <v>10330</v>
      </c>
      <c r="I35" s="89"/>
      <c r="K35" s="89"/>
      <c r="L35" s="89"/>
      <c r="M35" s="89"/>
      <c r="N35" s="94">
        <f>ROUND(+H35/H41,4)</f>
        <v>0.4248</v>
      </c>
      <c r="O35" s="89"/>
      <c r="P35" s="89"/>
      <c r="Q35" s="367"/>
      <c r="R35" s="368"/>
      <c r="S35" s="368"/>
      <c r="T35" s="368"/>
      <c r="U35" s="368"/>
      <c r="V35" s="368"/>
    </row>
    <row r="36" spans="1:22" ht="15">
      <c r="A36" s="89"/>
      <c r="C36" s="89"/>
      <c r="D36" s="89"/>
      <c r="E36" s="89"/>
      <c r="G36" s="89"/>
      <c r="H36" s="323"/>
      <c r="I36" s="89"/>
      <c r="K36" s="89"/>
      <c r="L36" s="89"/>
      <c r="M36" s="89"/>
      <c r="N36" s="94"/>
      <c r="O36" s="89"/>
      <c r="P36" s="89"/>
      <c r="Q36" s="367"/>
      <c r="R36" s="368"/>
      <c r="S36" s="368"/>
      <c r="T36" s="368"/>
      <c r="U36" s="368"/>
      <c r="V36" s="368"/>
    </row>
    <row r="37" spans="1:22" ht="15">
      <c r="A37" s="89" t="s">
        <v>486</v>
      </c>
      <c r="C37" s="89"/>
      <c r="D37" s="89"/>
      <c r="E37" s="89"/>
      <c r="G37" s="89"/>
      <c r="H37" s="323">
        <f>+Pumps!I56</f>
        <v>7447</v>
      </c>
      <c r="I37" s="89"/>
      <c r="K37" s="89"/>
      <c r="L37" s="89"/>
      <c r="M37" s="89"/>
      <c r="N37" s="94">
        <f>ROUND(+H37/H41,4)</f>
        <v>0.3062</v>
      </c>
      <c r="O37" s="89"/>
      <c r="P37" s="89"/>
      <c r="Q37" s="367"/>
      <c r="R37" s="368"/>
      <c r="S37" s="368"/>
      <c r="T37" s="368"/>
      <c r="U37" s="368"/>
      <c r="V37" s="368"/>
    </row>
    <row r="38" spans="1:22" ht="15">
      <c r="A38" s="89"/>
      <c r="C38" s="89"/>
      <c r="D38" s="89"/>
      <c r="E38" s="89"/>
      <c r="G38" s="89"/>
      <c r="H38" s="323"/>
      <c r="I38" s="89"/>
      <c r="K38" s="89"/>
      <c r="L38" s="89"/>
      <c r="M38" s="89"/>
      <c r="N38" s="94"/>
      <c r="O38" s="89"/>
      <c r="P38" s="89"/>
      <c r="Q38" s="367"/>
      <c r="R38" s="368"/>
      <c r="S38" s="368"/>
      <c r="T38" s="368"/>
      <c r="U38" s="368"/>
      <c r="V38" s="368"/>
    </row>
    <row r="39" spans="1:22" ht="15">
      <c r="A39" s="89" t="s">
        <v>487</v>
      </c>
      <c r="C39" s="89"/>
      <c r="D39" s="89"/>
      <c r="E39" s="89"/>
      <c r="G39" s="89"/>
      <c r="H39" s="323">
        <f>+Pumps!I96</f>
        <v>6541</v>
      </c>
      <c r="I39" s="89"/>
      <c r="K39" s="89"/>
      <c r="L39" s="89"/>
      <c r="M39" s="89"/>
      <c r="N39" s="94">
        <f>ROUND(+H39/H41,4)</f>
        <v>0.269</v>
      </c>
      <c r="O39" s="89"/>
      <c r="P39" s="89"/>
      <c r="Q39" s="367"/>
      <c r="R39" s="368"/>
      <c r="S39" s="368"/>
      <c r="T39" s="368"/>
      <c r="U39" s="368"/>
      <c r="V39" s="368"/>
    </row>
    <row r="40" spans="1:22" ht="15">
      <c r="A40" s="89"/>
      <c r="B40" s="89"/>
      <c r="C40" s="89"/>
      <c r="D40" s="89"/>
      <c r="E40" s="89"/>
      <c r="G40" s="89"/>
      <c r="H40" s="365"/>
      <c r="I40" s="89"/>
      <c r="K40" s="89"/>
      <c r="L40" s="89"/>
      <c r="M40" s="89"/>
      <c r="N40" s="96"/>
      <c r="O40" s="89"/>
      <c r="P40" s="89"/>
      <c r="Q40" s="367"/>
      <c r="R40" s="368"/>
      <c r="S40" s="368"/>
      <c r="T40" s="368"/>
      <c r="U40" s="368"/>
      <c r="V40" s="368"/>
    </row>
    <row r="41" spans="1:22" ht="15.75" thickBot="1">
      <c r="A41" s="89"/>
      <c r="B41" s="89" t="s">
        <v>488</v>
      </c>
      <c r="C41" s="89"/>
      <c r="D41" s="89"/>
      <c r="E41" s="89"/>
      <c r="G41" s="89"/>
      <c r="H41" s="366">
        <f>SUM(H35:H40)</f>
        <v>24318</v>
      </c>
      <c r="I41" s="89"/>
      <c r="K41" s="89"/>
      <c r="L41" s="89"/>
      <c r="M41" s="89"/>
      <c r="N41" s="94">
        <f>SUM(N35:N40)</f>
        <v>1</v>
      </c>
      <c r="O41" s="89"/>
      <c r="P41" s="89"/>
      <c r="Q41" s="367"/>
      <c r="R41" s="368"/>
      <c r="S41" s="368"/>
      <c r="T41" s="368"/>
      <c r="U41" s="368"/>
      <c r="V41" s="368"/>
    </row>
    <row r="42" spans="1:22" ht="15.75" thickTop="1">
      <c r="A42" s="89"/>
      <c r="B42" s="89"/>
      <c r="C42" s="89"/>
      <c r="D42" s="89"/>
      <c r="E42" s="89"/>
      <c r="F42" s="89"/>
      <c r="G42" s="89"/>
      <c r="H42" s="185"/>
      <c r="I42" s="89"/>
      <c r="J42" s="323"/>
      <c r="K42" s="89"/>
      <c r="L42" s="89"/>
      <c r="M42" s="89"/>
      <c r="N42" s="97"/>
      <c r="O42" s="89"/>
      <c r="P42" s="89"/>
      <c r="Q42" s="367"/>
      <c r="R42" s="368"/>
      <c r="S42" s="368"/>
      <c r="T42" s="368"/>
      <c r="U42" s="368"/>
      <c r="V42" s="368"/>
    </row>
    <row r="43" spans="1:22" ht="15">
      <c r="A43" s="89"/>
      <c r="B43" s="89"/>
      <c r="C43" s="89"/>
      <c r="D43" s="89"/>
      <c r="E43" s="89"/>
      <c r="F43" s="89"/>
      <c r="G43" s="89"/>
      <c r="K43" s="89"/>
      <c r="L43" s="89"/>
      <c r="M43" s="89"/>
      <c r="N43" s="89"/>
      <c r="O43" s="89"/>
      <c r="P43" s="89"/>
      <c r="Q43" s="367"/>
      <c r="R43" s="368"/>
      <c r="S43" s="368"/>
      <c r="T43" s="368"/>
      <c r="U43" s="368"/>
      <c r="V43" s="368"/>
    </row>
    <row r="44" spans="1:22" ht="15">
      <c r="A44" s="37" t="s">
        <v>7</v>
      </c>
      <c r="B44" s="87"/>
      <c r="C44" s="87"/>
      <c r="D44" s="88"/>
      <c r="E44" s="88"/>
      <c r="F44" s="88"/>
      <c r="G44" s="88"/>
      <c r="H44" s="88"/>
      <c r="I44" s="88"/>
      <c r="J44" s="88"/>
      <c r="K44" s="88"/>
      <c r="L44" s="88"/>
      <c r="M44" s="88"/>
      <c r="N44" s="88"/>
      <c r="O44" s="88"/>
      <c r="P44" s="88"/>
      <c r="Q44" s="368"/>
      <c r="R44" s="368"/>
      <c r="S44" s="368"/>
      <c r="T44" s="368"/>
      <c r="U44" s="368"/>
      <c r="V44" s="368"/>
    </row>
    <row r="45" spans="1:22" ht="15">
      <c r="A45" s="37"/>
      <c r="B45" s="87"/>
      <c r="C45" s="87"/>
      <c r="D45" s="88"/>
      <c r="E45" s="88"/>
      <c r="F45" s="88"/>
      <c r="G45" s="88"/>
      <c r="H45" s="88"/>
      <c r="I45" s="88"/>
      <c r="J45" s="88"/>
      <c r="K45" s="88"/>
      <c r="L45" s="88"/>
      <c r="M45" s="88"/>
      <c r="N45" s="88"/>
      <c r="O45" s="88"/>
      <c r="P45" s="88"/>
      <c r="Q45" s="368"/>
      <c r="R45" s="368"/>
      <c r="S45" s="368"/>
      <c r="T45" s="368"/>
      <c r="U45" s="368"/>
      <c r="V45" s="368"/>
    </row>
    <row r="46" spans="1:22" ht="15">
      <c r="A46" s="88"/>
      <c r="B46" s="88"/>
      <c r="C46" s="88"/>
      <c r="D46" s="88"/>
      <c r="E46" s="88"/>
      <c r="F46" s="88"/>
      <c r="G46" s="88"/>
      <c r="H46" s="88"/>
      <c r="I46" s="88"/>
      <c r="J46" s="88"/>
      <c r="K46" s="88"/>
      <c r="L46" s="88"/>
      <c r="M46" s="88"/>
      <c r="N46" s="88"/>
      <c r="O46" s="88"/>
      <c r="P46" s="88"/>
      <c r="Q46" s="368"/>
      <c r="R46" s="368"/>
      <c r="S46" s="368"/>
      <c r="T46" s="368"/>
      <c r="U46" s="368"/>
      <c r="V46" s="368"/>
    </row>
    <row r="47" spans="1:22" ht="15">
      <c r="A47" s="88" t="s">
        <v>407</v>
      </c>
      <c r="B47" s="88"/>
      <c r="C47" s="88"/>
      <c r="D47" s="88"/>
      <c r="E47" s="88"/>
      <c r="F47" s="88"/>
      <c r="G47" s="88"/>
      <c r="H47" s="88"/>
      <c r="I47" s="88"/>
      <c r="J47" s="88"/>
      <c r="K47" s="88"/>
      <c r="L47" s="88"/>
      <c r="M47" s="88"/>
      <c r="N47" s="88"/>
      <c r="O47" s="88"/>
      <c r="P47" s="88"/>
      <c r="Q47" s="368"/>
      <c r="R47" s="368"/>
      <c r="S47" s="368"/>
      <c r="T47" s="368"/>
      <c r="U47" s="368"/>
      <c r="V47" s="368"/>
    </row>
    <row r="48" spans="1:22" ht="15">
      <c r="A48" s="89"/>
      <c r="B48" s="89"/>
      <c r="C48" s="89"/>
      <c r="D48" s="89"/>
      <c r="E48" s="89"/>
      <c r="F48" s="89"/>
      <c r="G48" s="89"/>
      <c r="H48" s="89"/>
      <c r="I48" s="89"/>
      <c r="J48" s="89"/>
      <c r="K48" s="89"/>
      <c r="L48" s="89"/>
      <c r="M48" s="89"/>
      <c r="N48" s="89"/>
      <c r="O48" s="89"/>
      <c r="P48" s="89"/>
      <c r="Q48" s="368"/>
      <c r="R48" s="368"/>
      <c r="S48" s="368"/>
      <c r="T48" s="368"/>
      <c r="U48" s="368"/>
      <c r="V48" s="368"/>
    </row>
    <row r="49" spans="1:22" ht="15">
      <c r="A49" s="89"/>
      <c r="B49" s="89"/>
      <c r="C49" s="89"/>
      <c r="D49" s="89"/>
      <c r="E49" s="89"/>
      <c r="F49" s="89"/>
      <c r="G49" s="89"/>
      <c r="H49" s="89"/>
      <c r="I49" s="89"/>
      <c r="J49" s="89"/>
      <c r="K49" s="89"/>
      <c r="L49" s="89"/>
      <c r="M49" s="89"/>
      <c r="N49" s="89"/>
      <c r="O49" s="89"/>
      <c r="P49" s="89"/>
      <c r="Q49" s="368"/>
      <c r="R49" s="368"/>
      <c r="S49" s="368"/>
      <c r="T49" s="368"/>
      <c r="U49" s="368"/>
      <c r="V49" s="368"/>
    </row>
    <row r="50" spans="1:16" ht="15">
      <c r="A50" s="89" t="s">
        <v>322</v>
      </c>
      <c r="B50" s="89"/>
      <c r="C50" s="89"/>
      <c r="D50" s="89"/>
      <c r="E50" s="89"/>
      <c r="F50" s="89"/>
      <c r="G50" s="89"/>
      <c r="H50" s="89"/>
      <c r="I50" s="89"/>
      <c r="J50" s="89"/>
      <c r="K50" s="89"/>
      <c r="L50" s="89"/>
      <c r="M50" s="89"/>
      <c r="N50" s="89"/>
      <c r="O50" s="89"/>
      <c r="P50" s="89"/>
    </row>
    <row r="51" spans="1:16" ht="15">
      <c r="A51" s="89"/>
      <c r="B51" s="89"/>
      <c r="C51" s="89"/>
      <c r="D51" s="89"/>
      <c r="E51" s="89"/>
      <c r="F51" s="89"/>
      <c r="G51" s="89"/>
      <c r="H51" s="89"/>
      <c r="I51" s="89"/>
      <c r="J51" s="89"/>
      <c r="K51" s="89"/>
      <c r="L51" s="89"/>
      <c r="M51" s="89"/>
      <c r="N51" s="89"/>
      <c r="O51" s="89"/>
      <c r="P51" s="89"/>
    </row>
    <row r="52" spans="1:16" ht="30" customHeight="1">
      <c r="A52" s="594" t="s">
        <v>346</v>
      </c>
      <c r="B52" s="594"/>
      <c r="C52" s="594"/>
      <c r="D52" s="594"/>
      <c r="E52" s="594"/>
      <c r="F52" s="594"/>
      <c r="G52" s="594"/>
      <c r="H52" s="594"/>
      <c r="I52" s="594"/>
      <c r="J52" s="594"/>
      <c r="K52" s="594"/>
      <c r="L52" s="594"/>
      <c r="M52" s="594"/>
      <c r="N52" s="594"/>
      <c r="O52" s="594"/>
      <c r="P52" s="594"/>
    </row>
    <row r="53" spans="1:16" ht="15">
      <c r="A53" s="89"/>
      <c r="B53" s="89"/>
      <c r="C53" s="89"/>
      <c r="D53" s="89"/>
      <c r="E53" s="89"/>
      <c r="F53" s="89"/>
      <c r="G53" s="89"/>
      <c r="H53" s="89"/>
      <c r="I53" s="89"/>
      <c r="J53" s="89"/>
      <c r="K53" s="89"/>
      <c r="L53" s="89"/>
      <c r="M53" s="89"/>
      <c r="N53" s="89"/>
      <c r="O53" s="89"/>
      <c r="P53" s="89"/>
    </row>
    <row r="54" spans="1:14" ht="15">
      <c r="A54" s="89"/>
      <c r="B54" s="89"/>
      <c r="C54" s="89"/>
      <c r="F54" s="88" t="s">
        <v>466</v>
      </c>
      <c r="G54" s="88"/>
      <c r="H54" s="88"/>
      <c r="I54" s="89"/>
      <c r="J54" s="88" t="s">
        <v>467</v>
      </c>
      <c r="K54" s="88"/>
      <c r="L54" s="88"/>
      <c r="M54" s="89"/>
      <c r="N54" s="89"/>
    </row>
    <row r="55" spans="2:14" ht="15">
      <c r="B55" s="89"/>
      <c r="C55" s="89"/>
      <c r="F55" s="88" t="s">
        <v>0</v>
      </c>
      <c r="G55" s="88"/>
      <c r="H55" s="88"/>
      <c r="I55" s="89"/>
      <c r="J55" s="88" t="s">
        <v>396</v>
      </c>
      <c r="K55" s="88"/>
      <c r="L55" s="88"/>
      <c r="M55" s="89"/>
      <c r="N55" s="89"/>
    </row>
    <row r="56" spans="2:14" ht="15">
      <c r="B56" s="88" t="s">
        <v>375</v>
      </c>
      <c r="C56" s="88"/>
      <c r="D56" s="87"/>
      <c r="F56" s="90" t="s">
        <v>377</v>
      </c>
      <c r="G56" s="90"/>
      <c r="H56" s="90" t="s">
        <v>398</v>
      </c>
      <c r="I56" s="91"/>
      <c r="J56" s="90" t="s">
        <v>377</v>
      </c>
      <c r="K56" s="90"/>
      <c r="L56" s="90" t="s">
        <v>398</v>
      </c>
      <c r="M56" s="91"/>
      <c r="N56" s="91" t="s">
        <v>377</v>
      </c>
    </row>
    <row r="57" spans="2:25" ht="15">
      <c r="B57" s="88" t="s">
        <v>378</v>
      </c>
      <c r="C57" s="88"/>
      <c r="D57" s="87"/>
      <c r="F57" s="91" t="s">
        <v>469</v>
      </c>
      <c r="G57" s="91"/>
      <c r="H57" s="91" t="s">
        <v>379</v>
      </c>
      <c r="I57" s="91"/>
      <c r="J57" s="91" t="s">
        <v>470</v>
      </c>
      <c r="K57" s="91"/>
      <c r="L57" s="91" t="s">
        <v>379</v>
      </c>
      <c r="M57" s="91"/>
      <c r="N57" s="91" t="s">
        <v>379</v>
      </c>
      <c r="Y57" s="184" t="s">
        <v>377</v>
      </c>
    </row>
    <row r="58" spans="2:25" ht="15">
      <c r="B58" s="92" t="s">
        <v>380</v>
      </c>
      <c r="C58" s="92"/>
      <c r="D58" s="99"/>
      <c r="F58" s="90" t="s">
        <v>400</v>
      </c>
      <c r="G58" s="89"/>
      <c r="H58" s="93" t="s">
        <v>471</v>
      </c>
      <c r="I58" s="89"/>
      <c r="J58" s="90" t="s">
        <v>402</v>
      </c>
      <c r="K58" s="89"/>
      <c r="L58" s="93" t="s">
        <v>472</v>
      </c>
      <c r="M58" s="89"/>
      <c r="N58" s="90" t="s">
        <v>404</v>
      </c>
      <c r="S58" s="184" t="s">
        <v>365</v>
      </c>
      <c r="T58" s="281">
        <f>+H59</f>
        <v>0.2145</v>
      </c>
      <c r="U58" s="184" t="s">
        <v>366</v>
      </c>
      <c r="V58" s="281">
        <f>+L59</f>
        <v>0.7855</v>
      </c>
      <c r="Y58" s="184" t="s">
        <v>379</v>
      </c>
    </row>
    <row r="59" spans="2:14" ht="15">
      <c r="B59" s="89"/>
      <c r="C59" s="89"/>
      <c r="F59" s="94"/>
      <c r="G59" s="94"/>
      <c r="H59" s="94">
        <f>N77</f>
        <v>0.2145</v>
      </c>
      <c r="I59" s="94"/>
      <c r="J59" s="94"/>
      <c r="K59" s="94"/>
      <c r="L59" s="94">
        <f>N79</f>
        <v>0.7855</v>
      </c>
      <c r="M59" s="94"/>
      <c r="N59" s="95"/>
    </row>
    <row r="60" spans="2:25" ht="15">
      <c r="B60" s="89"/>
      <c r="C60" s="89"/>
      <c r="F60" s="89"/>
      <c r="G60" s="89"/>
      <c r="H60" s="89"/>
      <c r="I60" s="89"/>
      <c r="J60" s="89"/>
      <c r="K60" s="89"/>
      <c r="L60" s="89"/>
      <c r="M60" s="89"/>
      <c r="N60" s="89"/>
      <c r="R60" s="94" t="s">
        <v>477</v>
      </c>
      <c r="S60" s="184">
        <f>+'F 3-4'!F17-'F 3-4'!F24-'F 3-4'!F25</f>
        <v>0.5502</v>
      </c>
      <c r="T60" s="320">
        <f>ROUND(S60*$H$59,4)</f>
        <v>0.118</v>
      </c>
      <c r="U60" s="322">
        <f>+'F 3-4'!H47-'F 3-4'!H54-'F 3-4'!H55</f>
        <v>0.3455</v>
      </c>
      <c r="V60" s="320">
        <f>ROUND(U60*$L$59,4)</f>
        <v>0.2714</v>
      </c>
      <c r="X60" s="320"/>
      <c r="Y60" s="281">
        <f>T60+V60+X60-0</f>
        <v>0.38939999999999997</v>
      </c>
    </row>
    <row r="61" spans="2:25" ht="15">
      <c r="B61" s="89" t="s">
        <v>383</v>
      </c>
      <c r="C61" s="89"/>
      <c r="F61" s="94">
        <f>'F 3-4'!$P$19</f>
        <v>0.45699999999999996</v>
      </c>
      <c r="G61" s="94"/>
      <c r="H61" s="94">
        <f>ROUND($H$59*F61,4)-0.0001</f>
        <v>0.0979</v>
      </c>
      <c r="I61" s="94"/>
      <c r="J61" s="94">
        <f>+'F 3-4'!R49</f>
        <v>0.4516</v>
      </c>
      <c r="K61" s="94"/>
      <c r="L61" s="94">
        <f>ROUND($L$59*J61,4)</f>
        <v>0.3547</v>
      </c>
      <c r="M61" s="94"/>
      <c r="N61" s="94">
        <f aca="true" t="shared" si="5" ref="N61:N67">H61+L61</f>
        <v>0.4526</v>
      </c>
      <c r="R61" s="94" t="s">
        <v>478</v>
      </c>
      <c r="S61" s="184">
        <f>+'F 3-4'!J17</f>
        <v>0.3596</v>
      </c>
      <c r="T61" s="320">
        <f>ROUND(S61*$H$59,4)</f>
        <v>0.0771</v>
      </c>
      <c r="U61" s="322"/>
      <c r="V61" s="320">
        <f>ROUND(U61*$L$59,4)</f>
        <v>0</v>
      </c>
      <c r="X61" s="320"/>
      <c r="Y61" s="320">
        <f>T61+V61+X61</f>
        <v>0.0771</v>
      </c>
    </row>
    <row r="62" spans="2:25" ht="15">
      <c r="B62" s="89" t="s">
        <v>384</v>
      </c>
      <c r="C62" s="89"/>
      <c r="F62" s="94">
        <f>'F 3-4'!$P$20</f>
        <v>0.2797</v>
      </c>
      <c r="G62" s="94"/>
      <c r="H62" s="94">
        <f aca="true" t="shared" si="6" ref="H62:H67">ROUND($H$59*F62,4)</f>
        <v>0.06</v>
      </c>
      <c r="I62" s="94"/>
      <c r="J62" s="94">
        <f>+'F 3-4'!R50</f>
        <v>0.2724</v>
      </c>
      <c r="K62" s="94"/>
      <c r="L62" s="94">
        <f aca="true" t="shared" si="7" ref="L62:L67">ROUND($L$59*J62,4)</f>
        <v>0.214</v>
      </c>
      <c r="M62" s="94"/>
      <c r="N62" s="94">
        <f t="shared" si="5"/>
        <v>0.274</v>
      </c>
      <c r="R62" s="94" t="s">
        <v>479</v>
      </c>
      <c r="S62" s="184">
        <f>'F 3B 4B'!I18</f>
        <v>0</v>
      </c>
      <c r="T62" s="320">
        <f>ROUND(S62*$H$59,4)</f>
        <v>0</v>
      </c>
      <c r="U62" s="322">
        <f>+'F 3-4'!L47</f>
        <v>0.5212</v>
      </c>
      <c r="V62" s="320">
        <f>ROUND(U62*$L$59,4)</f>
        <v>0.4094</v>
      </c>
      <c r="X62" s="320"/>
      <c r="Y62" s="320">
        <f>T62+V62+X62</f>
        <v>0.4094</v>
      </c>
    </row>
    <row r="63" spans="2:25" ht="15">
      <c r="B63" s="89" t="s">
        <v>385</v>
      </c>
      <c r="C63" s="89"/>
      <c r="F63" s="94">
        <f>'F 3-4'!$P$21</f>
        <v>0.0349</v>
      </c>
      <c r="G63" s="94"/>
      <c r="H63" s="94">
        <f t="shared" si="6"/>
        <v>0.0075</v>
      </c>
      <c r="I63" s="94"/>
      <c r="J63" s="94">
        <f>+'F 3-4'!R51</f>
        <v>0.0302</v>
      </c>
      <c r="K63" s="94"/>
      <c r="L63" s="94">
        <f t="shared" si="7"/>
        <v>0.0237</v>
      </c>
      <c r="M63" s="94"/>
      <c r="N63" s="94">
        <f t="shared" si="5"/>
        <v>0.0312</v>
      </c>
      <c r="R63" s="94" t="s">
        <v>480</v>
      </c>
      <c r="S63" s="320">
        <f>+'F 3-4'!P24</f>
        <v>0.0405</v>
      </c>
      <c r="T63" s="320">
        <f>ROUND(S63*$H$59,4)</f>
        <v>0.0087</v>
      </c>
      <c r="U63" s="322">
        <f>+'F 3-4'!R54</f>
        <v>0.0598</v>
      </c>
      <c r="V63" s="320">
        <f>ROUND(U63*$L$59,4)</f>
        <v>0.047</v>
      </c>
      <c r="X63" s="320"/>
      <c r="Y63" s="320">
        <f>T63+V63+X63</f>
        <v>0.0557</v>
      </c>
    </row>
    <row r="64" spans="2:25" ht="15">
      <c r="B64" s="89" t="s">
        <v>387</v>
      </c>
      <c r="C64" s="89"/>
      <c r="F64" s="94">
        <f>'F 3-4'!$P$22</f>
        <v>0.10669999999999999</v>
      </c>
      <c r="G64" s="94"/>
      <c r="H64" s="94">
        <f t="shared" si="6"/>
        <v>0.0229</v>
      </c>
      <c r="I64" s="94"/>
      <c r="J64" s="94">
        <f>+'F 3-4'!R52</f>
        <v>0.0882</v>
      </c>
      <c r="K64" s="94"/>
      <c r="L64" s="94">
        <f t="shared" si="7"/>
        <v>0.0693</v>
      </c>
      <c r="M64" s="94"/>
      <c r="N64" s="94">
        <f t="shared" si="5"/>
        <v>0.0922</v>
      </c>
      <c r="R64" s="94" t="s">
        <v>481</v>
      </c>
      <c r="S64" s="320">
        <f>+'F 3-4'!P25</f>
        <v>0.0497</v>
      </c>
      <c r="T64" s="320">
        <f>ROUND(S64*$H$59,4)</f>
        <v>0.0107</v>
      </c>
      <c r="U64" s="322">
        <f>+'F 3-4'!R55</f>
        <v>0.07350000000000001</v>
      </c>
      <c r="V64" s="320">
        <f>ROUND(U64*$L$59,4)</f>
        <v>0.0577</v>
      </c>
      <c r="X64" s="320"/>
      <c r="Y64" s="320">
        <f>T64+V64+X64</f>
        <v>0.0684</v>
      </c>
    </row>
    <row r="65" spans="2:25" ht="15">
      <c r="B65" s="89" t="s">
        <v>508</v>
      </c>
      <c r="C65" s="89"/>
      <c r="F65" s="94">
        <f>'F 3-4'!$P$23</f>
        <v>0.0315</v>
      </c>
      <c r="G65" s="94"/>
      <c r="H65" s="94">
        <f t="shared" si="6"/>
        <v>0.0068</v>
      </c>
      <c r="I65" s="94"/>
      <c r="J65" s="94">
        <f>+'F 3-4'!R53</f>
        <v>0.024300000000000002</v>
      </c>
      <c r="K65" s="94"/>
      <c r="L65" s="94">
        <f t="shared" si="7"/>
        <v>0.0191</v>
      </c>
      <c r="M65" s="94"/>
      <c r="N65" s="94">
        <f t="shared" si="5"/>
        <v>0.0259</v>
      </c>
      <c r="R65" s="94"/>
      <c r="U65" s="322"/>
      <c r="V65" s="320"/>
      <c r="X65" s="320"/>
      <c r="Y65" s="320"/>
    </row>
    <row r="66" spans="2:25" ht="15">
      <c r="B66" s="89" t="s">
        <v>389</v>
      </c>
      <c r="C66" s="89"/>
      <c r="F66" s="94">
        <f>'F 3-4'!$P$24</f>
        <v>0.0405</v>
      </c>
      <c r="G66" s="94"/>
      <c r="H66" s="94">
        <f t="shared" si="6"/>
        <v>0.0087</v>
      </c>
      <c r="I66" s="94"/>
      <c r="J66" s="94">
        <f>+'F 3-4'!R54</f>
        <v>0.0598</v>
      </c>
      <c r="K66" s="94"/>
      <c r="L66" s="94">
        <f t="shared" si="7"/>
        <v>0.047</v>
      </c>
      <c r="M66" s="94"/>
      <c r="N66" s="94">
        <f t="shared" si="5"/>
        <v>0.0557</v>
      </c>
      <c r="R66" s="94"/>
      <c r="S66" s="320">
        <f>SUM(S60:S65)</f>
        <v>0.9999999999999999</v>
      </c>
      <c r="T66" s="320">
        <f>SUM(T60:T65)</f>
        <v>0.21449999999999997</v>
      </c>
      <c r="U66" s="324">
        <f>SUM(U60:U65)</f>
        <v>1</v>
      </c>
      <c r="V66" s="320">
        <f>SUM(V60:V65)</f>
        <v>0.7855</v>
      </c>
      <c r="W66" s="320"/>
      <c r="X66" s="320"/>
      <c r="Y66" s="320">
        <f>SUM(Y60:Y65)</f>
        <v>0.9999999999999999</v>
      </c>
    </row>
    <row r="67" spans="2:14" ht="15">
      <c r="B67" s="89" t="s">
        <v>390</v>
      </c>
      <c r="C67" s="89"/>
      <c r="F67" s="94">
        <f>'F 3-4'!$P$25</f>
        <v>0.0497</v>
      </c>
      <c r="G67" s="94"/>
      <c r="H67" s="94">
        <f t="shared" si="6"/>
        <v>0.0107</v>
      </c>
      <c r="I67" s="94"/>
      <c r="J67" s="94">
        <f>+'F 3-4'!R55</f>
        <v>0.07350000000000001</v>
      </c>
      <c r="K67" s="94"/>
      <c r="L67" s="94">
        <f t="shared" si="7"/>
        <v>0.0577</v>
      </c>
      <c r="M67" s="94"/>
      <c r="N67" s="94">
        <f t="shared" si="5"/>
        <v>0.0684</v>
      </c>
    </row>
    <row r="68" spans="2:14" ht="15">
      <c r="B68" s="89"/>
      <c r="C68" s="89"/>
      <c r="F68" s="96"/>
      <c r="G68" s="94"/>
      <c r="H68" s="96"/>
      <c r="I68" s="94"/>
      <c r="J68" s="96"/>
      <c r="K68" s="94"/>
      <c r="L68" s="96"/>
      <c r="M68" s="94"/>
      <c r="N68" s="96"/>
    </row>
    <row r="69" spans="2:14" ht="15.75" thickBot="1">
      <c r="B69" s="89" t="s">
        <v>391</v>
      </c>
      <c r="C69" s="89"/>
      <c r="F69" s="94">
        <f>SUM(F61:F68)</f>
        <v>0.9999999999999999</v>
      </c>
      <c r="G69" s="94"/>
      <c r="H69" s="94">
        <f>SUM(H61:H68)</f>
        <v>0.21449999999999997</v>
      </c>
      <c r="I69" s="94"/>
      <c r="J69" s="186">
        <f>SUM(J61:J68)</f>
        <v>1</v>
      </c>
      <c r="K69" s="94"/>
      <c r="L69" s="94">
        <f>SUM(L61:L68)</f>
        <v>0.7855000000000001</v>
      </c>
      <c r="M69" s="94"/>
      <c r="N69" s="94">
        <f>SUM(N61:N68)</f>
        <v>1</v>
      </c>
    </row>
    <row r="70" spans="1:14" ht="15.75" thickTop="1">
      <c r="A70" s="89"/>
      <c r="B70" s="89"/>
      <c r="C70" s="89"/>
      <c r="F70" s="97"/>
      <c r="G70" s="89"/>
      <c r="H70" s="97"/>
      <c r="I70" s="89"/>
      <c r="J70" s="185"/>
      <c r="K70" s="89"/>
      <c r="L70" s="97"/>
      <c r="M70" s="89"/>
      <c r="N70" s="97"/>
    </row>
    <row r="71" spans="1:16" ht="15">
      <c r="A71" s="89"/>
      <c r="B71" s="89"/>
      <c r="C71" s="89"/>
      <c r="D71" s="89"/>
      <c r="E71" s="89"/>
      <c r="F71" s="89"/>
      <c r="G71" s="89"/>
      <c r="H71" s="89"/>
      <c r="I71" s="89"/>
      <c r="J71" s="89"/>
      <c r="K71" s="89"/>
      <c r="L71" s="89"/>
      <c r="M71" s="89"/>
      <c r="N71" s="89"/>
      <c r="O71" s="89"/>
      <c r="P71" s="89"/>
    </row>
    <row r="72" spans="1:20" ht="29.25" customHeight="1">
      <c r="A72" s="594" t="s">
        <v>489</v>
      </c>
      <c r="B72" s="594"/>
      <c r="C72" s="594"/>
      <c r="D72" s="594"/>
      <c r="E72" s="594"/>
      <c r="F72" s="594"/>
      <c r="G72" s="594"/>
      <c r="H72" s="594"/>
      <c r="I72" s="594"/>
      <c r="J72" s="594"/>
      <c r="K72" s="594"/>
      <c r="L72" s="594"/>
      <c r="M72" s="594"/>
      <c r="N72" s="594"/>
      <c r="O72" s="594"/>
      <c r="P72" s="594"/>
      <c r="R72" s="368"/>
      <c r="S72" s="368"/>
      <c r="T72" s="368"/>
    </row>
    <row r="73" spans="1:21" ht="15">
      <c r="A73" s="89"/>
      <c r="B73" s="89"/>
      <c r="C73" s="89"/>
      <c r="D73" s="89"/>
      <c r="E73" s="89"/>
      <c r="F73" s="89"/>
      <c r="G73" s="89"/>
      <c r="H73" s="89"/>
      <c r="I73" s="89"/>
      <c r="J73" s="89"/>
      <c r="K73" s="89"/>
      <c r="L73" s="89"/>
      <c r="M73" s="89"/>
      <c r="N73" s="89"/>
      <c r="O73" s="89"/>
      <c r="P73" s="89"/>
      <c r="R73" s="435"/>
      <c r="S73" s="369"/>
      <c r="T73" s="137"/>
      <c r="U73" s="137"/>
    </row>
    <row r="74" spans="1:21" ht="15">
      <c r="A74" s="89"/>
      <c r="B74" s="89"/>
      <c r="C74" s="89"/>
      <c r="D74" s="89"/>
      <c r="E74" s="89"/>
      <c r="G74" s="91"/>
      <c r="H74" s="91" t="s">
        <v>490</v>
      </c>
      <c r="I74" s="91"/>
      <c r="K74" s="91"/>
      <c r="L74" s="91"/>
      <c r="M74" s="91"/>
      <c r="N74" s="91"/>
      <c r="O74" s="89"/>
      <c r="P74" s="89"/>
      <c r="R74" s="435"/>
      <c r="S74" s="137"/>
      <c r="T74" s="137"/>
      <c r="U74" s="137"/>
    </row>
    <row r="75" spans="1:21" ht="15">
      <c r="A75" s="89"/>
      <c r="B75" s="89"/>
      <c r="C75" s="89"/>
      <c r="D75" s="89"/>
      <c r="E75" s="89"/>
      <c r="G75" s="91"/>
      <c r="H75" s="91" t="s">
        <v>491</v>
      </c>
      <c r="I75" s="91"/>
      <c r="K75" s="91"/>
      <c r="L75" s="91"/>
      <c r="M75" s="91"/>
      <c r="N75" s="91" t="s">
        <v>418</v>
      </c>
      <c r="O75" s="89"/>
      <c r="P75" s="89"/>
      <c r="R75" s="435"/>
      <c r="S75" s="373"/>
      <c r="T75" s="373"/>
      <c r="U75" s="373"/>
    </row>
    <row r="76" spans="1:21" ht="15">
      <c r="A76" s="89"/>
      <c r="B76" s="89"/>
      <c r="C76" s="89"/>
      <c r="D76" s="89"/>
      <c r="E76" s="89"/>
      <c r="G76" s="89"/>
      <c r="H76" s="360"/>
      <c r="I76" s="89"/>
      <c r="K76" s="89"/>
      <c r="L76" s="89"/>
      <c r="M76" s="89"/>
      <c r="N76" s="98"/>
      <c r="O76" s="89"/>
      <c r="P76" s="89"/>
      <c r="R76" s="435"/>
      <c r="S76" s="373"/>
      <c r="T76" s="373"/>
      <c r="U76" s="373"/>
    </row>
    <row r="77" spans="1:21" ht="15">
      <c r="A77" s="89" t="s">
        <v>492</v>
      </c>
      <c r="C77" s="89"/>
      <c r="D77" s="89"/>
      <c r="E77" s="89"/>
      <c r="G77" s="89"/>
      <c r="H77" s="323">
        <v>2249898</v>
      </c>
      <c r="I77" s="89"/>
      <c r="K77" s="89"/>
      <c r="L77" s="89"/>
      <c r="M77" s="89"/>
      <c r="N77" s="94">
        <f>ROUND(H77/H81,4)</f>
        <v>0.2145</v>
      </c>
      <c r="O77" s="89"/>
      <c r="P77" s="89"/>
      <c r="R77" s="435"/>
      <c r="S77" s="373"/>
      <c r="T77" s="373"/>
      <c r="U77" s="373"/>
    </row>
    <row r="78" spans="1:21" ht="15">
      <c r="A78" s="89"/>
      <c r="C78" s="89"/>
      <c r="D78" s="89"/>
      <c r="E78" s="89"/>
      <c r="G78" s="89"/>
      <c r="H78" s="323"/>
      <c r="I78" s="89"/>
      <c r="K78" s="89"/>
      <c r="L78" s="89"/>
      <c r="M78" s="89"/>
      <c r="N78" s="94"/>
      <c r="O78" s="89"/>
      <c r="P78" s="89"/>
      <c r="R78" s="435"/>
      <c r="S78" s="373"/>
      <c r="T78" s="373"/>
      <c r="U78" s="373"/>
    </row>
    <row r="79" spans="1:21" ht="15">
      <c r="A79" s="89" t="s">
        <v>493</v>
      </c>
      <c r="C79" s="89"/>
      <c r="D79" s="89"/>
      <c r="E79" s="89"/>
      <c r="G79" s="89"/>
      <c r="H79" s="323">
        <v>8237457.9</v>
      </c>
      <c r="I79" s="89"/>
      <c r="K79" s="89"/>
      <c r="L79" s="89"/>
      <c r="M79" s="89"/>
      <c r="N79" s="94">
        <f>ROUND(H79/H81,4)</f>
        <v>0.7855</v>
      </c>
      <c r="O79" s="89"/>
      <c r="P79" s="89"/>
      <c r="R79" s="435"/>
      <c r="S79" s="373"/>
      <c r="T79" s="373"/>
      <c r="U79" s="373"/>
    </row>
    <row r="80" spans="1:21" ht="15">
      <c r="A80" s="89"/>
      <c r="B80" s="89"/>
      <c r="C80" s="89"/>
      <c r="D80" s="89"/>
      <c r="E80" s="89"/>
      <c r="G80" s="89"/>
      <c r="H80" s="365"/>
      <c r="I80" s="89"/>
      <c r="K80" s="89"/>
      <c r="L80" s="89"/>
      <c r="M80" s="89"/>
      <c r="N80" s="96"/>
      <c r="O80" s="89"/>
      <c r="P80" s="89"/>
      <c r="R80" s="435"/>
      <c r="S80" s="373"/>
      <c r="T80" s="373"/>
      <c r="U80" s="373"/>
    </row>
    <row r="81" spans="1:21" ht="15.75" thickBot="1">
      <c r="A81" s="89"/>
      <c r="B81" s="89" t="s">
        <v>488</v>
      </c>
      <c r="C81" s="89"/>
      <c r="D81" s="89"/>
      <c r="E81" s="89"/>
      <c r="G81" s="89"/>
      <c r="H81" s="366">
        <f>SUM(H77:H80)</f>
        <v>10487355.9</v>
      </c>
      <c r="I81" s="89"/>
      <c r="K81" s="89"/>
      <c r="L81" s="89"/>
      <c r="M81" s="89"/>
      <c r="N81" s="94">
        <f>SUM(N77:N80)</f>
        <v>1</v>
      </c>
      <c r="O81" s="89"/>
      <c r="P81" s="89"/>
      <c r="R81" s="435"/>
      <c r="S81" s="373"/>
      <c r="T81" s="373"/>
      <c r="U81" s="373"/>
    </row>
    <row r="82" spans="1:21" ht="15.75" thickTop="1">
      <c r="A82" s="89"/>
      <c r="B82" s="89"/>
      <c r="C82" s="89"/>
      <c r="D82" s="89"/>
      <c r="E82" s="89"/>
      <c r="F82" s="89"/>
      <c r="G82" s="89"/>
      <c r="H82" s="185"/>
      <c r="I82" s="89"/>
      <c r="J82" s="89"/>
      <c r="K82" s="89"/>
      <c r="L82" s="89"/>
      <c r="M82" s="89"/>
      <c r="N82" s="97"/>
      <c r="O82" s="89"/>
      <c r="P82" s="89"/>
      <c r="R82" s="435"/>
      <c r="S82" s="373"/>
      <c r="T82" s="373"/>
      <c r="U82" s="373"/>
    </row>
    <row r="83" spans="1:21" ht="15">
      <c r="A83" s="89"/>
      <c r="B83" s="89"/>
      <c r="C83" s="89"/>
      <c r="D83" s="89"/>
      <c r="E83" s="89"/>
      <c r="F83" s="89"/>
      <c r="G83" s="89"/>
      <c r="H83" s="323"/>
      <c r="I83" s="89"/>
      <c r="J83" s="89"/>
      <c r="K83" s="89"/>
      <c r="L83" s="89"/>
      <c r="M83" s="89"/>
      <c r="N83" s="89"/>
      <c r="O83" s="89"/>
      <c r="P83" s="89"/>
      <c r="R83" s="435"/>
      <c r="S83" s="373"/>
      <c r="T83" s="373"/>
      <c r="U83" s="373"/>
    </row>
    <row r="84" spans="18:21" ht="15">
      <c r="R84" s="137"/>
      <c r="S84" s="373"/>
      <c r="T84" s="373"/>
      <c r="U84" s="373"/>
    </row>
    <row r="85" spans="18:21" ht="15">
      <c r="R85" s="137"/>
      <c r="S85" s="373"/>
      <c r="T85" s="373"/>
      <c r="U85" s="373"/>
    </row>
    <row r="86" spans="18:21" ht="15">
      <c r="R86" s="137"/>
      <c r="S86" s="373"/>
      <c r="T86" s="373"/>
      <c r="U86" s="373"/>
    </row>
    <row r="87" spans="18:21" ht="15">
      <c r="R87" s="137"/>
      <c r="S87" s="373"/>
      <c r="T87" s="373"/>
      <c r="U87" s="373"/>
    </row>
    <row r="88" spans="18:21" ht="15">
      <c r="R88" s="137"/>
      <c r="S88" s="373"/>
      <c r="T88" s="373"/>
      <c r="U88" s="373"/>
    </row>
    <row r="89" spans="18:21" ht="15">
      <c r="R89" s="137"/>
      <c r="S89" s="373"/>
      <c r="T89" s="373"/>
      <c r="U89" s="373"/>
    </row>
    <row r="90" spans="18:21" ht="15">
      <c r="R90" s="137"/>
      <c r="S90" s="373"/>
      <c r="T90" s="373"/>
      <c r="U90" s="373"/>
    </row>
    <row r="91" spans="18:21" ht="15">
      <c r="R91" s="137"/>
      <c r="S91" s="373"/>
      <c r="T91" s="373"/>
      <c r="U91" s="373"/>
    </row>
    <row r="92" spans="18:21" ht="15">
      <c r="R92" s="137"/>
      <c r="S92" s="373"/>
      <c r="T92" s="373"/>
      <c r="U92" s="373"/>
    </row>
    <row r="93" spans="18:21" ht="15">
      <c r="R93" s="137"/>
      <c r="S93" s="373"/>
      <c r="T93" s="373"/>
      <c r="U93" s="373"/>
    </row>
    <row r="94" spans="18:21" ht="15">
      <c r="R94" s="137"/>
      <c r="S94" s="373"/>
      <c r="T94" s="373"/>
      <c r="U94" s="373"/>
    </row>
    <row r="95" spans="18:21" ht="15">
      <c r="R95" s="137"/>
      <c r="S95" s="373"/>
      <c r="T95" s="373"/>
      <c r="U95" s="373"/>
    </row>
    <row r="96" spans="18:21" ht="15">
      <c r="R96" s="137"/>
      <c r="S96" s="373"/>
      <c r="T96" s="373"/>
      <c r="U96" s="373"/>
    </row>
    <row r="97" spans="18:21" ht="15">
      <c r="R97" s="137"/>
      <c r="S97" s="373"/>
      <c r="T97" s="373"/>
      <c r="U97" s="373"/>
    </row>
    <row r="98" spans="18:21" ht="15">
      <c r="R98" s="137"/>
      <c r="S98" s="373"/>
      <c r="T98" s="373"/>
      <c r="U98" s="373"/>
    </row>
    <row r="99" spans="18:21" ht="15">
      <c r="R99" s="137"/>
      <c r="S99" s="373"/>
      <c r="T99" s="373"/>
      <c r="U99" s="373"/>
    </row>
    <row r="100" spans="18:21" ht="15">
      <c r="R100" s="137"/>
      <c r="S100" s="373"/>
      <c r="T100" s="373"/>
      <c r="U100" s="373"/>
    </row>
    <row r="101" spans="18:21" ht="15">
      <c r="R101" s="137"/>
      <c r="S101" s="373"/>
      <c r="T101" s="373"/>
      <c r="U101" s="373"/>
    </row>
    <row r="102" spans="18:21" ht="15">
      <c r="R102" s="137"/>
      <c r="S102" s="373"/>
      <c r="T102" s="373"/>
      <c r="U102" s="373"/>
    </row>
    <row r="103" spans="18:21" ht="15">
      <c r="R103" s="137"/>
      <c r="S103" s="373"/>
      <c r="T103" s="373"/>
      <c r="U103" s="373"/>
    </row>
    <row r="104" spans="18:21" ht="15">
      <c r="R104" s="497"/>
      <c r="S104" s="373"/>
      <c r="T104" s="373"/>
      <c r="U104" s="373"/>
    </row>
    <row r="105" spans="18:21" ht="15">
      <c r="R105" s="137"/>
      <c r="S105" s="373"/>
      <c r="T105" s="373"/>
      <c r="U105" s="373"/>
    </row>
    <row r="106" spans="18:21" ht="15">
      <c r="R106" s="137"/>
      <c r="S106" s="373"/>
      <c r="T106" s="373"/>
      <c r="U106" s="373"/>
    </row>
    <row r="107" spans="18:21" ht="15">
      <c r="R107" s="137"/>
      <c r="S107" s="373"/>
      <c r="T107" s="373"/>
      <c r="U107" s="373"/>
    </row>
    <row r="108" spans="18:21" ht="15">
      <c r="R108" s="137"/>
      <c r="S108" s="373"/>
      <c r="T108" s="373"/>
      <c r="U108" s="373"/>
    </row>
    <row r="109" spans="18:21" ht="15">
      <c r="R109" s="137"/>
      <c r="S109" s="373"/>
      <c r="T109" s="373"/>
      <c r="U109" s="373"/>
    </row>
    <row r="110" spans="18:21" ht="15">
      <c r="R110" s="137"/>
      <c r="S110" s="373"/>
      <c r="T110" s="373"/>
      <c r="U110" s="373"/>
    </row>
    <row r="111" spans="18:21" ht="15">
      <c r="R111" s="137"/>
      <c r="S111" s="373"/>
      <c r="T111" s="373"/>
      <c r="U111" s="373"/>
    </row>
    <row r="112" spans="18:21" ht="15">
      <c r="R112" s="137"/>
      <c r="S112" s="373"/>
      <c r="T112" s="373"/>
      <c r="U112" s="373"/>
    </row>
    <row r="113" spans="18:21" ht="15">
      <c r="R113" s="137"/>
      <c r="S113" s="373"/>
      <c r="T113" s="373"/>
      <c r="U113" s="373"/>
    </row>
    <row r="114" spans="18:21" ht="15">
      <c r="R114" s="137"/>
      <c r="S114" s="373"/>
      <c r="T114" s="373"/>
      <c r="U114" s="373"/>
    </row>
    <row r="115" spans="18:21" ht="15">
      <c r="R115" s="137"/>
      <c r="S115" s="373"/>
      <c r="T115" s="373"/>
      <c r="U115" s="373"/>
    </row>
    <row r="116" spans="18:21" ht="15">
      <c r="R116" s="137"/>
      <c r="S116" s="373"/>
      <c r="T116" s="373"/>
      <c r="U116" s="373"/>
    </row>
    <row r="117" spans="18:21" ht="15">
      <c r="R117" s="137"/>
      <c r="S117" s="137"/>
      <c r="T117" s="137"/>
      <c r="U117" s="137"/>
    </row>
    <row r="118" spans="18:21" ht="15">
      <c r="R118" s="137"/>
      <c r="S118" s="137"/>
      <c r="T118" s="137"/>
      <c r="U118" s="436"/>
    </row>
    <row r="119" spans="18:21" ht="15">
      <c r="R119" s="137"/>
      <c r="S119" s="137"/>
      <c r="T119" s="137"/>
      <c r="U119" s="137"/>
    </row>
    <row r="120" spans="18:21" ht="15">
      <c r="R120" s="137"/>
      <c r="S120" s="137"/>
      <c r="T120" s="137"/>
      <c r="U120" s="373"/>
    </row>
    <row r="121" spans="18:21" ht="15">
      <c r="R121" s="137"/>
      <c r="S121" s="137"/>
      <c r="T121" s="137"/>
      <c r="U121" s="156"/>
    </row>
  </sheetData>
  <mergeCells count="4">
    <mergeCell ref="A9:P9"/>
    <mergeCell ref="A29:P29"/>
    <mergeCell ref="A52:P52"/>
    <mergeCell ref="A72:P72"/>
  </mergeCells>
  <printOptions horizontalCentered="1"/>
  <pageMargins left="1" right="0.75" top="1" bottom="0.5" header="0.5" footer="0.5"/>
  <pageSetup fitToHeight="0" horizontalDpi="600" verticalDpi="600" orientation="portrait" scale="90" r:id="rId1"/>
  <rowBreaks count="1" manualBreakCount="1">
    <brk id="43" max="15" man="1"/>
  </rowBreaks>
</worksheet>
</file>

<file path=xl/worksheets/sheet9.xml><?xml version="1.0" encoding="utf-8"?>
<worksheet xmlns="http://schemas.openxmlformats.org/spreadsheetml/2006/main" xmlns:r="http://schemas.openxmlformats.org/officeDocument/2006/relationships">
  <dimension ref="A1:AY197"/>
  <sheetViews>
    <sheetView workbookViewId="0" topLeftCell="A1">
      <selection activeCell="A1" sqref="A1"/>
    </sheetView>
  </sheetViews>
  <sheetFormatPr defaultColWidth="8.88671875" defaultRowHeight="12.75"/>
  <cols>
    <col min="1" max="1" width="7.77734375" style="102" customWidth="1"/>
    <col min="2" max="2" width="8.4453125" style="102" customWidth="1"/>
    <col min="3" max="3" width="11.88671875" style="102" customWidth="1"/>
    <col min="4" max="4" width="10.6640625" style="102" customWidth="1"/>
    <col min="5" max="5" width="11.88671875" style="102" customWidth="1"/>
    <col min="6" max="6" width="10.6640625" style="102" customWidth="1"/>
    <col min="7" max="7" width="6.88671875" style="102" customWidth="1"/>
    <col min="8" max="9" width="9.77734375" style="102" customWidth="1"/>
    <col min="10" max="10" width="5.77734375" style="102" customWidth="1"/>
    <col min="11" max="11" width="8.6640625" style="102" customWidth="1"/>
    <col min="12" max="12" width="7.77734375" style="102" customWidth="1"/>
    <col min="13" max="13" width="1.77734375" style="102" customWidth="1"/>
    <col min="14" max="14" width="7.77734375" style="102" customWidth="1"/>
    <col min="15" max="15" width="1.77734375" style="102" customWidth="1"/>
    <col min="16" max="16" width="7.77734375" style="102" customWidth="1"/>
    <col min="17" max="17" width="1.77734375" style="102" customWidth="1"/>
    <col min="18" max="18" width="7.77734375" style="102" customWidth="1"/>
    <col min="19" max="19" width="1.77734375" style="102" customWidth="1"/>
    <col min="20" max="20" width="7.77734375" style="102" customWidth="1"/>
    <col min="21" max="21" width="1.77734375" style="102" customWidth="1"/>
    <col min="22" max="22" width="7.77734375" style="102" customWidth="1"/>
    <col min="23" max="23" width="1.77734375" style="102" customWidth="1"/>
    <col min="24" max="24" width="8.77734375" style="102" customWidth="1"/>
    <col min="25" max="25" width="1.77734375" style="102" customWidth="1"/>
    <col min="26" max="26" width="7.77734375" style="102" customWidth="1"/>
    <col min="27" max="27" width="1.77734375" style="102" customWidth="1"/>
    <col min="28" max="28" width="8.77734375" style="102" customWidth="1"/>
    <col min="29" max="29" width="1.77734375" style="102" customWidth="1"/>
    <col min="30" max="30" width="7.77734375" style="102" customWidth="1"/>
    <col min="31" max="31" width="1.77734375" style="102" customWidth="1"/>
    <col min="32" max="32" width="9.77734375" style="102" customWidth="1"/>
    <col min="33" max="33" width="1.77734375" style="102" customWidth="1"/>
    <col min="34" max="34" width="7.77734375" style="102" customWidth="1"/>
    <col min="35" max="35" width="1.77734375" style="102" customWidth="1"/>
    <col min="36" max="36" width="9.77734375" style="102" customWidth="1"/>
    <col min="37" max="37" width="1.77734375" style="102" customWidth="1"/>
    <col min="38" max="38" width="7.77734375" style="102" customWidth="1"/>
    <col min="39" max="39" width="1.77734375" style="102" customWidth="1"/>
    <col min="40" max="40" width="7.77734375" style="102" customWidth="1"/>
    <col min="41" max="42" width="9.77734375" style="102" customWidth="1"/>
    <col min="43" max="43" width="6.77734375" style="102" customWidth="1"/>
    <col min="44" max="44" width="4.77734375" style="102" customWidth="1"/>
    <col min="45" max="45" width="9.77734375" style="102" customWidth="1"/>
    <col min="46" max="46" width="4.77734375" style="102" customWidth="1"/>
    <col min="47" max="47" width="9.77734375" style="102" customWidth="1"/>
    <col min="48" max="48" width="4.77734375" style="102" customWidth="1"/>
    <col min="49" max="49" width="9.77734375" style="102" customWidth="1"/>
    <col min="50" max="50" width="4.77734375" style="102" customWidth="1"/>
    <col min="51" max="51" width="8.77734375" style="102" customWidth="1"/>
    <col min="52" max="16384" width="9.77734375" style="102" customWidth="1"/>
  </cols>
  <sheetData>
    <row r="1" spans="1:7" ht="15">
      <c r="A1" s="37" t="s">
        <v>7</v>
      </c>
      <c r="B1" s="101"/>
      <c r="C1" s="100"/>
      <c r="D1" s="101"/>
      <c r="E1" s="101"/>
      <c r="F1" s="101"/>
      <c r="G1" s="101"/>
    </row>
    <row r="2" spans="1:7" ht="15">
      <c r="A2" s="37"/>
      <c r="B2" s="101"/>
      <c r="C2" s="100"/>
      <c r="D2" s="101"/>
      <c r="E2" s="101"/>
      <c r="F2" s="101"/>
      <c r="G2" s="101"/>
    </row>
    <row r="3" spans="1:7" ht="15">
      <c r="A3" s="101"/>
      <c r="B3" s="101"/>
      <c r="C3" s="101"/>
      <c r="D3" s="101"/>
      <c r="E3" s="101"/>
      <c r="F3" s="101"/>
      <c r="G3" s="101"/>
    </row>
    <row r="4" spans="1:7" ht="15">
      <c r="A4" s="596" t="s">
        <v>407</v>
      </c>
      <c r="B4" s="596"/>
      <c r="C4" s="596"/>
      <c r="D4" s="596"/>
      <c r="E4" s="596"/>
      <c r="F4" s="596"/>
      <c r="G4" s="596"/>
    </row>
    <row r="5" spans="1:7" ht="15">
      <c r="A5" s="103"/>
      <c r="B5" s="103"/>
      <c r="C5" s="103"/>
      <c r="D5" s="103"/>
      <c r="E5" s="103"/>
      <c r="F5" s="103"/>
      <c r="G5" s="103"/>
    </row>
    <row r="6" spans="1:7" ht="15">
      <c r="A6" s="103"/>
      <c r="B6" s="103"/>
      <c r="C6" s="103"/>
      <c r="D6" s="103"/>
      <c r="E6" s="103"/>
      <c r="F6" s="103"/>
      <c r="G6" s="103"/>
    </row>
    <row r="7" spans="1:7" ht="15">
      <c r="A7" s="103" t="s">
        <v>323</v>
      </c>
      <c r="B7" s="103"/>
      <c r="C7" s="103"/>
      <c r="D7" s="103"/>
      <c r="E7" s="103"/>
      <c r="F7" s="103"/>
      <c r="G7" s="103"/>
    </row>
    <row r="8" spans="1:7" ht="15">
      <c r="A8" s="103"/>
      <c r="B8" s="103"/>
      <c r="C8" s="103"/>
      <c r="D8" s="103"/>
      <c r="E8" s="103"/>
      <c r="F8" s="103"/>
      <c r="G8" s="103"/>
    </row>
    <row r="9" spans="1:7" ht="15">
      <c r="A9" s="103" t="s">
        <v>347</v>
      </c>
      <c r="B9" s="103"/>
      <c r="C9" s="103"/>
      <c r="D9" s="103"/>
      <c r="E9" s="103"/>
      <c r="F9" s="103"/>
      <c r="G9" s="103"/>
    </row>
    <row r="10" spans="1:7" ht="15">
      <c r="A10" s="103"/>
      <c r="B10" s="103"/>
      <c r="C10" s="103"/>
      <c r="D10" s="103"/>
      <c r="E10" s="103"/>
      <c r="F10" s="103"/>
      <c r="G10" s="103"/>
    </row>
    <row r="11" spans="1:7" ht="15">
      <c r="A11" s="101" t="s">
        <v>375</v>
      </c>
      <c r="B11" s="100"/>
      <c r="C11" s="103"/>
      <c r="D11"/>
      <c r="E11" s="104"/>
      <c r="F11" s="104" t="s">
        <v>377</v>
      </c>
      <c r="G11" s="103"/>
    </row>
    <row r="12" spans="1:7" ht="15">
      <c r="A12" s="101" t="s">
        <v>378</v>
      </c>
      <c r="B12" s="100"/>
      <c r="C12" s="103"/>
      <c r="D12"/>
      <c r="E12" s="104"/>
      <c r="F12" s="104" t="s">
        <v>379</v>
      </c>
      <c r="G12" s="103"/>
    </row>
    <row r="13" spans="1:7" ht="15">
      <c r="A13" s="105" t="s">
        <v>380</v>
      </c>
      <c r="B13" s="106"/>
      <c r="C13" s="103"/>
      <c r="D13"/>
      <c r="E13" s="104"/>
      <c r="F13" s="107" t="s">
        <v>382</v>
      </c>
      <c r="G13" s="103"/>
    </row>
    <row r="14" spans="1:7" ht="12.75" customHeight="1">
      <c r="A14" s="103"/>
      <c r="C14" s="103"/>
      <c r="D14"/>
      <c r="E14" s="103"/>
      <c r="F14" s="103"/>
      <c r="G14" s="103"/>
    </row>
    <row r="15" spans="1:7" ht="15">
      <c r="A15" s="108" t="s">
        <v>390</v>
      </c>
      <c r="C15" s="103"/>
      <c r="D15"/>
      <c r="E15" s="103"/>
      <c r="F15" s="110">
        <v>1</v>
      </c>
      <c r="G15" s="103"/>
    </row>
    <row r="16" spans="1:7" ht="15">
      <c r="A16" s="103"/>
      <c r="B16" s="103"/>
      <c r="C16" s="103"/>
      <c r="D16"/>
      <c r="E16" s="103"/>
      <c r="F16" s="112"/>
      <c r="G16" s="103"/>
    </row>
    <row r="17" spans="1:7" ht="15.75" thickBot="1">
      <c r="A17" s="103" t="s">
        <v>495</v>
      </c>
      <c r="B17" s="103"/>
      <c r="C17" s="103"/>
      <c r="D17"/>
      <c r="E17" s="103"/>
      <c r="F17" s="110">
        <f>SUM(F15:F15)</f>
        <v>1</v>
      </c>
      <c r="G17" s="103"/>
    </row>
    <row r="18" spans="1:7" ht="15.75" thickTop="1">
      <c r="A18" s="103"/>
      <c r="B18" s="103"/>
      <c r="C18" s="103"/>
      <c r="D18"/>
      <c r="E18" s="103"/>
      <c r="F18" s="113"/>
      <c r="G18" s="103"/>
    </row>
    <row r="19" spans="1:7" ht="15">
      <c r="A19" s="103"/>
      <c r="B19" s="103"/>
      <c r="C19" s="103"/>
      <c r="D19" s="103"/>
      <c r="E19" s="103"/>
      <c r="F19" s="103"/>
      <c r="G19" s="103"/>
    </row>
    <row r="20" spans="1:7" ht="15">
      <c r="A20" s="103"/>
      <c r="B20" s="103"/>
      <c r="C20" s="103"/>
      <c r="D20" s="103"/>
      <c r="E20" s="103"/>
      <c r="F20" s="103"/>
      <c r="G20" s="103"/>
    </row>
    <row r="21" spans="1:7" ht="15">
      <c r="A21" s="103" t="s">
        <v>496</v>
      </c>
      <c r="B21" s="103"/>
      <c r="C21" s="103"/>
      <c r="D21" s="103"/>
      <c r="E21" s="103"/>
      <c r="F21" s="103"/>
      <c r="G21" s="103"/>
    </row>
    <row r="22" spans="1:7" ht="15">
      <c r="A22" s="103"/>
      <c r="B22" s="103"/>
      <c r="C22" s="103"/>
      <c r="D22" s="103"/>
      <c r="E22" s="103"/>
      <c r="F22" s="103"/>
      <c r="G22" s="103"/>
    </row>
    <row r="23" spans="1:7" ht="27.75" customHeight="1">
      <c r="A23" s="595" t="s">
        <v>497</v>
      </c>
      <c r="B23" s="595"/>
      <c r="C23" s="595"/>
      <c r="D23" s="595"/>
      <c r="E23" s="595"/>
      <c r="F23" s="595"/>
      <c r="G23" s="595"/>
    </row>
    <row r="24" spans="1:7" ht="15">
      <c r="A24" s="103"/>
      <c r="B24" s="103"/>
      <c r="C24" s="103"/>
      <c r="D24" s="103"/>
      <c r="E24" s="103"/>
      <c r="F24" s="103"/>
      <c r="G24" s="103"/>
    </row>
    <row r="25" spans="1:7" ht="15">
      <c r="A25" s="101" t="s">
        <v>375</v>
      </c>
      <c r="B25" s="100"/>
      <c r="C25" s="103"/>
      <c r="D25" s="104" t="s">
        <v>498</v>
      </c>
      <c r="E25" s="104"/>
      <c r="F25" s="104" t="s">
        <v>377</v>
      </c>
      <c r="G25" s="103"/>
    </row>
    <row r="26" spans="1:7" ht="15">
      <c r="A26" s="101" t="s">
        <v>378</v>
      </c>
      <c r="B26" s="100"/>
      <c r="C26" s="103"/>
      <c r="D26" s="104" t="s">
        <v>499</v>
      </c>
      <c r="E26" s="104"/>
      <c r="F26" s="104" t="s">
        <v>379</v>
      </c>
      <c r="G26" s="103"/>
    </row>
    <row r="27" spans="1:7" ht="15">
      <c r="A27" s="105" t="s">
        <v>380</v>
      </c>
      <c r="B27" s="106"/>
      <c r="C27" s="103"/>
      <c r="D27" s="107" t="s">
        <v>400</v>
      </c>
      <c r="E27" s="104" t="s">
        <v>500</v>
      </c>
      <c r="F27" s="107" t="s">
        <v>382</v>
      </c>
      <c r="G27" s="103"/>
    </row>
    <row r="28" spans="1:11" ht="12.75" customHeight="1">
      <c r="A28" s="103"/>
      <c r="C28" s="103"/>
      <c r="D28" s="103"/>
      <c r="E28" s="103"/>
      <c r="F28" s="110"/>
      <c r="G28" s="103"/>
      <c r="I28" s="387"/>
      <c r="J28" s="387"/>
      <c r="K28" s="387"/>
    </row>
    <row r="29" spans="1:11" ht="15">
      <c r="A29" s="103" t="s">
        <v>383</v>
      </c>
      <c r="C29" s="103"/>
      <c r="D29" s="109">
        <f>+'Meters &amp; Services'!H27</f>
        <v>113109</v>
      </c>
      <c r="E29" s="103"/>
      <c r="F29" s="114">
        <f aca="true" t="shared" si="0" ref="F29:F34">ROUND(+D29/D$36,4)</f>
        <v>0.7818</v>
      </c>
      <c r="G29" s="103"/>
      <c r="I29" s="388"/>
      <c r="J29" s="387"/>
      <c r="K29" s="385"/>
    </row>
    <row r="30" spans="1:11" ht="15">
      <c r="A30" s="103" t="s">
        <v>384</v>
      </c>
      <c r="C30" s="103"/>
      <c r="D30" s="109">
        <f>+'Meters &amp; Services'!L27</f>
        <v>24325</v>
      </c>
      <c r="E30" s="103"/>
      <c r="F30" s="110">
        <f t="shared" si="0"/>
        <v>0.1681</v>
      </c>
      <c r="G30" s="103"/>
      <c r="I30" s="388"/>
      <c r="J30" s="387"/>
      <c r="K30" s="389"/>
    </row>
    <row r="31" spans="1:11" ht="15">
      <c r="A31" s="103" t="s">
        <v>385</v>
      </c>
      <c r="C31" s="103"/>
      <c r="D31" s="109">
        <f>+'Meters &amp; Services'!P27</f>
        <v>662</v>
      </c>
      <c r="E31" s="103"/>
      <c r="F31" s="110">
        <f t="shared" si="0"/>
        <v>0.0046</v>
      </c>
      <c r="G31" s="103"/>
      <c r="I31" s="388"/>
      <c r="J31" s="387"/>
      <c r="K31" s="389"/>
    </row>
    <row r="32" spans="1:11" ht="15">
      <c r="A32" s="103" t="s">
        <v>387</v>
      </c>
      <c r="C32" s="103"/>
      <c r="D32" s="109">
        <f>+'Meters &amp; Services'!T27</f>
        <v>4643</v>
      </c>
      <c r="E32" s="103"/>
      <c r="F32" s="110">
        <f t="shared" si="0"/>
        <v>0.0321</v>
      </c>
      <c r="G32" s="103"/>
      <c r="I32" s="388"/>
      <c r="J32" s="387"/>
      <c r="K32" s="389"/>
    </row>
    <row r="33" spans="1:11" ht="15">
      <c r="A33" s="103" t="s">
        <v>508</v>
      </c>
      <c r="C33" s="103"/>
      <c r="D33" s="109">
        <f>+'Meters &amp; Services'!X27</f>
        <v>460</v>
      </c>
      <c r="E33" s="103"/>
      <c r="F33" s="110">
        <f t="shared" si="0"/>
        <v>0.0032</v>
      </c>
      <c r="G33" s="103"/>
      <c r="I33" s="387"/>
      <c r="J33" s="387"/>
      <c r="K33" s="389"/>
    </row>
    <row r="34" spans="1:11" ht="15">
      <c r="A34" s="103" t="s">
        <v>315</v>
      </c>
      <c r="C34" s="103"/>
      <c r="D34" s="109">
        <f>+'Meters &amp; Services'!AB27</f>
        <v>1478</v>
      </c>
      <c r="E34" s="103"/>
      <c r="F34" s="110">
        <f t="shared" si="0"/>
        <v>0.0102</v>
      </c>
      <c r="G34" s="103"/>
      <c r="I34" s="387"/>
      <c r="J34" s="387"/>
      <c r="K34" s="389"/>
    </row>
    <row r="35" spans="1:11" ht="15">
      <c r="A35" s="103"/>
      <c r="C35" s="103"/>
      <c r="D35" s="111"/>
      <c r="E35" s="103"/>
      <c r="F35" s="115"/>
      <c r="G35" s="103"/>
      <c r="I35" s="387"/>
      <c r="J35" s="387"/>
      <c r="K35" s="187"/>
    </row>
    <row r="36" spans="1:11" ht="15.75" thickBot="1">
      <c r="A36" s="103" t="s">
        <v>391</v>
      </c>
      <c r="C36" s="103"/>
      <c r="D36" s="109">
        <f>SUM(D29:D35)</f>
        <v>144677</v>
      </c>
      <c r="E36" s="103"/>
      <c r="F36" s="188">
        <f>SUM(F29:F35)</f>
        <v>1.0000000000000002</v>
      </c>
      <c r="G36" s="103"/>
      <c r="I36" s="390"/>
      <c r="J36" s="387"/>
      <c r="K36" s="389"/>
    </row>
    <row r="37" spans="1:11" ht="15.75" thickTop="1">
      <c r="A37" s="103"/>
      <c r="B37" s="103"/>
      <c r="C37" s="103"/>
      <c r="D37" s="116"/>
      <c r="E37" s="117"/>
      <c r="F37" s="187"/>
      <c r="G37" s="103"/>
      <c r="I37" s="387"/>
      <c r="J37" s="387"/>
      <c r="K37" s="387"/>
    </row>
    <row r="38" spans="1:51" ht="15">
      <c r="A38" s="37" t="s">
        <v>7</v>
      </c>
      <c r="B38" s="101"/>
      <c r="C38" s="100"/>
      <c r="D38" s="101"/>
      <c r="E38" s="101"/>
      <c r="F38" s="101"/>
      <c r="G38" s="101"/>
      <c r="H38" s="119"/>
      <c r="I38" s="391"/>
      <c r="J38" s="391"/>
      <c r="K38" s="391"/>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row>
    <row r="39" spans="1:7" ht="15">
      <c r="A39" s="37"/>
      <c r="B39" s="101"/>
      <c r="C39" s="100"/>
      <c r="D39" s="101"/>
      <c r="E39" s="101"/>
      <c r="F39" s="101"/>
      <c r="G39" s="101"/>
    </row>
    <row r="40" spans="1:7" ht="15">
      <c r="A40" s="101"/>
      <c r="B40" s="101"/>
      <c r="C40" s="101"/>
      <c r="D40" s="101"/>
      <c r="E40" s="101"/>
      <c r="F40" s="101"/>
      <c r="G40" s="101"/>
    </row>
    <row r="41" spans="1:7" ht="15">
      <c r="A41" s="596" t="s">
        <v>407</v>
      </c>
      <c r="B41" s="596"/>
      <c r="C41" s="596"/>
      <c r="D41" s="596"/>
      <c r="E41" s="596"/>
      <c r="F41" s="596"/>
      <c r="G41" s="596"/>
    </row>
    <row r="42" spans="1:7" ht="15">
      <c r="A42" s="103"/>
      <c r="B42" s="103"/>
      <c r="C42" s="103"/>
      <c r="D42" s="103"/>
      <c r="E42" s="103"/>
      <c r="F42" s="103"/>
      <c r="G42" s="103"/>
    </row>
    <row r="43" spans="1:7" ht="15">
      <c r="A43" s="103"/>
      <c r="B43" s="103"/>
      <c r="C43" s="103"/>
      <c r="D43" s="103"/>
      <c r="E43" s="103"/>
      <c r="F43" s="103"/>
      <c r="G43" s="103"/>
    </row>
    <row r="44" spans="1:7" ht="15">
      <c r="A44" s="103" t="s">
        <v>501</v>
      </c>
      <c r="B44" s="103"/>
      <c r="C44" s="103"/>
      <c r="D44" s="103"/>
      <c r="E44" s="103"/>
      <c r="F44" s="103"/>
      <c r="G44" s="103"/>
    </row>
    <row r="45" spans="1:7" ht="15">
      <c r="A45" s="103"/>
      <c r="B45" s="103"/>
      <c r="C45" s="103"/>
      <c r="D45" s="103"/>
      <c r="E45" s="103"/>
      <c r="F45" s="103"/>
      <c r="G45" s="103"/>
    </row>
    <row r="46" spans="1:7" ht="27" customHeight="1">
      <c r="A46" s="595" t="s">
        <v>502</v>
      </c>
      <c r="B46" s="595"/>
      <c r="C46" s="595"/>
      <c r="D46" s="595"/>
      <c r="E46" s="595"/>
      <c r="F46" s="595"/>
      <c r="G46" s="103"/>
    </row>
    <row r="47" spans="1:7" ht="15">
      <c r="A47" s="103"/>
      <c r="B47" s="103"/>
      <c r="C47" s="103"/>
      <c r="D47" s="103"/>
      <c r="E47" s="103"/>
      <c r="F47" s="103"/>
      <c r="G47" s="103"/>
    </row>
    <row r="48" spans="1:7" ht="15">
      <c r="A48" s="101" t="s">
        <v>375</v>
      </c>
      <c r="B48" s="100"/>
      <c r="C48" s="103"/>
      <c r="D48" s="104" t="s">
        <v>503</v>
      </c>
      <c r="E48" s="104"/>
      <c r="F48" s="104" t="s">
        <v>377</v>
      </c>
      <c r="G48" s="103"/>
    </row>
    <row r="49" spans="1:7" ht="15">
      <c r="A49" s="101" t="s">
        <v>378</v>
      </c>
      <c r="B49" s="100"/>
      <c r="C49" s="103"/>
      <c r="D49" s="104" t="s">
        <v>499</v>
      </c>
      <c r="E49" s="104"/>
      <c r="F49" s="104" t="s">
        <v>379</v>
      </c>
      <c r="G49" s="103"/>
    </row>
    <row r="50" spans="1:7" ht="15">
      <c r="A50" s="105" t="s">
        <v>380</v>
      </c>
      <c r="B50" s="106"/>
      <c r="C50" s="103"/>
      <c r="D50" s="107" t="s">
        <v>400</v>
      </c>
      <c r="E50" s="104" t="s">
        <v>500</v>
      </c>
      <c r="F50" s="107" t="s">
        <v>382</v>
      </c>
      <c r="G50" s="103"/>
    </row>
    <row r="51" spans="1:7" ht="12.75" customHeight="1">
      <c r="A51" s="103"/>
      <c r="C51" s="103"/>
      <c r="D51" s="103"/>
      <c r="E51" s="103"/>
      <c r="F51" s="110"/>
      <c r="G51" s="103"/>
    </row>
    <row r="52" spans="1:7" ht="15">
      <c r="A52" s="103" t="s">
        <v>383</v>
      </c>
      <c r="C52" s="103"/>
      <c r="D52" s="109">
        <f>+'Meters &amp; Services'!H59</f>
        <v>113019</v>
      </c>
      <c r="E52" s="103"/>
      <c r="F52" s="114">
        <f>ROUND(D52/D$59,4)+0.0001</f>
        <v>0.8368</v>
      </c>
      <c r="G52" s="103"/>
    </row>
    <row r="53" spans="1:7" ht="15">
      <c r="A53" s="103" t="s">
        <v>384</v>
      </c>
      <c r="C53" s="103"/>
      <c r="D53" s="109">
        <f>+'Meters &amp; Services'!L59</f>
        <v>14304</v>
      </c>
      <c r="E53" s="103"/>
      <c r="F53" s="110">
        <f>ROUND(D53/D$59,4)</f>
        <v>0.1059</v>
      </c>
      <c r="G53" s="103"/>
    </row>
    <row r="54" spans="1:7" ht="15">
      <c r="A54" s="103" t="s">
        <v>385</v>
      </c>
      <c r="C54" s="103"/>
      <c r="D54" s="109">
        <f>+'Meters &amp; Services'!P59</f>
        <v>123</v>
      </c>
      <c r="E54" s="103"/>
      <c r="F54" s="110">
        <f>ROUND(D54/D$59,4)</f>
        <v>0.0009</v>
      </c>
      <c r="G54" s="103"/>
    </row>
    <row r="55" spans="1:7" ht="15">
      <c r="A55" s="103" t="s">
        <v>387</v>
      </c>
      <c r="C55" s="103"/>
      <c r="D55" s="109">
        <f>+'Meters &amp; Services'!T59</f>
        <v>1594</v>
      </c>
      <c r="E55" s="103"/>
      <c r="F55" s="110">
        <f>ROUND(D55/D$59,4)</f>
        <v>0.0118</v>
      </c>
      <c r="G55" s="103"/>
    </row>
    <row r="56" spans="1:7" ht="15">
      <c r="A56" s="103" t="s">
        <v>508</v>
      </c>
      <c r="C56" s="103"/>
      <c r="D56" s="109">
        <f>+'Meters &amp; Services'!X59</f>
        <v>71</v>
      </c>
      <c r="E56" s="103"/>
      <c r="F56" s="110">
        <f>ROUND(D56/D$59,4)</f>
        <v>0.0005</v>
      </c>
      <c r="G56" s="103"/>
    </row>
    <row r="57" spans="1:7" ht="15">
      <c r="A57" s="103" t="s">
        <v>389</v>
      </c>
      <c r="C57" s="103"/>
      <c r="D57" s="109">
        <f>+'Meters &amp; Services'!AB59</f>
        <v>5959</v>
      </c>
      <c r="E57" s="103"/>
      <c r="F57" s="110">
        <f>ROUND(D57/D$59,4)</f>
        <v>0.0441</v>
      </c>
      <c r="G57" s="103"/>
    </row>
    <row r="58" spans="1:7" ht="15">
      <c r="A58" s="103"/>
      <c r="C58" s="103"/>
      <c r="D58" s="111"/>
      <c r="E58" s="103"/>
      <c r="F58" s="115"/>
      <c r="G58" s="103"/>
    </row>
    <row r="59" spans="1:7" ht="15.75" thickBot="1">
      <c r="A59" s="103" t="s">
        <v>391</v>
      </c>
      <c r="C59" s="103"/>
      <c r="D59" s="109">
        <f>SUM(D52:D58)</f>
        <v>135070</v>
      </c>
      <c r="E59" s="103"/>
      <c r="F59" s="188">
        <f>SUM(F52:F58)</f>
        <v>1</v>
      </c>
      <c r="G59" s="103"/>
    </row>
    <row r="60" spans="1:7" ht="15.75" thickTop="1">
      <c r="A60" s="103"/>
      <c r="B60" s="103"/>
      <c r="C60" s="103"/>
      <c r="D60" s="116"/>
      <c r="E60" s="117"/>
      <c r="F60" s="118"/>
      <c r="G60" s="103"/>
    </row>
    <row r="61" spans="1:7" ht="15">
      <c r="A61" s="103"/>
      <c r="B61" s="103"/>
      <c r="C61" s="103"/>
      <c r="D61" s="103"/>
      <c r="E61" s="103"/>
      <c r="F61" s="103"/>
      <c r="G61" s="103"/>
    </row>
    <row r="62" spans="1:7" ht="15">
      <c r="A62" s="103"/>
      <c r="B62" s="103"/>
      <c r="C62" s="103"/>
      <c r="D62" s="103"/>
      <c r="E62" s="103"/>
      <c r="F62" s="103"/>
      <c r="G62" s="103"/>
    </row>
    <row r="63" spans="1:7" ht="15">
      <c r="A63" s="103"/>
      <c r="B63" s="103"/>
      <c r="C63" s="103"/>
      <c r="D63" s="103"/>
      <c r="E63" s="103"/>
      <c r="F63" s="103"/>
      <c r="G63" s="103"/>
    </row>
    <row r="64" spans="1:7" ht="15">
      <c r="A64" s="103"/>
      <c r="B64" s="103"/>
      <c r="C64" s="103"/>
      <c r="D64" s="103"/>
      <c r="E64" s="103"/>
      <c r="F64" s="103"/>
      <c r="G64" s="103"/>
    </row>
    <row r="65" spans="1:7" ht="15">
      <c r="A65" s="103"/>
      <c r="B65" s="103"/>
      <c r="C65" s="103"/>
      <c r="D65" s="103"/>
      <c r="E65" s="103"/>
      <c r="F65" s="103"/>
      <c r="G65" s="103"/>
    </row>
    <row r="66" spans="1:7" ht="15">
      <c r="A66" s="103"/>
      <c r="B66" s="103"/>
      <c r="C66" s="103"/>
      <c r="D66" s="103"/>
      <c r="E66" s="103"/>
      <c r="F66" s="103"/>
      <c r="G66" s="103"/>
    </row>
    <row r="67" spans="1:7" ht="15">
      <c r="A67" s="103"/>
      <c r="B67" s="103"/>
      <c r="C67" s="103"/>
      <c r="D67" s="103"/>
      <c r="E67" s="103"/>
      <c r="F67" s="103"/>
      <c r="G67" s="103"/>
    </row>
    <row r="68" spans="1:7" ht="15">
      <c r="A68" s="103"/>
      <c r="B68" s="103"/>
      <c r="C68" s="103"/>
      <c r="D68" s="103"/>
      <c r="E68" s="103"/>
      <c r="F68" s="103"/>
      <c r="G68" s="103"/>
    </row>
    <row r="69" spans="1:7" ht="15">
      <c r="A69" s="103"/>
      <c r="B69" s="103"/>
      <c r="C69" s="103"/>
      <c r="D69" s="103"/>
      <c r="E69" s="103"/>
      <c r="F69" s="103"/>
      <c r="G69" s="103"/>
    </row>
    <row r="73" spans="41:51" ht="15">
      <c r="AO73" s="103"/>
      <c r="AQ73" s="100"/>
      <c r="AR73" s="100"/>
      <c r="AS73" s="100"/>
      <c r="AT73" s="100"/>
      <c r="AU73" s="100"/>
      <c r="AV73" s="100"/>
      <c r="AW73" s="100"/>
      <c r="AX73" s="100"/>
      <c r="AY73" s="100"/>
    </row>
    <row r="74" spans="41:51" ht="15">
      <c r="AO74" s="103">
        <f>14*15</f>
        <v>210</v>
      </c>
      <c r="AQ74" s="100"/>
      <c r="AR74" s="100"/>
      <c r="AS74" s="100"/>
      <c r="AT74" s="100"/>
      <c r="AU74" s="100"/>
      <c r="AV74" s="100"/>
      <c r="AW74" s="100"/>
      <c r="AX74" s="100"/>
      <c r="AY74" s="100"/>
    </row>
    <row r="75" spans="41:51" ht="15">
      <c r="AO75" s="103"/>
      <c r="AQ75" s="101"/>
      <c r="AR75" s="100"/>
      <c r="AS75" s="100"/>
      <c r="AT75" s="100"/>
      <c r="AU75" s="100"/>
      <c r="AV75" s="100"/>
      <c r="AW75" s="100"/>
      <c r="AX75" s="100"/>
      <c r="AY75" s="100"/>
    </row>
    <row r="76" spans="41:51" ht="15">
      <c r="AO76" s="103"/>
      <c r="AQ76" s="101"/>
      <c r="AR76" s="100"/>
      <c r="AS76" s="100"/>
      <c r="AT76" s="100"/>
      <c r="AU76" s="100"/>
      <c r="AV76" s="100"/>
      <c r="AW76" s="100"/>
      <c r="AX76" s="100"/>
      <c r="AY76" s="100"/>
    </row>
    <row r="77" ht="15">
      <c r="AO77" s="103"/>
    </row>
    <row r="78" spans="41:51" ht="15">
      <c r="AO78" s="103"/>
      <c r="AQ78" s="103"/>
      <c r="AR78" s="103"/>
      <c r="AS78" s="103"/>
      <c r="AT78" s="103"/>
      <c r="AU78" s="103"/>
      <c r="AV78" s="103"/>
      <c r="AW78" s="103"/>
      <c r="AX78" s="103"/>
      <c r="AY78" s="103"/>
    </row>
    <row r="79" spans="41:51" ht="15">
      <c r="AO79" s="103"/>
      <c r="AQ79" s="103"/>
      <c r="AR79" s="103"/>
      <c r="AS79" s="104"/>
      <c r="AT79" s="104"/>
      <c r="AU79" s="104"/>
      <c r="AV79" s="104"/>
      <c r="AW79" s="104"/>
      <c r="AX79" s="104"/>
      <c r="AY79" s="104"/>
    </row>
    <row r="80" spans="41:51" ht="15">
      <c r="AO80" s="103"/>
      <c r="AQ80" s="104"/>
      <c r="AR80" s="103"/>
      <c r="AS80" s="104"/>
      <c r="AT80" s="104"/>
      <c r="AU80" s="104"/>
      <c r="AV80" s="104"/>
      <c r="AW80" s="104"/>
      <c r="AX80" s="104"/>
      <c r="AY80" s="104"/>
    </row>
    <row r="81" spans="41:51" ht="15">
      <c r="AO81" s="103"/>
      <c r="AQ81" s="104"/>
      <c r="AR81" s="103"/>
      <c r="AS81" s="104"/>
      <c r="AT81" s="104"/>
      <c r="AU81" s="104"/>
      <c r="AV81" s="104"/>
      <c r="AW81" s="104"/>
      <c r="AX81" s="104"/>
      <c r="AY81" s="104"/>
    </row>
    <row r="82" spans="41:51" ht="15">
      <c r="AO82" s="103"/>
      <c r="AQ82" s="120"/>
      <c r="AR82" s="103"/>
      <c r="AS82" s="120"/>
      <c r="AT82" s="120"/>
      <c r="AU82" s="120"/>
      <c r="AV82" s="103"/>
      <c r="AW82" s="120"/>
      <c r="AX82" s="120"/>
      <c r="AY82" s="120"/>
    </row>
    <row r="83" spans="41:51" ht="15">
      <c r="AO83" s="103"/>
      <c r="AQ83" s="103"/>
      <c r="AR83" s="103"/>
      <c r="AS83" s="103"/>
      <c r="AT83" s="103"/>
      <c r="AU83" s="103"/>
      <c r="AV83" s="103"/>
      <c r="AW83" s="103"/>
      <c r="AX83" s="103"/>
      <c r="AY83" s="103"/>
    </row>
    <row r="84" spans="41:51" ht="15">
      <c r="AO84" s="103"/>
      <c r="AQ84" s="104"/>
      <c r="AR84" s="103"/>
      <c r="AS84" s="109"/>
      <c r="AT84" s="109"/>
      <c r="AU84" s="109"/>
      <c r="AV84" s="109"/>
      <c r="AW84" s="109"/>
      <c r="AX84" s="121"/>
      <c r="AY84" s="121"/>
    </row>
    <row r="85" spans="41:51" ht="15">
      <c r="AO85" s="103"/>
      <c r="AQ85" s="104"/>
      <c r="AR85" s="103"/>
      <c r="AS85" s="109"/>
      <c r="AT85" s="109"/>
      <c r="AU85" s="109"/>
      <c r="AV85" s="109"/>
      <c r="AW85" s="109"/>
      <c r="AX85" s="121"/>
      <c r="AY85" s="121"/>
    </row>
    <row r="86" spans="41:51" ht="15">
      <c r="AO86" s="103"/>
      <c r="AQ86" s="104"/>
      <c r="AR86" s="103"/>
      <c r="AS86" s="109"/>
      <c r="AT86" s="109"/>
      <c r="AU86" s="109"/>
      <c r="AV86" s="109"/>
      <c r="AW86" s="109"/>
      <c r="AX86" s="121"/>
      <c r="AY86" s="121"/>
    </row>
    <row r="87" spans="41:51" ht="15">
      <c r="AO87" s="103"/>
      <c r="AQ87" s="104"/>
      <c r="AR87" s="103"/>
      <c r="AS87" s="109"/>
      <c r="AT87" s="109"/>
      <c r="AU87" s="109"/>
      <c r="AV87" s="109"/>
      <c r="AW87" s="109"/>
      <c r="AX87" s="121"/>
      <c r="AY87" s="121"/>
    </row>
    <row r="88" spans="41:51" ht="15">
      <c r="AO88" s="103"/>
      <c r="AQ88" s="104"/>
      <c r="AR88" s="103"/>
      <c r="AS88" s="109"/>
      <c r="AT88" s="109"/>
      <c r="AU88" s="109"/>
      <c r="AV88" s="109"/>
      <c r="AW88" s="109"/>
      <c r="AX88" s="121"/>
      <c r="AY88" s="121"/>
    </row>
    <row r="89" spans="41:51" ht="15">
      <c r="AO89" s="103"/>
      <c r="AQ89" s="104"/>
      <c r="AR89" s="103"/>
      <c r="AS89" s="109"/>
      <c r="AT89" s="109"/>
      <c r="AU89" s="109"/>
      <c r="AV89" s="109"/>
      <c r="AW89" s="109"/>
      <c r="AX89" s="121"/>
      <c r="AY89" s="121"/>
    </row>
    <row r="90" spans="41:51" ht="15">
      <c r="AO90" s="103"/>
      <c r="AQ90" s="104"/>
      <c r="AR90" s="103"/>
      <c r="AS90" s="109"/>
      <c r="AT90" s="109"/>
      <c r="AU90" s="109"/>
      <c r="AV90" s="109"/>
      <c r="AW90" s="109"/>
      <c r="AX90" s="121"/>
      <c r="AY90" s="121"/>
    </row>
    <row r="91" spans="41:51" ht="15">
      <c r="AO91" s="103"/>
      <c r="AQ91" s="104"/>
      <c r="AR91" s="103"/>
      <c r="AS91" s="109"/>
      <c r="AT91" s="109"/>
      <c r="AU91" s="109"/>
      <c r="AV91" s="109"/>
      <c r="AW91" s="109"/>
      <c r="AX91" s="121"/>
      <c r="AY91" s="121"/>
    </row>
    <row r="92" spans="41:51" ht="15">
      <c r="AO92" s="103"/>
      <c r="AQ92" s="104"/>
      <c r="AR92" s="103"/>
      <c r="AS92" s="109"/>
      <c r="AT92" s="109"/>
      <c r="AU92" s="109"/>
      <c r="AV92" s="109"/>
      <c r="AW92" s="109"/>
      <c r="AX92" s="121"/>
      <c r="AY92" s="121"/>
    </row>
    <row r="93" spans="41:51" ht="15">
      <c r="AO93" s="103"/>
      <c r="AQ93" s="104"/>
      <c r="AR93" s="103"/>
      <c r="AS93" s="109"/>
      <c r="AT93" s="109"/>
      <c r="AU93" s="109"/>
      <c r="AV93" s="109"/>
      <c r="AW93" s="109"/>
      <c r="AX93" s="121"/>
      <c r="AY93" s="121"/>
    </row>
    <row r="94" spans="41:51" ht="15">
      <c r="AO94" s="103"/>
      <c r="AQ94" s="104"/>
      <c r="AR94" s="103"/>
      <c r="AS94" s="109"/>
      <c r="AT94" s="109"/>
      <c r="AU94" s="109"/>
      <c r="AV94" s="109"/>
      <c r="AW94" s="109"/>
      <c r="AX94" s="121"/>
      <c r="AY94" s="121"/>
    </row>
    <row r="95" spans="41:51" ht="15">
      <c r="AO95" s="103"/>
      <c r="AQ95" s="104"/>
      <c r="AR95" s="103"/>
      <c r="AS95" s="109"/>
      <c r="AT95" s="109"/>
      <c r="AU95" s="109"/>
      <c r="AV95" s="109"/>
      <c r="AW95" s="109"/>
      <c r="AX95" s="121"/>
      <c r="AY95" s="121"/>
    </row>
    <row r="96" spans="41:51" ht="15">
      <c r="AO96" s="103"/>
      <c r="AQ96" s="104"/>
      <c r="AR96" s="103"/>
      <c r="AS96" s="109"/>
      <c r="AT96" s="109"/>
      <c r="AU96" s="109"/>
      <c r="AV96" s="109"/>
      <c r="AW96" s="109"/>
      <c r="AX96" s="121"/>
      <c r="AY96" s="121"/>
    </row>
    <row r="97" spans="41:51" ht="15">
      <c r="AO97" s="103"/>
      <c r="AQ97" s="104"/>
      <c r="AR97" s="103"/>
      <c r="AS97" s="109"/>
      <c r="AT97" s="109"/>
      <c r="AU97" s="109"/>
      <c r="AV97" s="109"/>
      <c r="AW97" s="109"/>
      <c r="AX97" s="121"/>
      <c r="AY97" s="121"/>
    </row>
    <row r="98" spans="41:51" ht="15">
      <c r="AO98" s="103"/>
      <c r="AQ98" s="104"/>
      <c r="AR98" s="103"/>
      <c r="AS98" s="109"/>
      <c r="AT98" s="109"/>
      <c r="AU98" s="109"/>
      <c r="AV98" s="109"/>
      <c r="AW98" s="109"/>
      <c r="AX98" s="121"/>
      <c r="AY98" s="121"/>
    </row>
    <row r="99" spans="41:43" ht="15">
      <c r="AO99" s="103"/>
      <c r="AQ99" s="104"/>
    </row>
    <row r="100" spans="41:51" ht="15">
      <c r="AO100" s="103"/>
      <c r="AQ100" s="104"/>
      <c r="AS100" s="109"/>
      <c r="AU100" s="109"/>
      <c r="AW100" s="109"/>
      <c r="AY100" s="121"/>
    </row>
    <row r="101" spans="41:51" ht="15">
      <c r="AO101" s="103"/>
      <c r="AQ101" s="104"/>
      <c r="AS101" s="109"/>
      <c r="AU101" s="109"/>
      <c r="AW101" s="109"/>
      <c r="AY101" s="121"/>
    </row>
    <row r="102" spans="41:51" ht="15">
      <c r="AO102" s="103"/>
      <c r="AQ102" s="104"/>
      <c r="AS102" s="109"/>
      <c r="AU102" s="109"/>
      <c r="AW102" s="109"/>
      <c r="AY102" s="121"/>
    </row>
    <row r="103" spans="41:51" ht="15">
      <c r="AO103" s="103"/>
      <c r="AQ103" s="104"/>
      <c r="AS103" s="109"/>
      <c r="AU103" s="109"/>
      <c r="AW103" s="109"/>
      <c r="AY103" s="121"/>
    </row>
    <row r="104" spans="41:51" ht="15">
      <c r="AO104" s="103"/>
      <c r="AQ104" s="104"/>
      <c r="AS104" s="109"/>
      <c r="AU104" s="109"/>
      <c r="AW104" s="109"/>
      <c r="AY104" s="121"/>
    </row>
    <row r="105" spans="41:51" ht="15">
      <c r="AO105" s="103"/>
      <c r="AQ105" s="104"/>
      <c r="AS105" s="109"/>
      <c r="AU105" s="109"/>
      <c r="AW105" s="109"/>
      <c r="AY105" s="121"/>
    </row>
    <row r="106" spans="41:51" ht="15">
      <c r="AO106" s="103"/>
      <c r="AQ106" s="104"/>
      <c r="AS106" s="109"/>
      <c r="AU106" s="109"/>
      <c r="AW106" s="109"/>
      <c r="AY106" s="121"/>
    </row>
    <row r="107" ht="15">
      <c r="AO107" s="103"/>
    </row>
    <row r="108" ht="15">
      <c r="AO108" s="103"/>
    </row>
    <row r="109" ht="15">
      <c r="AO109" s="103"/>
    </row>
    <row r="110" spans="10:41" ht="15">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row>
    <row r="111" spans="10:41" ht="15">
      <c r="J111" s="103"/>
      <c r="K111" s="103"/>
      <c r="L111" s="103"/>
      <c r="M111" s="103"/>
      <c r="N111" s="103"/>
      <c r="O111" s="103"/>
      <c r="P111" s="122"/>
      <c r="Q111" s="103"/>
      <c r="R111" s="103"/>
      <c r="S111" s="103"/>
      <c r="T111" s="122"/>
      <c r="U111" s="103"/>
      <c r="V111" s="103"/>
      <c r="W111" s="103"/>
      <c r="X111" s="122"/>
      <c r="Y111" s="103"/>
      <c r="Z111" s="103"/>
      <c r="AA111" s="103"/>
      <c r="AB111" s="122"/>
      <c r="AC111" s="103"/>
      <c r="AD111" s="103"/>
      <c r="AE111" s="103"/>
      <c r="AF111" s="122"/>
      <c r="AG111" s="103"/>
      <c r="AH111" s="103"/>
      <c r="AI111" s="103"/>
      <c r="AJ111" s="123"/>
      <c r="AK111" s="103"/>
      <c r="AL111" s="103"/>
      <c r="AM111" s="103"/>
      <c r="AN111" s="122"/>
      <c r="AO111" s="103"/>
    </row>
    <row r="112" spans="10:41" ht="15">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row>
    <row r="113" spans="10:41" ht="15">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row>
    <row r="114" spans="10:41" ht="15">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row>
    <row r="115" spans="10:41" ht="15">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row>
    <row r="116" spans="10:41" ht="15">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row>
    <row r="117" spans="10:41" ht="15">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row>
    <row r="118" spans="10:41" ht="15">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row>
    <row r="119" spans="10:41" ht="15">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row>
    <row r="120" spans="10:41" ht="15">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row>
    <row r="121" spans="10:41" ht="15">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row>
    <row r="122" spans="10:41" ht="15">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row>
    <row r="123" spans="10:41" ht="15">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row>
    <row r="124" spans="10:41" ht="15">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row>
    <row r="125" spans="10:41" ht="15">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row>
    <row r="126" spans="10:41" ht="15">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row>
    <row r="127" spans="10:41" ht="15">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row>
    <row r="128" spans="10:41" ht="15">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row>
    <row r="129" spans="10:41" ht="15">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row>
    <row r="130" spans="10:41" ht="15">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row>
    <row r="131" spans="10:41" ht="15">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row>
    <row r="132" spans="10:41" ht="15">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row>
    <row r="133" spans="10:41" ht="15">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row>
    <row r="134" spans="10:41" ht="15">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row>
    <row r="135" spans="10:41" ht="15">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row>
    <row r="136" spans="10:41" ht="15">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row>
    <row r="137" spans="10:41" ht="15">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row>
    <row r="138" spans="10:41" ht="15">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row>
    <row r="139" spans="10:41" ht="15">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row>
    <row r="140" spans="10:41" ht="15">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row>
    <row r="141" spans="10:41" ht="15">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row>
    <row r="142" spans="10:41" ht="15">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row>
    <row r="143" spans="10:41" ht="15">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row>
    <row r="144" spans="10:41" ht="15">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row>
    <row r="145" spans="10:41" ht="15">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row>
    <row r="146" spans="10:41" ht="15">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row>
    <row r="147" spans="10:41" ht="15">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row>
    <row r="148" spans="10:41" ht="15">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row>
    <row r="149" spans="10:41" ht="15">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row>
    <row r="150" spans="10:41" ht="15">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row>
    <row r="151" spans="10:41" ht="15">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row>
    <row r="152" spans="10:41" ht="15">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row>
    <row r="153" spans="10:41" ht="15">
      <c r="J153" s="103" t="s">
        <v>504</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row>
    <row r="154" spans="10:41" ht="15">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row>
    <row r="155" spans="10:41" ht="15">
      <c r="J155" s="124" t="s">
        <v>505</v>
      </c>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row>
    <row r="156" spans="10:51" ht="15">
      <c r="J156" s="100" t="s">
        <v>369</v>
      </c>
      <c r="K156" s="101"/>
      <c r="L156" s="101"/>
      <c r="M156" s="101"/>
      <c r="N156" s="101"/>
      <c r="O156" s="101"/>
      <c r="P156" s="101"/>
      <c r="Q156" s="101"/>
      <c r="R156" s="101"/>
      <c r="S156" s="101"/>
      <c r="T156" s="101"/>
      <c r="U156" s="101"/>
      <c r="V156" s="100"/>
      <c r="W156" s="101"/>
      <c r="X156" s="101"/>
      <c r="Y156" s="101"/>
      <c r="Z156" s="101"/>
      <c r="AA156" s="101"/>
      <c r="AB156" s="101"/>
      <c r="AC156" s="101"/>
      <c r="AD156" s="101"/>
      <c r="AE156" s="101"/>
      <c r="AF156" s="101"/>
      <c r="AG156" s="101"/>
      <c r="AH156" s="101"/>
      <c r="AI156" s="101"/>
      <c r="AJ156" s="101"/>
      <c r="AK156" s="101"/>
      <c r="AL156" s="101"/>
      <c r="AM156" s="101"/>
      <c r="AN156" s="101"/>
      <c r="AO156" s="103"/>
      <c r="AQ156" s="100"/>
      <c r="AR156" s="100"/>
      <c r="AS156" s="100"/>
      <c r="AT156" s="100"/>
      <c r="AU156" s="100"/>
      <c r="AV156" s="100"/>
      <c r="AW156" s="100"/>
      <c r="AX156" s="100"/>
      <c r="AY156" s="100"/>
    </row>
    <row r="157" spans="10:51" ht="15">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3"/>
      <c r="AQ157" s="100"/>
      <c r="AR157" s="100"/>
      <c r="AS157" s="100"/>
      <c r="AT157" s="100"/>
      <c r="AU157" s="100"/>
      <c r="AV157" s="100"/>
      <c r="AW157" s="100"/>
      <c r="AX157" s="100"/>
      <c r="AY157" s="100"/>
    </row>
    <row r="158" spans="10:51" ht="15">
      <c r="J158" s="101" t="s">
        <v>506</v>
      </c>
      <c r="K158" s="101"/>
      <c r="L158" s="101"/>
      <c r="M158" s="101"/>
      <c r="N158" s="101"/>
      <c r="O158" s="101"/>
      <c r="P158" s="101"/>
      <c r="Q158" s="101"/>
      <c r="R158" s="101"/>
      <c r="S158" s="101"/>
      <c r="T158" s="100"/>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3"/>
      <c r="AQ158" s="101"/>
      <c r="AR158" s="100"/>
      <c r="AS158" s="100"/>
      <c r="AT158" s="100"/>
      <c r="AU158" s="100"/>
      <c r="AV158" s="100"/>
      <c r="AW158" s="100"/>
      <c r="AX158" s="100"/>
      <c r="AY158" s="100"/>
    </row>
    <row r="159" spans="10:51" ht="15">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Q159" s="101"/>
      <c r="AR159" s="100"/>
      <c r="AS159" s="100"/>
      <c r="AT159" s="100"/>
      <c r="AU159" s="100"/>
      <c r="AV159" s="100"/>
      <c r="AW159" s="100"/>
      <c r="AX159" s="100"/>
      <c r="AY159" s="100"/>
    </row>
    <row r="160" spans="10:41" ht="15">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row>
    <row r="161" spans="10:51" ht="15">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Q161" s="103"/>
      <c r="AR161" s="103"/>
      <c r="AS161" s="103"/>
      <c r="AT161" s="103"/>
      <c r="AU161" s="103"/>
      <c r="AV161" s="103"/>
      <c r="AW161" s="103"/>
      <c r="AX161" s="103"/>
      <c r="AY161" s="103"/>
    </row>
    <row r="162" spans="10:51" ht="15">
      <c r="J162" s="104"/>
      <c r="K162" s="104"/>
      <c r="L162" s="104" t="s">
        <v>507</v>
      </c>
      <c r="M162" s="104"/>
      <c r="N162" s="101" t="s">
        <v>383</v>
      </c>
      <c r="O162" s="101"/>
      <c r="P162" s="101"/>
      <c r="Q162" s="104"/>
      <c r="R162" s="101" t="s">
        <v>384</v>
      </c>
      <c r="S162" s="101"/>
      <c r="T162" s="101"/>
      <c r="U162" s="104"/>
      <c r="V162" s="101" t="s">
        <v>385</v>
      </c>
      <c r="W162" s="101"/>
      <c r="X162" s="101"/>
      <c r="Y162" s="104"/>
      <c r="Z162" s="101" t="s">
        <v>387</v>
      </c>
      <c r="AA162" s="101"/>
      <c r="AB162" s="101"/>
      <c r="AC162" s="104"/>
      <c r="AD162" s="101" t="s">
        <v>511</v>
      </c>
      <c r="AE162" s="101"/>
      <c r="AF162" s="101"/>
      <c r="AG162" s="104"/>
      <c r="AH162" s="101" t="s">
        <v>389</v>
      </c>
      <c r="AI162" s="101"/>
      <c r="AJ162" s="101"/>
      <c r="AK162" s="104"/>
      <c r="AL162" s="101" t="s">
        <v>512</v>
      </c>
      <c r="AM162" s="101"/>
      <c r="AN162" s="101"/>
      <c r="AO162" s="103"/>
      <c r="AQ162" s="103"/>
      <c r="AR162" s="103"/>
      <c r="AS162" s="104"/>
      <c r="AT162" s="104"/>
      <c r="AU162" s="104"/>
      <c r="AV162" s="104"/>
      <c r="AW162" s="104"/>
      <c r="AX162" s="104"/>
      <c r="AY162" s="104"/>
    </row>
    <row r="163" spans="10:51" ht="15">
      <c r="J163" s="104" t="s">
        <v>513</v>
      </c>
      <c r="K163" s="104"/>
      <c r="L163" s="104" t="s">
        <v>514</v>
      </c>
      <c r="M163" s="104"/>
      <c r="N163" s="107" t="s">
        <v>494</v>
      </c>
      <c r="O163" s="107"/>
      <c r="P163" s="107"/>
      <c r="Q163" s="104"/>
      <c r="R163" s="107" t="s">
        <v>494</v>
      </c>
      <c r="S163" s="107"/>
      <c r="T163" s="107"/>
      <c r="U163" s="104"/>
      <c r="V163" s="107" t="s">
        <v>494</v>
      </c>
      <c r="W163" s="107"/>
      <c r="X163" s="107"/>
      <c r="Y163" s="104"/>
      <c r="Z163" s="107" t="s">
        <v>494</v>
      </c>
      <c r="AA163" s="107"/>
      <c r="AB163" s="107"/>
      <c r="AC163" s="104"/>
      <c r="AD163" s="107" t="s">
        <v>494</v>
      </c>
      <c r="AE163" s="107"/>
      <c r="AF163" s="107"/>
      <c r="AG163" s="104"/>
      <c r="AH163" s="107" t="s">
        <v>494</v>
      </c>
      <c r="AI163" s="107"/>
      <c r="AJ163" s="107"/>
      <c r="AK163" s="104"/>
      <c r="AL163" s="107" t="s">
        <v>494</v>
      </c>
      <c r="AM163" s="107"/>
      <c r="AN163" s="107"/>
      <c r="AO163" s="103"/>
      <c r="AQ163" s="104"/>
      <c r="AR163" s="103"/>
      <c r="AS163" s="104"/>
      <c r="AT163" s="104"/>
      <c r="AU163" s="104"/>
      <c r="AV163" s="104"/>
      <c r="AW163" s="104"/>
      <c r="AX163" s="104"/>
      <c r="AY163" s="104"/>
    </row>
    <row r="164" spans="10:51" ht="15">
      <c r="J164" s="104" t="s">
        <v>515</v>
      </c>
      <c r="K164" s="104"/>
      <c r="L164" s="104" t="s">
        <v>516</v>
      </c>
      <c r="M164" s="104"/>
      <c r="N164" s="104" t="s">
        <v>517</v>
      </c>
      <c r="O164" s="104"/>
      <c r="P164" s="104" t="s">
        <v>518</v>
      </c>
      <c r="Q164" s="104"/>
      <c r="R164" s="104" t="s">
        <v>517</v>
      </c>
      <c r="S164" s="104"/>
      <c r="T164" s="104" t="s">
        <v>518</v>
      </c>
      <c r="U164" s="104"/>
      <c r="V164" s="104" t="s">
        <v>517</v>
      </c>
      <c r="W164" s="104"/>
      <c r="X164" s="104" t="s">
        <v>518</v>
      </c>
      <c r="Y164" s="104"/>
      <c r="Z164" s="104" t="s">
        <v>517</v>
      </c>
      <c r="AA164" s="104"/>
      <c r="AB164" s="104" t="s">
        <v>518</v>
      </c>
      <c r="AC164" s="104"/>
      <c r="AD164" s="104" t="s">
        <v>517</v>
      </c>
      <c r="AE164" s="104"/>
      <c r="AF164" s="104" t="s">
        <v>518</v>
      </c>
      <c r="AG164" s="104"/>
      <c r="AH164" s="104" t="s">
        <v>517</v>
      </c>
      <c r="AI164" s="104"/>
      <c r="AJ164" s="104" t="s">
        <v>518</v>
      </c>
      <c r="AK164" s="104"/>
      <c r="AL164" s="104" t="s">
        <v>517</v>
      </c>
      <c r="AM164" s="104"/>
      <c r="AN164" s="104" t="s">
        <v>518</v>
      </c>
      <c r="AO164" s="103"/>
      <c r="AQ164" s="104"/>
      <c r="AR164" s="103"/>
      <c r="AS164" s="104"/>
      <c r="AT164" s="104"/>
      <c r="AU164" s="104"/>
      <c r="AV164" s="104"/>
      <c r="AW164" s="104"/>
      <c r="AX164" s="104"/>
      <c r="AY164" s="104"/>
    </row>
    <row r="165" spans="10:51" ht="15">
      <c r="J165" s="125">
        <v>-1</v>
      </c>
      <c r="K165" s="120"/>
      <c r="L165" s="125">
        <v>-2</v>
      </c>
      <c r="M165" s="120"/>
      <c r="N165" s="125">
        <v>-3</v>
      </c>
      <c r="O165" s="120"/>
      <c r="P165" s="125" t="s">
        <v>519</v>
      </c>
      <c r="Q165" s="120"/>
      <c r="R165" s="125">
        <v>-5</v>
      </c>
      <c r="S165" s="120"/>
      <c r="T165" s="125" t="s">
        <v>520</v>
      </c>
      <c r="U165" s="120"/>
      <c r="V165" s="125">
        <v>-7</v>
      </c>
      <c r="W165" s="120"/>
      <c r="X165" s="125" t="s">
        <v>521</v>
      </c>
      <c r="Y165" s="120"/>
      <c r="Z165" s="125">
        <v>-9</v>
      </c>
      <c r="AA165" s="120"/>
      <c r="AB165" s="125" t="s">
        <v>522</v>
      </c>
      <c r="AC165" s="120"/>
      <c r="AD165" s="125">
        <v>-11</v>
      </c>
      <c r="AE165" s="120"/>
      <c r="AF165" s="125" t="s">
        <v>523</v>
      </c>
      <c r="AG165" s="120"/>
      <c r="AH165" s="125">
        <v>-13</v>
      </c>
      <c r="AI165" s="120"/>
      <c r="AJ165" s="125" t="s">
        <v>524</v>
      </c>
      <c r="AK165" s="120"/>
      <c r="AL165" s="125">
        <v>-15</v>
      </c>
      <c r="AM165" s="120"/>
      <c r="AN165" s="125">
        <v>-16</v>
      </c>
      <c r="AO165" s="103"/>
      <c r="AQ165" s="120"/>
      <c r="AR165" s="103"/>
      <c r="AS165" s="120"/>
      <c r="AT165" s="120"/>
      <c r="AU165" s="120"/>
      <c r="AV165" s="103"/>
      <c r="AW165" s="120"/>
      <c r="AX165" s="120"/>
      <c r="AY165" s="120"/>
    </row>
    <row r="166" spans="10:51" ht="15">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Q166" s="103"/>
      <c r="AR166" s="103"/>
      <c r="AS166" s="103"/>
      <c r="AT166" s="103"/>
      <c r="AU166" s="103"/>
      <c r="AV166" s="103"/>
      <c r="AW166" s="103"/>
      <c r="AX166" s="103"/>
      <c r="AY166" s="103"/>
    </row>
    <row r="167" spans="10:51" ht="15">
      <c r="J167" s="103" t="s">
        <v>525</v>
      </c>
      <c r="K167" s="103"/>
      <c r="L167" s="121">
        <v>1</v>
      </c>
      <c r="M167" s="103"/>
      <c r="N167" s="109">
        <v>262484</v>
      </c>
      <c r="O167" s="103"/>
      <c r="P167" s="109">
        <f>ROUND(+N167*$L167,0)</f>
        <v>262484</v>
      </c>
      <c r="Q167" s="103"/>
      <c r="R167" s="109">
        <v>7892</v>
      </c>
      <c r="S167" s="103"/>
      <c r="T167" s="109">
        <f>ROUND(+R167*$L167,0)</f>
        <v>7892</v>
      </c>
      <c r="U167" s="103"/>
      <c r="V167" s="109">
        <v>272</v>
      </c>
      <c r="W167" s="103"/>
      <c r="X167" s="109">
        <f>ROUND(+V167*$L167,0)</f>
        <v>272</v>
      </c>
      <c r="Y167" s="103"/>
      <c r="Z167" s="109">
        <v>299</v>
      </c>
      <c r="AA167" s="103"/>
      <c r="AB167" s="109">
        <f>ROUND(+Z167*$L167,0)</f>
        <v>299</v>
      </c>
      <c r="AC167" s="103"/>
      <c r="AD167" s="109">
        <v>0</v>
      </c>
      <c r="AE167" s="103"/>
      <c r="AF167" s="109">
        <f>ROUND(+AD167*$L167,0)</f>
        <v>0</v>
      </c>
      <c r="AG167" s="103"/>
      <c r="AH167" s="109">
        <v>0</v>
      </c>
      <c r="AI167" s="103"/>
      <c r="AJ167" s="109">
        <f>ROUND(+AH167*$L167,0)</f>
        <v>0</v>
      </c>
      <c r="AK167" s="103"/>
      <c r="AL167" s="109">
        <f>N167+R167+V167+Z167+AD167+AH167</f>
        <v>270947</v>
      </c>
      <c r="AM167" s="103"/>
      <c r="AN167" s="109">
        <f>P167+T167+X167+AB167+AF167+AJ167</f>
        <v>270947</v>
      </c>
      <c r="AO167" s="103"/>
      <c r="AQ167" s="104"/>
      <c r="AR167" s="103"/>
      <c r="AS167" s="109"/>
      <c r="AT167" s="109"/>
      <c r="AU167" s="109"/>
      <c r="AV167" s="109"/>
      <c r="AW167" s="109"/>
      <c r="AX167" s="121"/>
      <c r="AY167" s="121"/>
    </row>
    <row r="168" spans="10:51" ht="15">
      <c r="J168" s="103"/>
      <c r="K168" s="103"/>
      <c r="L168" s="121"/>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Q168" s="104"/>
      <c r="AR168" s="103"/>
      <c r="AS168" s="109"/>
      <c r="AT168" s="109"/>
      <c r="AU168" s="109"/>
      <c r="AV168" s="109"/>
      <c r="AW168" s="109"/>
      <c r="AX168" s="121"/>
      <c r="AY168" s="121"/>
    </row>
    <row r="169" spans="7:51" ht="15">
      <c r="G169" s="121"/>
      <c r="J169" s="103" t="s">
        <v>526</v>
      </c>
      <c r="K169" s="103"/>
      <c r="L169" s="121">
        <v>1.19</v>
      </c>
      <c r="M169" s="103"/>
      <c r="N169" s="109">
        <v>4546</v>
      </c>
      <c r="O169" s="103"/>
      <c r="P169" s="109">
        <f>ROUND(+N169*$L169,0)</f>
        <v>5410</v>
      </c>
      <c r="Q169" s="103"/>
      <c r="R169" s="109">
        <v>2180</v>
      </c>
      <c r="S169" s="103"/>
      <c r="T169" s="109">
        <f>ROUND(+R169*$L169,0)</f>
        <v>2594</v>
      </c>
      <c r="U169" s="103"/>
      <c r="V169" s="109">
        <v>146</v>
      </c>
      <c r="W169" s="103"/>
      <c r="X169" s="109">
        <f>ROUND(+V169*$L169,0)</f>
        <v>174</v>
      </c>
      <c r="Y169" s="103"/>
      <c r="Z169" s="109">
        <v>179</v>
      </c>
      <c r="AA169" s="103"/>
      <c r="AB169" s="109">
        <f>ROUND(+Z169*$L169,0)</f>
        <v>213</v>
      </c>
      <c r="AC169" s="103"/>
      <c r="AD169" s="109">
        <v>1</v>
      </c>
      <c r="AE169" s="103"/>
      <c r="AF169" s="109">
        <f>ROUND(+AD169*$L169,0)</f>
        <v>1</v>
      </c>
      <c r="AG169" s="103"/>
      <c r="AH169" s="109">
        <v>2</v>
      </c>
      <c r="AI169" s="103"/>
      <c r="AJ169" s="109">
        <f>ROUND(+AH169*$L169,0)</f>
        <v>2</v>
      </c>
      <c r="AK169" s="103"/>
      <c r="AL169" s="109">
        <f>N169+R169+V169+Z169+AD169+AH169</f>
        <v>7054</v>
      </c>
      <c r="AM169" s="103"/>
      <c r="AN169" s="109">
        <f>P169+T169+X169+AB169+AF169+AJ169</f>
        <v>8394</v>
      </c>
      <c r="AO169" s="103"/>
      <c r="AQ169" s="104"/>
      <c r="AR169" s="103"/>
      <c r="AS169" s="109"/>
      <c r="AT169" s="109"/>
      <c r="AU169" s="109"/>
      <c r="AV169" s="109"/>
      <c r="AW169" s="109"/>
      <c r="AX169" s="121"/>
      <c r="AY169" s="121"/>
    </row>
    <row r="170" spans="7:51" ht="15">
      <c r="G170" s="121"/>
      <c r="J170" s="103"/>
      <c r="K170" s="103"/>
      <c r="L170" s="121"/>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Q170" s="104"/>
      <c r="AR170" s="103"/>
      <c r="AS170" s="109"/>
      <c r="AT170" s="109"/>
      <c r="AU170" s="109"/>
      <c r="AV170" s="109"/>
      <c r="AW170" s="109"/>
      <c r="AX170" s="121"/>
      <c r="AY170" s="121"/>
    </row>
    <row r="171" spans="7:51" ht="15">
      <c r="G171" s="121"/>
      <c r="J171" s="103" t="s">
        <v>527</v>
      </c>
      <c r="K171" s="103"/>
      <c r="L171" s="121">
        <v>1.72</v>
      </c>
      <c r="M171" s="103"/>
      <c r="N171" s="109">
        <v>149</v>
      </c>
      <c r="O171" s="103"/>
      <c r="P171" s="109">
        <f>ROUND(+N171*$L171,0)</f>
        <v>256</v>
      </c>
      <c r="Q171" s="103"/>
      <c r="R171" s="109">
        <v>1409</v>
      </c>
      <c r="S171" s="103"/>
      <c r="T171" s="109">
        <f>ROUND(+R171*$L171,0)</f>
        <v>2423</v>
      </c>
      <c r="U171" s="103"/>
      <c r="V171" s="109">
        <v>53</v>
      </c>
      <c r="W171" s="103"/>
      <c r="X171" s="109">
        <f>ROUND(+V171*$L171,0)</f>
        <v>91</v>
      </c>
      <c r="Y171" s="103"/>
      <c r="Z171" s="109">
        <v>64</v>
      </c>
      <c r="AA171" s="103"/>
      <c r="AB171" s="109">
        <f>ROUND(+Z171*$L171,0)</f>
        <v>110</v>
      </c>
      <c r="AC171" s="103"/>
      <c r="AD171" s="109">
        <v>0</v>
      </c>
      <c r="AE171" s="103"/>
      <c r="AF171" s="109">
        <f>ROUND(+AD171*$L171,0)</f>
        <v>0</v>
      </c>
      <c r="AG171" s="103"/>
      <c r="AH171" s="109">
        <v>61</v>
      </c>
      <c r="AI171" s="103"/>
      <c r="AJ171" s="109">
        <f>ROUND(+AH171*$L171,0)</f>
        <v>105</v>
      </c>
      <c r="AK171" s="103"/>
      <c r="AL171" s="109">
        <f>N171+R171+V171+Z171+AD171+AH171</f>
        <v>1736</v>
      </c>
      <c r="AM171" s="103"/>
      <c r="AN171" s="109">
        <f>P171+T171+X171+AB171+AF171+AJ171</f>
        <v>2985</v>
      </c>
      <c r="AO171" s="103"/>
      <c r="AQ171" s="104"/>
      <c r="AR171" s="103"/>
      <c r="AS171" s="109"/>
      <c r="AT171" s="109"/>
      <c r="AU171" s="109"/>
      <c r="AV171" s="109"/>
      <c r="AW171" s="109"/>
      <c r="AX171" s="121"/>
      <c r="AY171" s="121"/>
    </row>
    <row r="172" spans="7:51" ht="15">
      <c r="G172" s="121"/>
      <c r="J172" s="103"/>
      <c r="K172" s="103"/>
      <c r="L172" s="121"/>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Q172" s="104"/>
      <c r="AR172" s="103"/>
      <c r="AS172" s="109"/>
      <c r="AT172" s="109"/>
      <c r="AU172" s="109"/>
      <c r="AV172" s="109"/>
      <c r="AW172" s="109"/>
      <c r="AX172" s="121"/>
      <c r="AY172" s="121"/>
    </row>
    <row r="173" spans="7:51" ht="15">
      <c r="G173" s="121"/>
      <c r="J173" s="103" t="s">
        <v>528</v>
      </c>
      <c r="K173" s="103"/>
      <c r="L173" s="121">
        <v>2.38</v>
      </c>
      <c r="M173" s="103"/>
      <c r="N173" s="109">
        <v>79</v>
      </c>
      <c r="O173" s="103"/>
      <c r="P173" s="109">
        <f>ROUND(+N173*$L173,0)</f>
        <v>188</v>
      </c>
      <c r="Q173" s="103"/>
      <c r="R173" s="109">
        <v>1311</v>
      </c>
      <c r="S173" s="103"/>
      <c r="T173" s="109">
        <f>ROUND(+R173*$L173,0)</f>
        <v>3120</v>
      </c>
      <c r="U173" s="103"/>
      <c r="V173" s="109">
        <v>123</v>
      </c>
      <c r="W173" s="103"/>
      <c r="X173" s="109">
        <f>ROUND(+V173*$L173,0)</f>
        <v>293</v>
      </c>
      <c r="Y173" s="103"/>
      <c r="Z173" s="109">
        <v>115</v>
      </c>
      <c r="AA173" s="103"/>
      <c r="AB173" s="109">
        <f>ROUND(+Z173*$L173,0)</f>
        <v>274</v>
      </c>
      <c r="AC173" s="103"/>
      <c r="AD173" s="109">
        <v>1</v>
      </c>
      <c r="AE173" s="103"/>
      <c r="AF173" s="109">
        <f>ROUND(+AD173*$L173,0)</f>
        <v>2</v>
      </c>
      <c r="AG173" s="103"/>
      <c r="AH173" s="109">
        <v>51</v>
      </c>
      <c r="AI173" s="103"/>
      <c r="AJ173" s="109">
        <f>ROUND(+AH173*$L173,0)</f>
        <v>121</v>
      </c>
      <c r="AK173" s="103"/>
      <c r="AL173" s="109">
        <f>N173+R173+V173+Z173+AD173+AH173</f>
        <v>1680</v>
      </c>
      <c r="AM173" s="103"/>
      <c r="AN173" s="109">
        <f>P173+T173+X173+AB173+AF173+AJ173</f>
        <v>3998</v>
      </c>
      <c r="AO173" s="103"/>
      <c r="AQ173" s="104"/>
      <c r="AR173" s="103"/>
      <c r="AS173" s="109"/>
      <c r="AT173" s="109"/>
      <c r="AU173" s="109"/>
      <c r="AV173" s="109"/>
      <c r="AW173" s="109"/>
      <c r="AX173" s="121"/>
      <c r="AY173" s="121"/>
    </row>
    <row r="174" spans="7:51" ht="15">
      <c r="G174" s="121"/>
      <c r="J174" s="103"/>
      <c r="K174" s="103"/>
      <c r="L174" s="121"/>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Q174" s="104"/>
      <c r="AR174" s="103"/>
      <c r="AS174" s="109"/>
      <c r="AT174" s="109"/>
      <c r="AU174" s="109"/>
      <c r="AV174" s="109"/>
      <c r="AW174" s="109"/>
      <c r="AX174" s="121"/>
      <c r="AY174" s="121"/>
    </row>
    <row r="175" spans="7:51" ht="15">
      <c r="G175" s="121"/>
      <c r="J175" s="103" t="s">
        <v>529</v>
      </c>
      <c r="K175" s="103"/>
      <c r="L175" s="121">
        <v>2.92</v>
      </c>
      <c r="M175" s="103"/>
      <c r="N175" s="109">
        <v>2</v>
      </c>
      <c r="O175" s="103"/>
      <c r="P175" s="109">
        <f>ROUND(+N175*$L175,0)</f>
        <v>6</v>
      </c>
      <c r="Q175" s="103"/>
      <c r="R175" s="109">
        <v>530</v>
      </c>
      <c r="S175" s="103"/>
      <c r="T175" s="109">
        <f>ROUND(+R175*$L175,0)</f>
        <v>1548</v>
      </c>
      <c r="U175" s="103"/>
      <c r="V175" s="109">
        <v>82</v>
      </c>
      <c r="W175" s="103"/>
      <c r="X175" s="109">
        <f>ROUND(+V175*$L175,0)</f>
        <v>239</v>
      </c>
      <c r="Y175" s="103"/>
      <c r="Z175" s="109">
        <v>123</v>
      </c>
      <c r="AA175" s="103"/>
      <c r="AB175" s="109">
        <f>ROUND(+Z175*$L175,0)</f>
        <v>359</v>
      </c>
      <c r="AC175" s="103"/>
      <c r="AD175" s="109">
        <v>6</v>
      </c>
      <c r="AE175" s="103"/>
      <c r="AF175" s="109">
        <f>ROUND(+AD175*$L175,0)</f>
        <v>18</v>
      </c>
      <c r="AG175" s="103"/>
      <c r="AH175" s="109">
        <v>622</v>
      </c>
      <c r="AI175" s="103"/>
      <c r="AJ175" s="109">
        <f>ROUND(+AH175*$L175,0)</f>
        <v>1816</v>
      </c>
      <c r="AK175" s="103"/>
      <c r="AL175" s="109">
        <f>N175+R175+V175+Z175+AD175+AH175</f>
        <v>1365</v>
      </c>
      <c r="AM175" s="103"/>
      <c r="AN175" s="109">
        <f>P175+T175+X175+AB175+AF175+AJ175</f>
        <v>3986</v>
      </c>
      <c r="AO175" s="103"/>
      <c r="AQ175" s="104"/>
      <c r="AR175" s="103"/>
      <c r="AS175" s="109"/>
      <c r="AT175" s="109"/>
      <c r="AU175" s="109"/>
      <c r="AV175" s="109"/>
      <c r="AW175" s="109"/>
      <c r="AX175" s="121"/>
      <c r="AY175" s="121"/>
    </row>
    <row r="176" spans="7:51" ht="15">
      <c r="G176" s="121"/>
      <c r="J176" s="103"/>
      <c r="K176" s="103"/>
      <c r="L176" s="121"/>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Q176" s="104"/>
      <c r="AR176" s="103"/>
      <c r="AS176" s="109"/>
      <c r="AT176" s="109"/>
      <c r="AU176" s="109"/>
      <c r="AV176" s="109"/>
      <c r="AW176" s="109"/>
      <c r="AX176" s="121"/>
      <c r="AY176" s="121"/>
    </row>
    <row r="177" spans="7:51" ht="15">
      <c r="G177" s="121"/>
      <c r="J177" s="103" t="s">
        <v>530</v>
      </c>
      <c r="K177" s="103"/>
      <c r="L177" s="121">
        <v>3.96</v>
      </c>
      <c r="M177" s="103"/>
      <c r="N177" s="109">
        <v>16</v>
      </c>
      <c r="O177" s="103"/>
      <c r="P177" s="109">
        <f>ROUND(+N177*$L177,0)</f>
        <v>63</v>
      </c>
      <c r="Q177" s="103"/>
      <c r="R177" s="109">
        <v>144</v>
      </c>
      <c r="S177" s="103"/>
      <c r="T177" s="109">
        <f>ROUND(+R177*$L177,0)</f>
        <v>570</v>
      </c>
      <c r="U177" s="103"/>
      <c r="V177" s="109">
        <v>61</v>
      </c>
      <c r="W177" s="103"/>
      <c r="X177" s="109">
        <f>ROUND(+V177*$L177,0)</f>
        <v>242</v>
      </c>
      <c r="Y177" s="103"/>
      <c r="Z177" s="109">
        <v>9</v>
      </c>
      <c r="AA177" s="103"/>
      <c r="AB177" s="109">
        <f>ROUND(+Z177*$L177,0)</f>
        <v>36</v>
      </c>
      <c r="AC177" s="103"/>
      <c r="AD177" s="109">
        <v>2</v>
      </c>
      <c r="AE177" s="103"/>
      <c r="AF177" s="109">
        <f>ROUND(+AD177*$L177,0)</f>
        <v>8</v>
      </c>
      <c r="AG177" s="103"/>
      <c r="AH177" s="109">
        <v>988</v>
      </c>
      <c r="AI177" s="103"/>
      <c r="AJ177" s="109">
        <f>ROUND(+AH177*$L177,0)</f>
        <v>3912</v>
      </c>
      <c r="AK177" s="103"/>
      <c r="AL177" s="109">
        <f>N177+R177+V177+Z177+AD177+AH177</f>
        <v>1220</v>
      </c>
      <c r="AM177" s="103"/>
      <c r="AN177" s="109">
        <f>P177+T177+X177+AB177+AF177+AJ177</f>
        <v>4831</v>
      </c>
      <c r="AO177" s="103"/>
      <c r="AQ177" s="104"/>
      <c r="AR177" s="103"/>
      <c r="AS177" s="109"/>
      <c r="AT177" s="109"/>
      <c r="AU177" s="109"/>
      <c r="AV177" s="109"/>
      <c r="AW177" s="109"/>
      <c r="AX177" s="121"/>
      <c r="AY177" s="121"/>
    </row>
    <row r="178" spans="7:51" ht="15">
      <c r="G178" s="121"/>
      <c r="J178" s="103"/>
      <c r="K178" s="103"/>
      <c r="L178" s="121"/>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Q178" s="104"/>
      <c r="AR178" s="103"/>
      <c r="AS178" s="109"/>
      <c r="AT178" s="109"/>
      <c r="AU178" s="109"/>
      <c r="AV178" s="109"/>
      <c r="AW178" s="109"/>
      <c r="AX178" s="121"/>
      <c r="AY178" s="121"/>
    </row>
    <row r="179" spans="7:51" ht="15">
      <c r="G179" s="121"/>
      <c r="J179" s="103" t="s">
        <v>531</v>
      </c>
      <c r="K179" s="103"/>
      <c r="L179" s="121">
        <v>6.46</v>
      </c>
      <c r="M179" s="103"/>
      <c r="N179" s="109">
        <v>1</v>
      </c>
      <c r="O179" s="103"/>
      <c r="P179" s="109">
        <f>ROUND(+N179*$L179,0)</f>
        <v>6</v>
      </c>
      <c r="Q179" s="103"/>
      <c r="R179" s="109">
        <v>12</v>
      </c>
      <c r="S179" s="103"/>
      <c r="T179" s="109">
        <f>ROUND(+R179*$L179,0)</f>
        <v>78</v>
      </c>
      <c r="U179" s="103"/>
      <c r="V179" s="109">
        <v>10</v>
      </c>
      <c r="W179" s="103"/>
      <c r="X179" s="109">
        <f>ROUND(+V179*$L179,0)</f>
        <v>65</v>
      </c>
      <c r="Y179" s="103"/>
      <c r="Z179" s="109">
        <v>0</v>
      </c>
      <c r="AA179" s="103"/>
      <c r="AB179" s="109">
        <f>ROUND(+Z179*$L179,0)</f>
        <v>0</v>
      </c>
      <c r="AC179" s="103"/>
      <c r="AD179" s="109">
        <v>1</v>
      </c>
      <c r="AE179" s="103"/>
      <c r="AF179" s="109">
        <f>ROUND(+AD179*$L179,0)</f>
        <v>6</v>
      </c>
      <c r="AG179" s="103"/>
      <c r="AH179" s="109">
        <v>445</v>
      </c>
      <c r="AI179" s="103"/>
      <c r="AJ179" s="109">
        <f>ROUND(+AH179*$L179,0)</f>
        <v>2875</v>
      </c>
      <c r="AK179" s="103"/>
      <c r="AL179" s="109">
        <f>N179+R179+V179+Z179+AD179+AH179</f>
        <v>469</v>
      </c>
      <c r="AM179" s="103"/>
      <c r="AN179" s="109">
        <f>P179+T179+X179+AB179+AF179+AJ179</f>
        <v>3030</v>
      </c>
      <c r="AO179" s="103"/>
      <c r="AQ179" s="104"/>
      <c r="AR179" s="103"/>
      <c r="AS179" s="109"/>
      <c r="AT179" s="109"/>
      <c r="AU179" s="109"/>
      <c r="AV179" s="109"/>
      <c r="AW179" s="109"/>
      <c r="AX179" s="121"/>
      <c r="AY179" s="121"/>
    </row>
    <row r="180" spans="7:51" ht="15">
      <c r="G180" s="121"/>
      <c r="J180" s="103"/>
      <c r="K180" s="103"/>
      <c r="L180" s="121"/>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Q180" s="104"/>
      <c r="AR180" s="103"/>
      <c r="AS180" s="109"/>
      <c r="AT180" s="109"/>
      <c r="AU180" s="109"/>
      <c r="AV180" s="109"/>
      <c r="AW180" s="109"/>
      <c r="AX180" s="121"/>
      <c r="AY180" s="121"/>
    </row>
    <row r="181" spans="7:51" ht="15">
      <c r="G181" s="121"/>
      <c r="J181" s="103" t="s">
        <v>532</v>
      </c>
      <c r="K181" s="103"/>
      <c r="L181" s="121">
        <v>8.68</v>
      </c>
      <c r="M181" s="103"/>
      <c r="N181" s="109">
        <v>0</v>
      </c>
      <c r="O181" s="103"/>
      <c r="P181" s="109">
        <f>ROUND(+N181*$L181,0)</f>
        <v>0</v>
      </c>
      <c r="Q181" s="103"/>
      <c r="R181" s="109">
        <v>12</v>
      </c>
      <c r="S181" s="103"/>
      <c r="T181" s="109">
        <f>ROUND(+R181*$L181,0)</f>
        <v>104</v>
      </c>
      <c r="U181" s="103"/>
      <c r="V181" s="109">
        <v>10</v>
      </c>
      <c r="W181" s="103"/>
      <c r="X181" s="109">
        <f>ROUND(+V181*$L181,0)</f>
        <v>87</v>
      </c>
      <c r="Y181" s="103"/>
      <c r="Z181" s="109">
        <v>0</v>
      </c>
      <c r="AA181" s="103"/>
      <c r="AB181" s="109">
        <f>ROUND(+Z181*$L181,0)</f>
        <v>0</v>
      </c>
      <c r="AC181" s="103"/>
      <c r="AD181" s="109">
        <v>1</v>
      </c>
      <c r="AE181" s="103"/>
      <c r="AF181" s="109">
        <f>ROUND(+AD181*$L181,0)</f>
        <v>9</v>
      </c>
      <c r="AG181" s="103"/>
      <c r="AH181" s="109">
        <v>20</v>
      </c>
      <c r="AI181" s="103"/>
      <c r="AJ181" s="109">
        <f>ROUND(+AH181*$L181,0)</f>
        <v>174</v>
      </c>
      <c r="AK181" s="103"/>
      <c r="AL181" s="109">
        <f>N181+R181+V181+Z181+AD181+AH181</f>
        <v>43</v>
      </c>
      <c r="AM181" s="103"/>
      <c r="AN181" s="109">
        <f>P181+T181+X181+AB181+AF181+AJ181</f>
        <v>374</v>
      </c>
      <c r="AO181" s="103"/>
      <c r="AQ181" s="104"/>
      <c r="AR181" s="103"/>
      <c r="AS181" s="109"/>
      <c r="AT181" s="109"/>
      <c r="AU181" s="109"/>
      <c r="AV181" s="109"/>
      <c r="AW181" s="109"/>
      <c r="AX181" s="121"/>
      <c r="AY181" s="121"/>
    </row>
    <row r="182" spans="7:51" ht="15">
      <c r="G182" s="121"/>
      <c r="J182" s="103"/>
      <c r="K182" s="103"/>
      <c r="L182" s="121"/>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Q182" s="104"/>
      <c r="AR182" s="103"/>
      <c r="AS182" s="109"/>
      <c r="AT182" s="109"/>
      <c r="AU182" s="109"/>
      <c r="AV182" s="109"/>
      <c r="AW182" s="109"/>
      <c r="AX182" s="121"/>
      <c r="AY182" s="121"/>
    </row>
    <row r="183" spans="7:51" ht="15">
      <c r="G183" s="121"/>
      <c r="J183" s="103" t="s">
        <v>533</v>
      </c>
      <c r="K183" s="103"/>
      <c r="L183" s="121">
        <v>11.11</v>
      </c>
      <c r="M183" s="103"/>
      <c r="N183" s="109">
        <v>0</v>
      </c>
      <c r="O183" s="103"/>
      <c r="P183" s="109">
        <f>ROUND(+N183*$L183,0)</f>
        <v>0</v>
      </c>
      <c r="Q183" s="103"/>
      <c r="R183" s="109">
        <v>0</v>
      </c>
      <c r="S183" s="103"/>
      <c r="T183" s="109">
        <f>ROUND(+R183*$L183,0)</f>
        <v>0</v>
      </c>
      <c r="U183" s="103"/>
      <c r="V183" s="109">
        <v>0</v>
      </c>
      <c r="W183" s="103"/>
      <c r="X183" s="109">
        <f>ROUND(+V183*$L183,0)</f>
        <v>0</v>
      </c>
      <c r="Y183" s="103"/>
      <c r="Z183" s="109">
        <v>0</v>
      </c>
      <c r="AA183" s="103"/>
      <c r="AB183" s="109">
        <f>ROUND(+Z183*$L183,0)</f>
        <v>0</v>
      </c>
      <c r="AC183" s="103"/>
      <c r="AD183" s="109">
        <v>1</v>
      </c>
      <c r="AE183" s="103"/>
      <c r="AF183" s="109">
        <f>ROUND(+AD183*$L183,0)</f>
        <v>11</v>
      </c>
      <c r="AG183" s="103"/>
      <c r="AH183" s="109">
        <v>0</v>
      </c>
      <c r="AI183" s="103"/>
      <c r="AJ183" s="109">
        <f>ROUND(+AH183*$L183,0)</f>
        <v>0</v>
      </c>
      <c r="AK183" s="103"/>
      <c r="AL183" s="109">
        <f>N183+R183+V183+Z183+AD183+AH183</f>
        <v>1</v>
      </c>
      <c r="AM183" s="103"/>
      <c r="AN183" s="109">
        <f>P183+T183+X183+AB183+AF183+AJ183</f>
        <v>11</v>
      </c>
      <c r="AO183" s="103"/>
      <c r="AQ183" s="104"/>
      <c r="AR183" s="103"/>
      <c r="AS183" s="109"/>
      <c r="AT183" s="109"/>
      <c r="AU183" s="109"/>
      <c r="AV183" s="109"/>
      <c r="AW183" s="109"/>
      <c r="AX183" s="121"/>
      <c r="AY183" s="121"/>
    </row>
    <row r="184" spans="7:51" ht="15">
      <c r="G184" s="121"/>
      <c r="J184" s="103"/>
      <c r="K184" s="103"/>
      <c r="L184" s="121"/>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Q184" s="104"/>
      <c r="AR184" s="103"/>
      <c r="AS184" s="109"/>
      <c r="AT184" s="109"/>
      <c r="AU184" s="109"/>
      <c r="AV184" s="109"/>
      <c r="AW184" s="109"/>
      <c r="AX184" s="121"/>
      <c r="AY184" s="121"/>
    </row>
    <row r="185" spans="7:51" ht="15">
      <c r="G185" s="121"/>
      <c r="I185" s="126"/>
      <c r="J185" s="103" t="s">
        <v>534</v>
      </c>
      <c r="K185" s="103"/>
      <c r="L185" s="121">
        <v>15.97</v>
      </c>
      <c r="M185" s="103"/>
      <c r="N185" s="109">
        <v>0</v>
      </c>
      <c r="O185" s="103"/>
      <c r="P185" s="109">
        <f>ROUND(+N185*$L185,0)</f>
        <v>0</v>
      </c>
      <c r="Q185" s="103"/>
      <c r="R185" s="109">
        <v>0</v>
      </c>
      <c r="S185" s="103"/>
      <c r="T185" s="109">
        <f>ROUND(+R185*$L185,0)</f>
        <v>0</v>
      </c>
      <c r="U185" s="103"/>
      <c r="V185" s="109">
        <v>0</v>
      </c>
      <c r="W185" s="103"/>
      <c r="X185" s="109">
        <f>ROUND(+V185*$L185,0)</f>
        <v>0</v>
      </c>
      <c r="Y185" s="103"/>
      <c r="Z185" s="109">
        <v>0</v>
      </c>
      <c r="AA185" s="103"/>
      <c r="AB185" s="109">
        <f>ROUND(+Z185*$L185,0)</f>
        <v>0</v>
      </c>
      <c r="AC185" s="103"/>
      <c r="AD185" s="109">
        <v>1</v>
      </c>
      <c r="AE185" s="103"/>
      <c r="AF185" s="109">
        <f>ROUND(+AD185*$L185,0)</f>
        <v>16</v>
      </c>
      <c r="AG185" s="103"/>
      <c r="AH185" s="109">
        <v>0</v>
      </c>
      <c r="AI185" s="103"/>
      <c r="AJ185" s="109">
        <f>ROUND(+AH185*$L185,0)</f>
        <v>0</v>
      </c>
      <c r="AK185" s="103"/>
      <c r="AL185" s="109">
        <f>N185+R185+V185+Z185+AD185+AH185</f>
        <v>1</v>
      </c>
      <c r="AM185" s="103"/>
      <c r="AN185" s="109">
        <f>P185+T185+X185+AB185+AF185+AJ185</f>
        <v>16</v>
      </c>
      <c r="AO185" s="103"/>
      <c r="AQ185" s="104"/>
      <c r="AR185" s="103"/>
      <c r="AS185" s="109"/>
      <c r="AT185" s="109"/>
      <c r="AU185" s="109"/>
      <c r="AV185" s="109"/>
      <c r="AW185" s="109"/>
      <c r="AX185" s="121"/>
      <c r="AY185" s="121"/>
    </row>
    <row r="186" spans="10:51" ht="15">
      <c r="J186" s="103"/>
      <c r="K186" s="103"/>
      <c r="L186" s="103"/>
      <c r="M186" s="103"/>
      <c r="N186" s="127"/>
      <c r="O186" s="103"/>
      <c r="P186" s="127"/>
      <c r="Q186" s="103"/>
      <c r="R186" s="127"/>
      <c r="S186" s="103"/>
      <c r="T186" s="127"/>
      <c r="U186" s="103"/>
      <c r="V186" s="127"/>
      <c r="W186" s="103"/>
      <c r="X186" s="127"/>
      <c r="Y186" s="103"/>
      <c r="Z186" s="127"/>
      <c r="AA186" s="103"/>
      <c r="AB186" s="127"/>
      <c r="AC186" s="103"/>
      <c r="AD186" s="127"/>
      <c r="AE186" s="103"/>
      <c r="AF186" s="127"/>
      <c r="AG186" s="103"/>
      <c r="AH186" s="127"/>
      <c r="AI186" s="103"/>
      <c r="AJ186" s="127"/>
      <c r="AK186" s="103"/>
      <c r="AL186" s="127"/>
      <c r="AM186" s="103"/>
      <c r="AN186" s="127"/>
      <c r="AO186" s="103"/>
      <c r="AQ186" s="103"/>
      <c r="AR186" s="103"/>
      <c r="AS186" s="109"/>
      <c r="AT186" s="109"/>
      <c r="AU186" s="109"/>
      <c r="AV186" s="109"/>
      <c r="AW186" s="109"/>
      <c r="AX186" s="103"/>
      <c r="AY186" s="103"/>
    </row>
    <row r="187" spans="10:51" ht="15">
      <c r="J187" s="103" t="s">
        <v>512</v>
      </c>
      <c r="K187" s="103"/>
      <c r="L187" s="103"/>
      <c r="M187" s="103"/>
      <c r="N187" s="109">
        <f>SUM(N167:N185)</f>
        <v>267277</v>
      </c>
      <c r="O187" s="103"/>
      <c r="P187" s="109">
        <f>SUM(P167:P185)</f>
        <v>268413</v>
      </c>
      <c r="Q187" s="103"/>
      <c r="R187" s="109">
        <f>SUM(R167:R185)</f>
        <v>13490</v>
      </c>
      <c r="S187" s="103"/>
      <c r="T187" s="109">
        <f>SUM(T167:T185)</f>
        <v>18329</v>
      </c>
      <c r="U187" s="103"/>
      <c r="V187" s="109">
        <f>SUM(V167:V185)</f>
        <v>757</v>
      </c>
      <c r="W187" s="103"/>
      <c r="X187" s="109">
        <f>SUM(X167:X185)</f>
        <v>1463</v>
      </c>
      <c r="Y187" s="103"/>
      <c r="Z187" s="109">
        <f>SUM(Z167:Z185)</f>
        <v>789</v>
      </c>
      <c r="AA187" s="103"/>
      <c r="AB187" s="109">
        <f>SUM(AB167:AB185)</f>
        <v>1291</v>
      </c>
      <c r="AC187" s="103"/>
      <c r="AD187" s="109">
        <f>SUM(AD167:AD185)</f>
        <v>14</v>
      </c>
      <c r="AE187" s="103"/>
      <c r="AF187" s="109">
        <f>SUM(AF167:AF185)</f>
        <v>71</v>
      </c>
      <c r="AG187" s="103"/>
      <c r="AH187" s="109">
        <f>SUM(AH167:AH185)</f>
        <v>2189</v>
      </c>
      <c r="AI187" s="103"/>
      <c r="AJ187" s="109">
        <f>SUM(AJ167:AJ185)</f>
        <v>9005</v>
      </c>
      <c r="AK187" s="103"/>
      <c r="AL187" s="109">
        <f>SUM(AL167:AL185)</f>
        <v>284516</v>
      </c>
      <c r="AM187" s="103"/>
      <c r="AN187" s="109">
        <f>SUM(AN167:AN185)</f>
        <v>298572</v>
      </c>
      <c r="AO187" s="103"/>
      <c r="AQ187" s="103"/>
      <c r="AR187" s="103"/>
      <c r="AS187" s="103"/>
      <c r="AT187" s="103"/>
      <c r="AU187" s="103"/>
      <c r="AV187" s="103"/>
      <c r="AW187" s="103"/>
      <c r="AX187" s="103"/>
      <c r="AY187" s="103"/>
    </row>
    <row r="188" spans="10:41" ht="15">
      <c r="J188" s="103"/>
      <c r="K188" s="103"/>
      <c r="L188" s="103"/>
      <c r="M188" s="103"/>
      <c r="N188" s="116"/>
      <c r="O188" s="103"/>
      <c r="P188" s="116"/>
      <c r="Q188" s="103"/>
      <c r="R188" s="116"/>
      <c r="S188" s="103"/>
      <c r="T188" s="116"/>
      <c r="U188" s="103"/>
      <c r="V188" s="116"/>
      <c r="W188" s="103"/>
      <c r="X188" s="116"/>
      <c r="Y188" s="103"/>
      <c r="Z188" s="116"/>
      <c r="AA188" s="103"/>
      <c r="AB188" s="116"/>
      <c r="AC188" s="103"/>
      <c r="AD188" s="116"/>
      <c r="AE188" s="103"/>
      <c r="AF188" s="116"/>
      <c r="AG188" s="103"/>
      <c r="AH188" s="116"/>
      <c r="AI188" s="103"/>
      <c r="AJ188" s="116"/>
      <c r="AK188" s="103"/>
      <c r="AL188" s="116"/>
      <c r="AM188" s="103"/>
      <c r="AN188" s="116"/>
      <c r="AO188" s="103"/>
    </row>
    <row r="189" spans="10:41" ht="15">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row>
    <row r="190" spans="10:41" ht="15">
      <c r="J190" s="103"/>
      <c r="K190" s="103"/>
      <c r="L190" s="103"/>
      <c r="M190" s="103"/>
      <c r="N190" s="103"/>
      <c r="O190" s="103"/>
      <c r="P190" s="122"/>
      <c r="Q190" s="103"/>
      <c r="R190" s="103"/>
      <c r="S190" s="103"/>
      <c r="T190" s="122"/>
      <c r="U190" s="103"/>
      <c r="V190" s="103"/>
      <c r="W190" s="103"/>
      <c r="X190" s="122"/>
      <c r="Y190" s="103"/>
      <c r="Z190" s="103"/>
      <c r="AA190" s="103"/>
      <c r="AB190" s="122"/>
      <c r="AC190" s="103"/>
      <c r="AD190" s="103"/>
      <c r="AE190" s="103"/>
      <c r="AF190" s="122"/>
      <c r="AG190" s="103"/>
      <c r="AH190" s="103"/>
      <c r="AI190" s="103"/>
      <c r="AJ190" s="122"/>
      <c r="AK190" s="103"/>
      <c r="AL190" s="103"/>
      <c r="AM190" s="103"/>
      <c r="AN190" s="122"/>
      <c r="AO190" s="103"/>
    </row>
    <row r="191" spans="10:41" ht="15">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row>
    <row r="192" spans="10:41" ht="15">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row>
    <row r="193" spans="10:41" ht="15">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row>
    <row r="194" spans="10:41" ht="15">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row>
    <row r="195" spans="10:41" ht="15">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row>
    <row r="196" spans="10:41" ht="15">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row>
    <row r="197" spans="10:41" ht="15">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row>
  </sheetData>
  <mergeCells count="4">
    <mergeCell ref="A23:G23"/>
    <mergeCell ref="A46:F46"/>
    <mergeCell ref="A4:G4"/>
    <mergeCell ref="A41:G41"/>
  </mergeCells>
  <printOptions horizontalCentered="1"/>
  <pageMargins left="1" right="1" top="1" bottom="0.5" header="0.5" footer="0.5"/>
  <pageSetup fitToHeight="0" horizontalDpi="600" verticalDpi="600" orientation="portrait" r:id="rId1"/>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Sheila Miller</cp:lastModifiedBy>
  <cp:lastPrinted>2010-02-18T17:41:56Z</cp:lastPrinted>
  <dcterms:created xsi:type="dcterms:W3CDTF">2000-03-27T20:18:41Z</dcterms:created>
  <dcterms:modified xsi:type="dcterms:W3CDTF">2010-03-10T14:10:20Z</dcterms:modified>
  <cp:category/>
  <cp:version/>
  <cp:contentType/>
  <cp:contentStatus/>
</cp:coreProperties>
</file>