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firstSheet="7" activeTab="8"/>
  </bookViews>
  <sheets>
    <sheet name="plant" sheetId="1" r:id="rId1"/>
    <sheet name="Dep" sheetId="2" r:id="rId2"/>
    <sheet name="use" sheetId="3" r:id="rId3"/>
    <sheet name="miles" sheetId="4" r:id="rId4"/>
    <sheet name="factors" sheetId="5" r:id="rId5"/>
    <sheet name="Income" sheetId="6" r:id="rId6"/>
    <sheet name="tyba" sheetId="7" r:id="rId7"/>
    <sheet name="rec ar ar" sheetId="8" r:id="rId8"/>
    <sheet name="exp" sheetId="9" r:id="rId9"/>
    <sheet name="exp adj" sheetId="10" r:id="rId10"/>
    <sheet name="function" sheetId="11" r:id="rId11"/>
    <sheet name="whse rate" sheetId="12" r:id="rId12"/>
    <sheet name="ret alloc" sheetId="13" r:id="rId13"/>
    <sheet name="coss" sheetId="14" r:id="rId14"/>
    <sheet name="rev ba" sheetId="15" r:id="rId15"/>
    <sheet name="benefits" sheetId="16" r:id="rId16"/>
  </sheets>
  <definedNames>
    <definedName name="_xlnm.Print_Area" localSheetId="13">'coss'!$A$1:$I$21</definedName>
    <definedName name="_xlnm.Print_Area" localSheetId="1">'Dep'!$A$1:$E$23</definedName>
    <definedName name="_xlnm.Print_Area" localSheetId="8">'exp'!$A$31:$D$40</definedName>
    <definedName name="_xlnm.Print_Area" localSheetId="4">'factors'!$A$1:$E$16</definedName>
    <definedName name="_xlnm.Print_Area" localSheetId="10">'function'!$A$1:$E$48</definedName>
    <definedName name="_xlnm.Print_Area" localSheetId="5">'Income'!$A$1:$B$14</definedName>
    <definedName name="_xlnm.Print_Area" localSheetId="0">'plant'!$A$1:$E$25</definedName>
    <definedName name="_xlnm.Print_Area" localSheetId="7">'rec ar ar'!$A$1:$B$12</definedName>
    <definedName name="_xlnm.Print_Area" localSheetId="12">'ret alloc'!$A$1:$E$9</definedName>
    <definedName name="_xlnm.Print_Area" localSheetId="14">'rev ba'!$A$1:$I$31</definedName>
    <definedName name="_xlnm.Print_Area" localSheetId="6">'tyba'!$A$1:$I$30</definedName>
    <definedName name="_xlnm.Print_Area" localSheetId="2">'use'!$A$1:$C$13</definedName>
    <definedName name="_xlnm.Print_Area" localSheetId="11">'whse rate'!$A$1:$F$29</definedName>
  </definedNames>
  <calcPr fullCalcOnLoad="1"/>
</workbook>
</file>

<file path=xl/comments11.xml><?xml version="1.0" encoding="utf-8"?>
<comments xmlns="http://schemas.openxmlformats.org/spreadsheetml/2006/main">
  <authors>
    <author>Carryn Lee</author>
  </authors>
  <commentList>
    <comment ref="E4" authorId="0">
      <text>
        <r>
          <rPr>
            <b/>
            <sz val="8"/>
            <rFont val="Tahoma"/>
            <family val="0"/>
          </rPr>
          <t>Carryn Lee:
See board meeting for 9-08</t>
        </r>
      </text>
    </comment>
  </commentList>
</comments>
</file>

<file path=xl/comments9.xml><?xml version="1.0" encoding="utf-8"?>
<comments xmlns="http://schemas.openxmlformats.org/spreadsheetml/2006/main">
  <authors>
    <author>Carryn Lee</author>
  </authors>
  <commentList>
    <comment ref="D4" authorId="0">
      <text>
        <r>
          <rPr>
            <b/>
            <sz val="8"/>
            <rFont val="Tahoma"/>
            <family val="0"/>
          </rPr>
          <t>Carryn Lee:
See board meeting for 9-08</t>
        </r>
      </text>
    </comment>
    <comment ref="D5" authorId="0">
      <text>
        <r>
          <rPr>
            <b/>
            <sz val="8"/>
            <rFont val="Tahoma"/>
            <family val="0"/>
          </rPr>
          <t>Carryn Lee:
C compact disk</t>
        </r>
      </text>
    </comment>
  </commentList>
</comments>
</file>

<file path=xl/sharedStrings.xml><?xml version="1.0" encoding="utf-8"?>
<sst xmlns="http://schemas.openxmlformats.org/spreadsheetml/2006/main" count="421" uniqueCount="266">
  <si>
    <t>Expenses</t>
  </si>
  <si>
    <t>Salaries and Wages</t>
  </si>
  <si>
    <t>Employee Pensions and Benefits</t>
  </si>
  <si>
    <t>Purchased Power</t>
  </si>
  <si>
    <t>Chemicals</t>
  </si>
  <si>
    <t>Materials and Supplies</t>
  </si>
  <si>
    <t>Transportation</t>
  </si>
  <si>
    <t>Vehicle Insurance</t>
  </si>
  <si>
    <t>Insurance - General Liability</t>
  </si>
  <si>
    <t>Insurance - Workers Comp.</t>
  </si>
  <si>
    <t>Bad Debt</t>
  </si>
  <si>
    <t>Miscellaneous</t>
  </si>
  <si>
    <t>Insurance - Other</t>
  </si>
  <si>
    <t>Budget 2009</t>
  </si>
  <si>
    <t>Payroll Taxes</t>
  </si>
  <si>
    <t>Plant Supplies</t>
  </si>
  <si>
    <t>Office Supplies</t>
  </si>
  <si>
    <t>1501-5000</t>
  </si>
  <si>
    <t>5001-10000</t>
  </si>
  <si>
    <t>10001-20000</t>
  </si>
  <si>
    <t>20001-50000</t>
  </si>
  <si>
    <t>total</t>
  </si>
  <si>
    <t>COMMERCIAL</t>
  </si>
  <si>
    <t>PUBLIC GOVT WATER</t>
  </si>
  <si>
    <t>HENRY COUNTY WATER DISTRICT NO. 2</t>
  </si>
  <si>
    <t>TEST YEAR BILLING ANALYSIS</t>
  </si>
  <si>
    <t>Over 50,000</t>
  </si>
  <si>
    <t>Next  40,000</t>
  </si>
  <si>
    <t>Next  10,000</t>
  </si>
  <si>
    <t>First    1,500</t>
  </si>
  <si>
    <t>Next    3,500</t>
  </si>
  <si>
    <t>Next    5,000</t>
  </si>
  <si>
    <t>BILLS</t>
  </si>
  <si>
    <t xml:space="preserve">GALLONS </t>
  </si>
  <si>
    <t>RATE</t>
  </si>
  <si>
    <t>REVENUE</t>
  </si>
  <si>
    <t>Wholesale</t>
  </si>
  <si>
    <t>USAGE ANALYSIS</t>
  </si>
  <si>
    <t>Total</t>
  </si>
  <si>
    <t xml:space="preserve">Subtotal </t>
  </si>
  <si>
    <t>REVENUE TABLE</t>
  </si>
  <si>
    <t>TOTAL REVENUE FROM SALES</t>
  </si>
  <si>
    <t>OPERATING INCOME</t>
  </si>
  <si>
    <t>Income</t>
  </si>
  <si>
    <t xml:space="preserve">  </t>
  </si>
  <si>
    <t xml:space="preserve">Paid by Henry County </t>
  </si>
  <si>
    <t>Employee</t>
  </si>
  <si>
    <t>Duties</t>
  </si>
  <si>
    <t>Years Employed</t>
  </si>
  <si>
    <t>08 Salary</t>
  </si>
  <si>
    <t>09 Salary</t>
  </si>
  <si>
    <t xml:space="preserve">08 Health </t>
  </si>
  <si>
    <t>08 Life</t>
  </si>
  <si>
    <t>08 Dental</t>
  </si>
  <si>
    <t>09 Health</t>
  </si>
  <si>
    <t>09 Life</t>
  </si>
  <si>
    <t>09 Dental</t>
  </si>
  <si>
    <t>Armstrong</t>
  </si>
  <si>
    <t>Jackson</t>
  </si>
  <si>
    <t>Field Service Rep.</t>
  </si>
  <si>
    <t>Johnson</t>
  </si>
  <si>
    <t>Plant Supervisor</t>
  </si>
  <si>
    <t>Morgan</t>
  </si>
  <si>
    <t>IVA Certified Operator</t>
  </si>
  <si>
    <t>Simpson</t>
  </si>
  <si>
    <t>Field Crew Foreman</t>
  </si>
  <si>
    <t>Chief Operating Officer</t>
  </si>
  <si>
    <t>Wilson</t>
  </si>
  <si>
    <t>Office Manager</t>
  </si>
  <si>
    <t>Woods</t>
  </si>
  <si>
    <t>Superintendent</t>
  </si>
  <si>
    <t>Morris</t>
  </si>
  <si>
    <t>Distribution Operator</t>
  </si>
  <si>
    <t>Brown</t>
  </si>
  <si>
    <t>Rankin</t>
  </si>
  <si>
    <t>Beckley</t>
  </si>
  <si>
    <t>Coots</t>
  </si>
  <si>
    <t>Bookeeper</t>
  </si>
  <si>
    <t>Carpenter</t>
  </si>
  <si>
    <t>Office Adm. Asst.</t>
  </si>
  <si>
    <t>Sea</t>
  </si>
  <si>
    <t>Troxell</t>
  </si>
  <si>
    <t>Thompson</t>
  </si>
  <si>
    <t>Frakes</t>
  </si>
  <si>
    <t>Wheeler</t>
  </si>
  <si>
    <t>8 mts</t>
  </si>
  <si>
    <t>Retirement Paid by Henry County</t>
  </si>
  <si>
    <t>Tank Inspections</t>
  </si>
  <si>
    <t>Overtime</t>
  </si>
  <si>
    <t>On Call Time</t>
  </si>
  <si>
    <t>Salaries and Wages - Officers</t>
  </si>
  <si>
    <t>Regulatory Expense</t>
  </si>
  <si>
    <t>09 budget</t>
  </si>
  <si>
    <t>Taxes Other Than Income</t>
  </si>
  <si>
    <t>Depreciation</t>
  </si>
  <si>
    <t>Annual Report Expenses</t>
  </si>
  <si>
    <t>Audit Report</t>
  </si>
  <si>
    <t>Less</t>
  </si>
  <si>
    <t>Other Interest Expense</t>
  </si>
  <si>
    <t>Regulatory Fees</t>
  </si>
  <si>
    <t>Plus</t>
  </si>
  <si>
    <t xml:space="preserve">Total </t>
  </si>
  <si>
    <t>RECONCILIATION OF OPERATING EXPENSES</t>
  </si>
  <si>
    <t>Produced</t>
  </si>
  <si>
    <t>Total Used</t>
  </si>
  <si>
    <t>Retail Sales and Public Authority</t>
  </si>
  <si>
    <t xml:space="preserve"> Tank Overflows, Line Breaks, Loss</t>
  </si>
  <si>
    <t>West Carroll Water District</t>
  </si>
  <si>
    <t>New Castle Water Works</t>
  </si>
  <si>
    <t>Eminence Water Works</t>
  </si>
  <si>
    <t>Wholesale Customers</t>
  </si>
  <si>
    <t>Miles</t>
  </si>
  <si>
    <t>Inch Miles</t>
  </si>
  <si>
    <t>Jointly Used Miles of Line</t>
  </si>
  <si>
    <t>Wholesale Ratio  (jointly used inch miles / total inch miles)</t>
  </si>
  <si>
    <t>WHOLESALE ALLOCATION FACTORS</t>
  </si>
  <si>
    <t>Line Loss Percentage</t>
  </si>
  <si>
    <t>Plant Use</t>
  </si>
  <si>
    <t>Total Plant Use and Line Loss</t>
  </si>
  <si>
    <t xml:space="preserve">Wholesale Inch Mile Ratio  </t>
  </si>
  <si>
    <t>Joint Share of Plant Use and Line Loss</t>
  </si>
  <si>
    <t>Production Allocation Factor</t>
  </si>
  <si>
    <t>*</t>
  </si>
  <si>
    <t>Transmission Factor</t>
  </si>
  <si>
    <t>Commodity</t>
  </si>
  <si>
    <t xml:space="preserve">Henry County Production Multipler   </t>
  </si>
  <si>
    <t>1 / 1 - .3096</t>
  </si>
  <si>
    <t>278.94 / 2,361.4</t>
  </si>
  <si>
    <t>.1497  * .1181</t>
  </si>
  <si>
    <t>.0177 + .1599</t>
  </si>
  <si>
    <t>1 / 1 - .1766</t>
  </si>
  <si>
    <t xml:space="preserve">Wholesale Share of Line Loss  </t>
  </si>
  <si>
    <t>Backhoe and Truck Fuel</t>
  </si>
  <si>
    <t>Plant Wellfield Repairs</t>
  </si>
  <si>
    <t>Postage</t>
  </si>
  <si>
    <t>Filter repair at plant</t>
  </si>
  <si>
    <t>Repairs  Dept. Equipment</t>
  </si>
  <si>
    <t>Contract  Accounting</t>
  </si>
  <si>
    <t>Adjustments</t>
  </si>
  <si>
    <t>ALLOCATION OF PLANT ACCOUNTS</t>
  </si>
  <si>
    <t>Customer</t>
  </si>
  <si>
    <t>Organization</t>
  </si>
  <si>
    <t>Franchises</t>
  </si>
  <si>
    <t>Land and Land Rights</t>
  </si>
  <si>
    <t>Structures and Improvements</t>
  </si>
  <si>
    <t>Supply Mains</t>
  </si>
  <si>
    <t>Pumping Equipment</t>
  </si>
  <si>
    <t>Water Treatment Equipment</t>
  </si>
  <si>
    <t>Distribution Reservoirs and Standpipes</t>
  </si>
  <si>
    <t>Transmission and Distribution Mains</t>
  </si>
  <si>
    <t>Meters and Meter Installations</t>
  </si>
  <si>
    <t>Hydrants</t>
  </si>
  <si>
    <t>Other Plant and Misc. Equipment</t>
  </si>
  <si>
    <t>Office Furniture and Equipment</t>
  </si>
  <si>
    <t>Tools, Shop and Garage Equipment</t>
  </si>
  <si>
    <t>Power Operated Equipment</t>
  </si>
  <si>
    <t>Communication Equipment</t>
  </si>
  <si>
    <t>Miscellaneous Equipment</t>
  </si>
  <si>
    <t>Total Plant</t>
  </si>
  <si>
    <t>Services</t>
  </si>
  <si>
    <t>ALLOCATION OF DEPRECIATION</t>
  </si>
  <si>
    <t xml:space="preserve">Added 15 New Customers from Scobie Lane, Carpenter Lane and Pattons Creek </t>
  </si>
  <si>
    <t>Taxes</t>
  </si>
  <si>
    <t>Forfeited Discounts</t>
  </si>
  <si>
    <t>Miscellaneous Service Revenues</t>
  </si>
  <si>
    <t>Total Income</t>
  </si>
  <si>
    <t>Investment Income</t>
  </si>
  <si>
    <t>Principal</t>
  </si>
  <si>
    <t>Interest Expense</t>
  </si>
  <si>
    <t>Average Usage  Residential - 5,000</t>
  </si>
  <si>
    <t>Supply and Treatment</t>
  </si>
  <si>
    <t>Transmission</t>
  </si>
  <si>
    <t>ALLOCATION OF COSTS BY FUNCTION</t>
  </si>
  <si>
    <t>Interest Income</t>
  </si>
  <si>
    <t xml:space="preserve">Salaries and Wages </t>
  </si>
  <si>
    <t>Less Commodity</t>
  </si>
  <si>
    <t>Percentage</t>
  </si>
  <si>
    <t>Administrative and General</t>
  </si>
  <si>
    <t>Subtotal Operating and Maintenance</t>
  </si>
  <si>
    <t>Total Revenue Required</t>
  </si>
  <si>
    <t>Contract Engineering</t>
  </si>
  <si>
    <t>Contract  Other</t>
  </si>
  <si>
    <t>Contract Management Fees</t>
  </si>
  <si>
    <t>HENRY COUNTY WATER DISTRICT NO.2</t>
  </si>
  <si>
    <t>TEST YEAR ADJUSTED EXPENSES</t>
  </si>
  <si>
    <t>Total Operating and Maintenance</t>
  </si>
  <si>
    <t>Service Dept. Supplies</t>
  </si>
  <si>
    <t>Contract Enginerring</t>
  </si>
  <si>
    <t>Contract Legal</t>
  </si>
  <si>
    <t>Contract Testing</t>
  </si>
  <si>
    <t>Total Expenses</t>
  </si>
  <si>
    <t>Increase</t>
  </si>
  <si>
    <t>WHOLESALE RATE</t>
  </si>
  <si>
    <t>Expense</t>
  </si>
  <si>
    <t>Allociation Factor</t>
  </si>
  <si>
    <t>Amount to Wholesale</t>
  </si>
  <si>
    <t>Rate</t>
  </si>
  <si>
    <t>Amount to Retail</t>
  </si>
  <si>
    <t>Operation and Maintenance</t>
  </si>
  <si>
    <t>Transmission and Distribution</t>
  </si>
  <si>
    <t>Pumping and Treatment</t>
  </si>
  <si>
    <t>Other Allocations</t>
  </si>
  <si>
    <t>Subtotal</t>
  </si>
  <si>
    <t>Debt</t>
  </si>
  <si>
    <t>Total Operation and Maintenance</t>
  </si>
  <si>
    <t>Treatment Plant and Flushing, Fire</t>
  </si>
  <si>
    <t>Less Other Revenue</t>
  </si>
  <si>
    <t>Use</t>
  </si>
  <si>
    <t>Total Revenue Required From Rates</t>
  </si>
  <si>
    <t>Postage and Office</t>
  </si>
  <si>
    <t>Other Materials and Supplies</t>
  </si>
  <si>
    <t>Percentage to Allocate Adm and Gen</t>
  </si>
  <si>
    <t>Repairs Equipment</t>
  </si>
  <si>
    <t>Amortization</t>
  </si>
  <si>
    <t>Total Required from Rates</t>
  </si>
  <si>
    <t>Current Wholesale Rate</t>
  </si>
  <si>
    <t>$ Increase</t>
  </si>
  <si>
    <t>% Increase</t>
  </si>
  <si>
    <t xml:space="preserve">Wholesale Production Multiplier </t>
  </si>
  <si>
    <t>Allocation Factor</t>
  </si>
  <si>
    <t>Allocation  Factors</t>
  </si>
  <si>
    <t>Revenue From Rates</t>
  </si>
  <si>
    <t>Total Retail</t>
  </si>
  <si>
    <t>WATER STATISTICS</t>
  </si>
  <si>
    <t xml:space="preserve">Field Crew Foreman </t>
  </si>
  <si>
    <t>SALARIES AND BENEFITS - SEE ADDITIONAL INFORMATION  FILED IN THIS APPLICATION</t>
  </si>
  <si>
    <t>09 Salaries Approved in 12/9/08 Board Meeting</t>
  </si>
  <si>
    <t>MILES OF LINES IN SYSTEM</t>
  </si>
  <si>
    <t>Line Size</t>
  </si>
  <si>
    <t>ALLOCATION OF RETAIL COSTS</t>
  </si>
  <si>
    <t xml:space="preserve">Demand </t>
  </si>
  <si>
    <t>Less Other Income</t>
  </si>
  <si>
    <t>Revenue Required From Retail Rates</t>
  </si>
  <si>
    <t>Next 5,000</t>
  </si>
  <si>
    <t>Next 10,000</t>
  </si>
  <si>
    <t>Demand</t>
  </si>
  <si>
    <t>Current Rates</t>
  </si>
  <si>
    <t>Other Revenue</t>
  </si>
  <si>
    <t>Water Sales</t>
  </si>
  <si>
    <t>RATE ANALYSIS</t>
  </si>
  <si>
    <t>Actual</t>
  </si>
  <si>
    <t>Percent</t>
  </si>
  <si>
    <t>Customers</t>
  </si>
  <si>
    <t>Current</t>
  </si>
  <si>
    <t>EXPLAINATION OF PRO FORMA ADJUSTMENTS</t>
  </si>
  <si>
    <t>See Attached Board Meeting Approval</t>
  </si>
  <si>
    <t>Based on 2009 Budgeted Expense</t>
  </si>
  <si>
    <t>Nonrecurring Repair of Filter</t>
  </si>
  <si>
    <t>Actual Expense is $807,322</t>
  </si>
  <si>
    <t>Total Adjustments</t>
  </si>
  <si>
    <t>PROPOSED RATES</t>
  </si>
  <si>
    <t>First 1,500</t>
  </si>
  <si>
    <t>Next 3,500</t>
  </si>
  <si>
    <t>Next 30,000</t>
  </si>
  <si>
    <t>Total Revenue</t>
  </si>
  <si>
    <t>Difference</t>
  </si>
  <si>
    <t>Revenue Received</t>
  </si>
  <si>
    <t>Less Uncollectibles</t>
  </si>
  <si>
    <t>at 5,000 Gallons Usage</t>
  </si>
  <si>
    <t>Total Sold</t>
  </si>
  <si>
    <t>Total Wholesale</t>
  </si>
  <si>
    <t>Less adjustments to bills</t>
  </si>
  <si>
    <t>See Billing Summary 1-2-08 to 12-31-08 from Henry County's records.</t>
  </si>
  <si>
    <t>Regulatory and Amortization</t>
  </si>
  <si>
    <t>18,905,451 was deducted from last step due to adjustments.</t>
  </si>
  <si>
    <t>$48,341 has been removed to account for leak and other adjustments in order to match AR.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</si>
</sst>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_);\(0.00\)"/>
    <numFmt numFmtId="169" formatCode="_(* #,##0.0_);_(* \(#,##0.0\);_(* &quot;-&quot;?_);_(@_)"/>
    <numFmt numFmtId="170" formatCode="0.0"/>
    <numFmt numFmtId="171" formatCode="0.0000"/>
    <numFmt numFmtId="172" formatCode="_(* #,##0.0000_);_(* \(#,##0.0000\);_(* &quot;-&quot;??_);_(@_)"/>
    <numFmt numFmtId="173" formatCode="_(* #,##0.000_);_(* \(#,##0.000\);_(* &quot;-&quot;??_);_(@_)"/>
    <numFmt numFmtId="174" formatCode="00000"/>
    <numFmt numFmtId="175" formatCode="0.00000000"/>
    <numFmt numFmtId="176" formatCode="0.0000000"/>
    <numFmt numFmtId="177" formatCode="0.000000"/>
    <numFmt numFmtId="178" formatCode="0.00000"/>
    <numFmt numFmtId="179" formatCode="_(* #,##0.0000_);_(* \(#,##0.0000\);_(* &quot;-&quot;????_);_(@_)"/>
    <numFmt numFmtId="180" formatCode="0.000"/>
    <numFmt numFmtId="181" formatCode="_(* #,##0.00000_);_(* \(#,##0.000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wrapText="1"/>
    </xf>
    <xf numFmtId="165" fontId="0" fillId="0" borderId="0" xfId="15" applyNumberFormat="1" applyFont="1" applyAlignment="1">
      <alignment wrapText="1"/>
    </xf>
    <xf numFmtId="165" fontId="1" fillId="0" borderId="0" xfId="15" applyNumberFormat="1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167" fontId="1" fillId="0" borderId="0" xfId="17" applyNumberFormat="1" applyFont="1" applyAlignment="1">
      <alignment/>
    </xf>
    <xf numFmtId="44" fontId="1" fillId="0" borderId="0" xfId="17" applyNumberFormat="1" applyFont="1" applyAlignment="1">
      <alignment/>
    </xf>
    <xf numFmtId="43" fontId="0" fillId="0" borderId="0" xfId="15" applyNumberFormat="1" applyAlignment="1">
      <alignment/>
    </xf>
    <xf numFmtId="0" fontId="0" fillId="0" borderId="0" xfId="0" applyAlignment="1">
      <alignment horizontal="center"/>
    </xf>
    <xf numFmtId="44" fontId="0" fillId="0" borderId="0" xfId="17" applyFon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wrapText="1"/>
    </xf>
    <xf numFmtId="165" fontId="0" fillId="0" borderId="0" xfId="15" applyNumberFormat="1" applyAlignment="1">
      <alignment wrapText="1"/>
    </xf>
    <xf numFmtId="1" fontId="0" fillId="0" borderId="0" xfId="17" applyNumberFormat="1" applyAlignment="1">
      <alignment wrapText="1"/>
    </xf>
    <xf numFmtId="1" fontId="0" fillId="0" borderId="0" xfId="17" applyNumberFormat="1" applyFont="1" applyAlignment="1">
      <alignment horizontal="right" wrapText="1"/>
    </xf>
    <xf numFmtId="165" fontId="0" fillId="0" borderId="0" xfId="15" applyNumberFormat="1" applyFont="1" applyAlignment="1">
      <alignment horizontal="right" wrapText="1"/>
    </xf>
    <xf numFmtId="167" fontId="0" fillId="0" borderId="0" xfId="17" applyNumberFormat="1" applyAlignment="1">
      <alignment wrapText="1"/>
    </xf>
    <xf numFmtId="44" fontId="0" fillId="0" borderId="0" xfId="17" applyAlignment="1">
      <alignment wrapText="1"/>
    </xf>
    <xf numFmtId="165" fontId="0" fillId="0" borderId="0" xfId="0" applyNumberFormat="1" applyAlignment="1">
      <alignment wrapText="1"/>
    </xf>
    <xf numFmtId="14" fontId="0" fillId="0" borderId="0" xfId="17" applyNumberFormat="1" applyAlignment="1">
      <alignment wrapText="1"/>
    </xf>
    <xf numFmtId="43" fontId="0" fillId="0" borderId="0" xfId="0" applyNumberFormat="1" applyAlignment="1">
      <alignment wrapText="1"/>
    </xf>
    <xf numFmtId="165" fontId="0" fillId="0" borderId="0" xfId="15" applyNumberFormat="1" applyFont="1" applyAlignment="1">
      <alignment/>
    </xf>
    <xf numFmtId="0" fontId="0" fillId="0" borderId="0" xfId="0" applyAlignment="1">
      <alignment horizontal="left" indent="1"/>
    </xf>
    <xf numFmtId="164" fontId="0" fillId="0" borderId="0" xfId="15" applyNumberFormat="1" applyAlignment="1">
      <alignment/>
    </xf>
    <xf numFmtId="168" fontId="0" fillId="0" borderId="0" xfId="15" applyNumberFormat="1" applyAlignment="1">
      <alignment/>
    </xf>
    <xf numFmtId="167" fontId="0" fillId="0" borderId="0" xfId="17" applyNumberFormat="1" applyAlignment="1">
      <alignment/>
    </xf>
    <xf numFmtId="164" fontId="0" fillId="0" borderId="0" xfId="15" applyNumberFormat="1" applyFon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9" fontId="0" fillId="0" borderId="0" xfId="19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15" applyNumberFormat="1" applyAlignment="1">
      <alignment horizontal="center"/>
    </xf>
    <xf numFmtId="167" fontId="0" fillId="0" borderId="0" xfId="17" applyNumberFormat="1" applyAlignment="1">
      <alignment horizontal="center"/>
    </xf>
    <xf numFmtId="9" fontId="0" fillId="0" borderId="0" xfId="19" applyAlignment="1">
      <alignment/>
    </xf>
    <xf numFmtId="167" fontId="0" fillId="0" borderId="1" xfId="17" applyNumberFormat="1" applyBorder="1" applyAlignment="1">
      <alignment wrapText="1"/>
    </xf>
    <xf numFmtId="43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" fontId="0" fillId="0" borderId="0" xfId="15" applyNumberFormat="1" applyFont="1" applyAlignment="1">
      <alignment horizontal="center" wrapText="1"/>
    </xf>
    <xf numFmtId="165" fontId="0" fillId="0" borderId="0" xfId="15" applyNumberFormat="1" applyFont="1" applyAlignment="1">
      <alignment horizontal="center" wrapText="1"/>
    </xf>
    <xf numFmtId="165" fontId="0" fillId="0" borderId="0" xfId="15" applyNumberFormat="1" applyFont="1" applyAlignment="1">
      <alignment horizontal="center"/>
    </xf>
    <xf numFmtId="167" fontId="0" fillId="0" borderId="0" xfId="17" applyNumberFormat="1" applyFont="1" applyAlignment="1">
      <alignment/>
    </xf>
    <xf numFmtId="0" fontId="0" fillId="0" borderId="0" xfId="0" applyAlignment="1">
      <alignment horizontal="left" wrapText="1" indent="1"/>
    </xf>
    <xf numFmtId="172" fontId="0" fillId="0" borderId="0" xfId="15" applyNumberFormat="1" applyAlignment="1">
      <alignment wrapText="1"/>
    </xf>
    <xf numFmtId="167" fontId="0" fillId="0" borderId="0" xfId="17" applyNumberFormat="1" applyFont="1" applyAlignment="1">
      <alignment/>
    </xf>
    <xf numFmtId="167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65" fontId="0" fillId="0" borderId="0" xfId="15" applyNumberFormat="1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4" fontId="0" fillId="0" borderId="2" xfId="15" applyNumberFormat="1" applyBorder="1" applyAlignment="1">
      <alignment/>
    </xf>
    <xf numFmtId="0" fontId="0" fillId="0" borderId="2" xfId="0" applyBorder="1" applyAlignment="1">
      <alignment wrapText="1"/>
    </xf>
    <xf numFmtId="2" fontId="0" fillId="0" borderId="0" xfId="0" applyNumberFormat="1" applyAlignment="1">
      <alignment wrapText="1"/>
    </xf>
    <xf numFmtId="44" fontId="0" fillId="0" borderId="0" xfId="17" applyNumberFormat="1" applyAlignment="1">
      <alignment/>
    </xf>
    <xf numFmtId="165" fontId="0" fillId="0" borderId="0" xfId="15" applyNumberFormat="1" applyAlignment="1">
      <alignment horizontal="left" indent="1"/>
    </xf>
    <xf numFmtId="165" fontId="0" fillId="0" borderId="0" xfId="15" applyNumberFormat="1" applyAlignment="1">
      <alignment horizontal="left" wrapText="1" indent="1"/>
    </xf>
    <xf numFmtId="43" fontId="0" fillId="0" borderId="0" xfId="0" applyNumberFormat="1" applyAlignment="1">
      <alignment horizontal="left" wrapText="1" indent="1"/>
    </xf>
    <xf numFmtId="165" fontId="0" fillId="0" borderId="0" xfId="0" applyNumberFormat="1" applyAlignment="1">
      <alignment horizontal="left" wrapText="1" indent="1"/>
    </xf>
    <xf numFmtId="167" fontId="0" fillId="0" borderId="0" xfId="0" applyNumberFormat="1" applyAlignment="1">
      <alignment wrapText="1"/>
    </xf>
    <xf numFmtId="179" fontId="0" fillId="0" borderId="0" xfId="0" applyNumberFormat="1" applyAlignment="1">
      <alignment horizontal="left" wrapText="1" indent="1"/>
    </xf>
    <xf numFmtId="167" fontId="0" fillId="0" borderId="0" xfId="0" applyNumberFormat="1" applyAlignment="1">
      <alignment horizontal="left" indent="1"/>
    </xf>
    <xf numFmtId="0" fontId="0" fillId="0" borderId="0" xfId="0" applyNumberFormat="1" applyAlignment="1">
      <alignment wrapText="1"/>
    </xf>
    <xf numFmtId="44" fontId="6" fillId="0" borderId="0" xfId="17" applyNumberFormat="1" applyFont="1" applyAlignment="1">
      <alignment/>
    </xf>
    <xf numFmtId="165" fontId="4" fillId="0" borderId="3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0" fontId="0" fillId="0" borderId="2" xfId="0" applyBorder="1" applyAlignment="1">
      <alignment/>
    </xf>
    <xf numFmtId="44" fontId="0" fillId="0" borderId="2" xfId="17" applyFont="1" applyBorder="1" applyAlignment="1">
      <alignment wrapText="1"/>
    </xf>
    <xf numFmtId="1" fontId="0" fillId="0" borderId="2" xfId="17" applyNumberFormat="1" applyFont="1" applyBorder="1" applyAlignment="1">
      <alignment wrapText="1"/>
    </xf>
    <xf numFmtId="165" fontId="0" fillId="0" borderId="2" xfId="15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165" fontId="0" fillId="0" borderId="4" xfId="15" applyNumberFormat="1" applyFont="1" applyBorder="1" applyAlignment="1">
      <alignment wrapText="1"/>
    </xf>
    <xf numFmtId="165" fontId="0" fillId="0" borderId="5" xfId="15" applyNumberFormat="1" applyBorder="1" applyAlignment="1">
      <alignment wrapText="1"/>
    </xf>
    <xf numFmtId="165" fontId="0" fillId="0" borderId="5" xfId="15" applyNumberFormat="1" applyFont="1" applyBorder="1" applyAlignment="1">
      <alignment horizontal="right" wrapText="1"/>
    </xf>
    <xf numFmtId="167" fontId="0" fillId="0" borderId="5" xfId="17" applyNumberForma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171" fontId="0" fillId="0" borderId="0" xfId="0" applyNumberFormat="1" applyAlignment="1">
      <alignment horizontal="right" wrapText="1"/>
    </xf>
    <xf numFmtId="4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3" fontId="0" fillId="0" borderId="0" xfId="15" applyNumberFormat="1" applyAlignment="1">
      <alignment wrapText="1"/>
    </xf>
    <xf numFmtId="172" fontId="1" fillId="0" borderId="0" xfId="15" applyNumberFormat="1" applyFont="1" applyAlignment="1">
      <alignment/>
    </xf>
    <xf numFmtId="171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165" fontId="0" fillId="0" borderId="0" xfId="0" applyNumberFormat="1" applyAlignment="1">
      <alignment horizontal="left" indent="1"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5" sqref="B5"/>
    </sheetView>
  </sheetViews>
  <sheetFormatPr defaultColWidth="9.140625" defaultRowHeight="12.75"/>
  <cols>
    <col min="1" max="1" width="35.421875" style="1" customWidth="1"/>
    <col min="2" max="2" width="12.57421875" style="1" customWidth="1"/>
    <col min="3" max="3" width="13.140625" style="1" customWidth="1"/>
    <col min="4" max="4" width="14.421875" style="1" customWidth="1"/>
    <col min="5" max="5" width="11.140625" style="1" customWidth="1"/>
    <col min="6" max="16384" width="9.140625" style="1" customWidth="1"/>
  </cols>
  <sheetData>
    <row r="1" spans="1:4" ht="39.75" customHeight="1">
      <c r="A1" s="101" t="s">
        <v>139</v>
      </c>
      <c r="B1" s="101"/>
      <c r="C1" s="101"/>
      <c r="D1" s="101"/>
    </row>
    <row r="2" spans="2:5" ht="40.5" customHeight="1">
      <c r="B2" s="44" t="s">
        <v>38</v>
      </c>
      <c r="C2" s="51" t="s">
        <v>200</v>
      </c>
      <c r="D2" s="51" t="s">
        <v>199</v>
      </c>
      <c r="E2" s="52" t="s">
        <v>140</v>
      </c>
    </row>
    <row r="3" spans="1:5" ht="18" customHeight="1">
      <c r="A3" s="1" t="s">
        <v>141</v>
      </c>
      <c r="B3" s="45">
        <v>182962</v>
      </c>
      <c r="C3" s="44"/>
      <c r="D3" s="45">
        <f aca="true" t="shared" si="0" ref="D3:D12">B3</f>
        <v>182962</v>
      </c>
      <c r="E3" s="44"/>
    </row>
    <row r="4" spans="1:4" ht="18" customHeight="1">
      <c r="A4" s="1" t="s">
        <v>142</v>
      </c>
      <c r="B4" s="1">
        <v>2268</v>
      </c>
      <c r="D4" s="1">
        <f t="shared" si="0"/>
        <v>2268</v>
      </c>
    </row>
    <row r="5" spans="1:4" ht="18" customHeight="1">
      <c r="A5" s="1" t="s">
        <v>143</v>
      </c>
      <c r="B5" s="1">
        <v>174617</v>
      </c>
      <c r="D5" s="1">
        <f t="shared" si="0"/>
        <v>174617</v>
      </c>
    </row>
    <row r="6" spans="1:4" ht="18" customHeight="1">
      <c r="A6" s="1" t="s">
        <v>144</v>
      </c>
      <c r="B6" s="1">
        <v>11899484</v>
      </c>
      <c r="C6" s="45">
        <f>B6/2</f>
        <v>5949742</v>
      </c>
      <c r="D6" s="1">
        <f>C6</f>
        <v>5949742</v>
      </c>
    </row>
    <row r="7" spans="1:4" ht="18" customHeight="1">
      <c r="A7" s="1" t="s">
        <v>145</v>
      </c>
      <c r="B7" s="1">
        <v>803366</v>
      </c>
      <c r="D7" s="1">
        <f t="shared" si="0"/>
        <v>803366</v>
      </c>
    </row>
    <row r="8" spans="1:3" ht="18" customHeight="1">
      <c r="A8" s="1" t="s">
        <v>146</v>
      </c>
      <c r="B8" s="1">
        <v>677046</v>
      </c>
      <c r="C8" s="1">
        <f>B8</f>
        <v>677046</v>
      </c>
    </row>
    <row r="9" spans="1:3" ht="18" customHeight="1">
      <c r="A9" s="1" t="s">
        <v>147</v>
      </c>
      <c r="B9" s="1">
        <v>285428</v>
      </c>
      <c r="C9" s="1">
        <f>B9</f>
        <v>285428</v>
      </c>
    </row>
    <row r="10" spans="1:4" ht="18" customHeight="1">
      <c r="A10" s="1" t="s">
        <v>148</v>
      </c>
      <c r="B10" s="1">
        <v>432159</v>
      </c>
      <c r="D10" s="1">
        <f t="shared" si="0"/>
        <v>432159</v>
      </c>
    </row>
    <row r="11" spans="1:4" ht="18" customHeight="1">
      <c r="A11" s="1" t="s">
        <v>149</v>
      </c>
      <c r="B11" s="1">
        <v>8250302</v>
      </c>
      <c r="D11" s="1">
        <f t="shared" si="0"/>
        <v>8250302</v>
      </c>
    </row>
    <row r="12" spans="1:4" ht="18" customHeight="1">
      <c r="A12" s="3" t="s">
        <v>159</v>
      </c>
      <c r="B12" s="1">
        <v>19251</v>
      </c>
      <c r="D12" s="1">
        <f t="shared" si="0"/>
        <v>19251</v>
      </c>
    </row>
    <row r="13" spans="1:5" ht="18" customHeight="1">
      <c r="A13" s="3" t="s">
        <v>150</v>
      </c>
      <c r="B13" s="1">
        <v>1870760</v>
      </c>
      <c r="E13" s="45">
        <f>B13</f>
        <v>1870760</v>
      </c>
    </row>
    <row r="14" spans="1:5" ht="18" customHeight="1">
      <c r="A14" s="1" t="s">
        <v>153</v>
      </c>
      <c r="B14" s="1">
        <v>196828</v>
      </c>
      <c r="E14" s="1">
        <f>B14</f>
        <v>196828</v>
      </c>
    </row>
    <row r="15" spans="1:5" ht="18" customHeight="1">
      <c r="A15" s="1" t="s">
        <v>151</v>
      </c>
      <c r="B15" s="1">
        <v>6080</v>
      </c>
      <c r="E15" s="1">
        <v>6080</v>
      </c>
    </row>
    <row r="16" ht="18" customHeight="1">
      <c r="A16" s="3" t="s">
        <v>201</v>
      </c>
    </row>
    <row r="17" spans="1:5" ht="18" customHeight="1">
      <c r="A17" s="3" t="s">
        <v>202</v>
      </c>
      <c r="B17" s="45">
        <f>SUM(B3:B16)</f>
        <v>24800551</v>
      </c>
      <c r="C17" s="45">
        <f>SUM(C3:C16)</f>
        <v>6912216</v>
      </c>
      <c r="D17" s="45">
        <f>SUM(D3:D16)</f>
        <v>15814667</v>
      </c>
      <c r="E17" s="45">
        <f>SUM(E3:E16)</f>
        <v>2073668</v>
      </c>
    </row>
    <row r="18" spans="1:5" ht="18" customHeight="1">
      <c r="A18" s="3" t="s">
        <v>176</v>
      </c>
      <c r="C18" s="13">
        <f>C17/B17</f>
        <v>0.27871219474115716</v>
      </c>
      <c r="D18" s="13">
        <f>D17/B17</f>
        <v>0.6376740178071044</v>
      </c>
      <c r="E18" s="13">
        <f>E17/B17</f>
        <v>0.08361378745173847</v>
      </c>
    </row>
    <row r="19" spans="1:5" ht="39.75" customHeight="1">
      <c r="A19" s="1" t="s">
        <v>152</v>
      </c>
      <c r="B19" s="1">
        <v>1134</v>
      </c>
      <c r="C19" s="1">
        <f>B19*C18</f>
        <v>316.0596288364722</v>
      </c>
      <c r="D19" s="1">
        <f>B19*D18</f>
        <v>723.1223361932564</v>
      </c>
      <c r="E19" s="1">
        <f>B19*E18</f>
        <v>94.81803497027143</v>
      </c>
    </row>
    <row r="20" spans="1:5" ht="18" customHeight="1">
      <c r="A20" s="1" t="s">
        <v>154</v>
      </c>
      <c r="B20" s="1">
        <v>36384</v>
      </c>
      <c r="C20" s="1">
        <f>B20*C18</f>
        <v>10140.664493462262</v>
      </c>
      <c r="D20" s="1">
        <f>B20*D18</f>
        <v>23201.131463893686</v>
      </c>
      <c r="E20" s="1">
        <f>B20*E18</f>
        <v>3042.2040426440526</v>
      </c>
    </row>
    <row r="21" spans="1:5" ht="18" customHeight="1">
      <c r="A21" s="1" t="s">
        <v>155</v>
      </c>
      <c r="B21" s="1">
        <v>538744</v>
      </c>
      <c r="C21" s="1">
        <f>B21*C18</f>
        <v>150154.52264362999</v>
      </c>
      <c r="D21" s="1">
        <f>B21*D18</f>
        <v>343543.05104947067</v>
      </c>
      <c r="E21" s="1">
        <f>B21*E18</f>
        <v>45046.42630689939</v>
      </c>
    </row>
    <row r="22" spans="1:5" ht="18" customHeight="1">
      <c r="A22" s="1" t="s">
        <v>156</v>
      </c>
      <c r="B22" s="1">
        <v>7049</v>
      </c>
      <c r="C22" s="1">
        <f>B22*C18</f>
        <v>1964.6422607304169</v>
      </c>
      <c r="D22" s="1">
        <f>B22*D18</f>
        <v>4494.964151522279</v>
      </c>
      <c r="E22" s="1">
        <f>B22*E18</f>
        <v>589.3935877473045</v>
      </c>
    </row>
    <row r="23" spans="1:5" ht="18" customHeight="1">
      <c r="A23" s="1" t="s">
        <v>157</v>
      </c>
      <c r="B23" s="1">
        <v>76597</v>
      </c>
      <c r="C23" s="1">
        <f>B23*C18</f>
        <v>21348.517980588415</v>
      </c>
      <c r="D23" s="1">
        <f>B23*D18</f>
        <v>48843.916741970774</v>
      </c>
      <c r="E23" s="1">
        <f>B23*E18</f>
        <v>6404.565277440812</v>
      </c>
    </row>
    <row r="24" spans="1:5" ht="23.25" customHeight="1">
      <c r="A24" s="1" t="s">
        <v>158</v>
      </c>
      <c r="B24" s="45">
        <f>SUM(B3:B23)</f>
        <v>50261010</v>
      </c>
      <c r="C24" s="45">
        <f>SUM(C3:C23)</f>
        <v>14008356.685719442</v>
      </c>
      <c r="D24" s="45">
        <f>SUM(D3:D23)</f>
        <v>32050140.82341707</v>
      </c>
      <c r="E24" s="45">
        <f>SUM(E3:E23)</f>
        <v>4202513.490863489</v>
      </c>
    </row>
    <row r="25" spans="1:5" ht="43.5" customHeight="1">
      <c r="A25" s="3" t="s">
        <v>219</v>
      </c>
      <c r="C25" s="13">
        <f>C24/B24</f>
        <v>0.2787122002864535</v>
      </c>
      <c r="D25" s="13">
        <f>D24/B24</f>
        <v>0.6376740304943548</v>
      </c>
      <c r="E25" s="13">
        <f>E24/B24</f>
        <v>0.08361378911532993</v>
      </c>
    </row>
  </sheetData>
  <mergeCells count="1">
    <mergeCell ref="A1:D1"/>
  </mergeCells>
  <printOptions gridLines="1" horizontalCentered="1"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2" sqref="C22"/>
    </sheetView>
  </sheetViews>
  <sheetFormatPr defaultColWidth="9.140625" defaultRowHeight="12.75"/>
  <cols>
    <col min="1" max="1" width="42.140625" style="0" customWidth="1"/>
    <col min="2" max="2" width="10.8515625" style="0" customWidth="1"/>
  </cols>
  <sheetData>
    <row r="1" ht="12.75">
      <c r="A1" t="s">
        <v>24</v>
      </c>
    </row>
    <row r="2" ht="12.75">
      <c r="A2" t="s">
        <v>244</v>
      </c>
    </row>
    <row r="4" spans="1:2" ht="12.75">
      <c r="A4" t="s">
        <v>1</v>
      </c>
      <c r="B4" s="97">
        <v>29906</v>
      </c>
    </row>
    <row r="5" ht="12.75">
      <c r="A5" t="s">
        <v>245</v>
      </c>
    </row>
    <row r="7" spans="1:2" ht="12.75">
      <c r="A7" t="s">
        <v>3</v>
      </c>
      <c r="B7" s="92">
        <v>36650</v>
      </c>
    </row>
    <row r="8" ht="12.75">
      <c r="A8" t="s">
        <v>246</v>
      </c>
    </row>
    <row r="10" spans="1:2" ht="12.75">
      <c r="A10" t="s">
        <v>133</v>
      </c>
      <c r="B10" s="1">
        <f>-50000</f>
        <v>-50000</v>
      </c>
    </row>
    <row r="11" ht="12.75">
      <c r="A11" t="s">
        <v>247</v>
      </c>
    </row>
    <row r="13" spans="1:2" ht="12.75">
      <c r="A13" t="s">
        <v>94</v>
      </c>
      <c r="B13" s="92">
        <v>300500</v>
      </c>
    </row>
    <row r="14" ht="12.75">
      <c r="A14" t="s">
        <v>248</v>
      </c>
    </row>
    <row r="16" spans="1:2" ht="12.75">
      <c r="A16" t="s">
        <v>249</v>
      </c>
      <c r="B16" s="97">
        <f>SUM(B4:B15)</f>
        <v>317056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39">
      <selection activeCell="B42" sqref="B42"/>
    </sheetView>
  </sheetViews>
  <sheetFormatPr defaultColWidth="9.140625" defaultRowHeight="21.75" customHeight="1"/>
  <cols>
    <col min="1" max="1" width="31.57421875" style="0" customWidth="1"/>
    <col min="2" max="2" width="11.28125" style="1" customWidth="1"/>
    <col min="3" max="3" width="12.57421875" style="1" customWidth="1"/>
    <col min="4" max="4" width="12.8515625" style="1" customWidth="1"/>
    <col min="5" max="5" width="13.00390625" style="1" customWidth="1"/>
    <col min="6" max="6" width="11.28125" style="0" bestFit="1" customWidth="1"/>
    <col min="7" max="7" width="9.7109375" style="0" bestFit="1" customWidth="1"/>
  </cols>
  <sheetData>
    <row r="1" spans="1:5" ht="30" customHeight="1">
      <c r="A1" s="103" t="s">
        <v>24</v>
      </c>
      <c r="B1" s="103"/>
      <c r="C1" s="103"/>
      <c r="D1" s="103"/>
      <c r="E1" s="103"/>
    </row>
    <row r="2" spans="1:5" ht="27.75" customHeight="1">
      <c r="A2" s="103" t="s">
        <v>172</v>
      </c>
      <c r="B2" s="103"/>
      <c r="C2" s="103"/>
      <c r="D2" s="103"/>
      <c r="E2" s="103"/>
    </row>
    <row r="3" spans="1:7" ht="51.75" customHeight="1">
      <c r="A3" t="s">
        <v>0</v>
      </c>
      <c r="B3" s="44" t="s">
        <v>38</v>
      </c>
      <c r="C3" s="50" t="s">
        <v>170</v>
      </c>
      <c r="D3" s="51" t="s">
        <v>171</v>
      </c>
      <c r="E3" s="51" t="s">
        <v>140</v>
      </c>
      <c r="G3" s="2"/>
    </row>
    <row r="4" spans="1:6" ht="24.75" customHeight="1">
      <c r="A4" s="3" t="s">
        <v>174</v>
      </c>
      <c r="B4" s="56">
        <f>685660</f>
        <v>685660</v>
      </c>
      <c r="C4" s="53">
        <f>B4*0.4</f>
        <v>274264</v>
      </c>
      <c r="D4" s="53">
        <f>B4*0.4</f>
        <v>274264</v>
      </c>
      <c r="E4" s="53">
        <f>B4-C4-D4</f>
        <v>137132</v>
      </c>
      <c r="F4" s="2"/>
    </row>
    <row r="5" spans="1:5" ht="24.75" customHeight="1">
      <c r="A5" s="4" t="s">
        <v>2</v>
      </c>
      <c r="B5" s="59">
        <v>205664</v>
      </c>
      <c r="C5" s="1">
        <f>B5*0.4</f>
        <v>82265.6</v>
      </c>
      <c r="D5" s="1">
        <f>B5*0.4</f>
        <v>82265.6</v>
      </c>
      <c r="E5" s="1">
        <f>B5-C5-D5</f>
        <v>41132.79999999999</v>
      </c>
    </row>
    <row r="6" spans="1:5" ht="24.75" customHeight="1">
      <c r="A6" s="4" t="s">
        <v>90</v>
      </c>
      <c r="B6" s="59">
        <v>26100</v>
      </c>
      <c r="C6" s="18"/>
      <c r="D6" s="18"/>
      <c r="E6" s="18">
        <f>B6</f>
        <v>26100</v>
      </c>
    </row>
    <row r="7" spans="1:6" ht="24.75" customHeight="1">
      <c r="A7" s="49" t="s">
        <v>3</v>
      </c>
      <c r="B7" s="27">
        <v>425000</v>
      </c>
      <c r="C7" s="1">
        <f>B7-E7</f>
        <v>421884</v>
      </c>
      <c r="E7" s="1">
        <v>3116</v>
      </c>
      <c r="F7" s="2"/>
    </row>
    <row r="8" spans="1:6" ht="24.75" customHeight="1">
      <c r="A8" t="s">
        <v>4</v>
      </c>
      <c r="B8" s="27">
        <v>61718</v>
      </c>
      <c r="C8" s="1">
        <v>61718</v>
      </c>
      <c r="F8" s="2"/>
    </row>
    <row r="9" spans="1:6" ht="24.75" customHeight="1">
      <c r="A9" t="s">
        <v>15</v>
      </c>
      <c r="B9" s="27">
        <v>11260</v>
      </c>
      <c r="C9" s="1">
        <f>B9</f>
        <v>11260</v>
      </c>
      <c r="F9" s="33"/>
    </row>
    <row r="10" spans="1:6" ht="24.75" customHeight="1">
      <c r="A10" t="s">
        <v>133</v>
      </c>
      <c r="B10" s="27">
        <v>68436</v>
      </c>
      <c r="C10" s="1">
        <f>B10</f>
        <v>68436</v>
      </c>
      <c r="F10" s="33"/>
    </row>
    <row r="11" spans="1:6" ht="24.75" customHeight="1">
      <c r="A11" t="s">
        <v>16</v>
      </c>
      <c r="B11" s="27">
        <v>5883</v>
      </c>
      <c r="E11" s="1">
        <f>B11</f>
        <v>5883</v>
      </c>
      <c r="F11" s="33"/>
    </row>
    <row r="12" spans="1:5" ht="24.75" customHeight="1">
      <c r="A12" t="s">
        <v>209</v>
      </c>
      <c r="B12" s="27">
        <f>21592</f>
        <v>21592</v>
      </c>
      <c r="E12" s="1">
        <f>B12</f>
        <v>21592</v>
      </c>
    </row>
    <row r="13" spans="1:5" ht="24.75" customHeight="1">
      <c r="A13" s="4" t="s">
        <v>137</v>
      </c>
      <c r="B13" s="59">
        <v>22825</v>
      </c>
      <c r="C13" s="18"/>
      <c r="D13" s="18"/>
      <c r="E13" s="18">
        <f>B13</f>
        <v>22825</v>
      </c>
    </row>
    <row r="14" spans="1:4" ht="24.75" customHeight="1">
      <c r="A14" t="s">
        <v>180</v>
      </c>
      <c r="B14" s="27">
        <v>31402</v>
      </c>
      <c r="C14" s="1">
        <f>10467+10467</f>
        <v>20934</v>
      </c>
      <c r="D14" s="1">
        <v>10468</v>
      </c>
    </row>
    <row r="15" spans="1:5" ht="24.75" customHeight="1">
      <c r="A15" t="s">
        <v>182</v>
      </c>
      <c r="B15" s="27">
        <v>97482</v>
      </c>
      <c r="E15" s="1">
        <f>B15</f>
        <v>97482</v>
      </c>
    </row>
    <row r="16" spans="1:3" ht="24.75" customHeight="1">
      <c r="A16" t="s">
        <v>189</v>
      </c>
      <c r="B16" s="27">
        <v>31610</v>
      </c>
      <c r="C16" s="1">
        <v>31610</v>
      </c>
    </row>
    <row r="17" spans="1:5" ht="24.75" customHeight="1">
      <c r="A17" t="s">
        <v>6</v>
      </c>
      <c r="B17" s="27">
        <v>27628</v>
      </c>
      <c r="C17" s="1">
        <f>1077+1077+1077+1077</f>
        <v>4308</v>
      </c>
      <c r="D17" s="1">
        <f>11347+6680</f>
        <v>18027</v>
      </c>
      <c r="E17" s="1">
        <f>B17-C17-D17</f>
        <v>5293</v>
      </c>
    </row>
    <row r="18" spans="1:5" ht="24.75" customHeight="1">
      <c r="A18" t="s">
        <v>7</v>
      </c>
      <c r="B18" s="27">
        <f>4103</f>
        <v>4103</v>
      </c>
      <c r="C18" s="1">
        <f>254+254+965+272</f>
        <v>1745</v>
      </c>
      <c r="D18" s="1">
        <f>506+488</f>
        <v>994</v>
      </c>
      <c r="E18" s="1">
        <f>B18-C18-D18</f>
        <v>1364</v>
      </c>
    </row>
    <row r="19" spans="1:5" ht="24.75" customHeight="1">
      <c r="A19" t="s">
        <v>8</v>
      </c>
      <c r="B19" s="27">
        <f>14554+1758</f>
        <v>16312</v>
      </c>
      <c r="C19" s="1">
        <f>998+998+3833+804</f>
        <v>6633</v>
      </c>
      <c r="D19" s="1">
        <f>2365+2277</f>
        <v>4642</v>
      </c>
      <c r="E19" s="1">
        <f>3279+1758</f>
        <v>5037</v>
      </c>
    </row>
    <row r="20" spans="1:5" ht="24.75" customHeight="1">
      <c r="A20" t="s">
        <v>9</v>
      </c>
      <c r="B20" s="27">
        <f>15334+1030</f>
        <v>16364</v>
      </c>
      <c r="C20" s="1">
        <f>1011+1011+3955+977</f>
        <v>6954</v>
      </c>
      <c r="D20" s="1">
        <f>2664+2469</f>
        <v>5133</v>
      </c>
      <c r="E20" s="1">
        <f>B20-C20-D20</f>
        <v>4277</v>
      </c>
    </row>
    <row r="21" spans="1:5" ht="24.75" customHeight="1">
      <c r="A21" t="s">
        <v>10</v>
      </c>
      <c r="B21" s="27">
        <v>10900</v>
      </c>
      <c r="E21" s="1">
        <v>10900</v>
      </c>
    </row>
    <row r="22" spans="1:6" ht="35.25" customHeight="1">
      <c r="A22" s="4" t="s">
        <v>178</v>
      </c>
      <c r="B22" s="53">
        <f>SUM(B4:B21)</f>
        <v>1769939</v>
      </c>
      <c r="C22" s="53">
        <f>SUM(C4:C21)</f>
        <v>992011.6</v>
      </c>
      <c r="D22" s="53">
        <f>SUM(D4:D21)</f>
        <v>395793.6</v>
      </c>
      <c r="E22" s="53">
        <f>SUM(E4:E21)</f>
        <v>382133.8</v>
      </c>
      <c r="F22" s="57"/>
    </row>
    <row r="23" spans="1:5" ht="24.75" customHeight="1">
      <c r="A23" s="54" t="s">
        <v>175</v>
      </c>
      <c r="B23" s="18">
        <f>C23+D23+E23</f>
        <v>1286337</v>
      </c>
      <c r="C23" s="18">
        <f>C22-C8-C7</f>
        <v>508409.6</v>
      </c>
      <c r="D23" s="18">
        <f>D22</f>
        <v>395793.6</v>
      </c>
      <c r="E23" s="18">
        <f>E22</f>
        <v>382133.8</v>
      </c>
    </row>
    <row r="24" spans="1:5" ht="35.25" customHeight="1">
      <c r="A24" s="4" t="s">
        <v>211</v>
      </c>
      <c r="B24" s="18"/>
      <c r="C24" s="55">
        <f>C23/B23</f>
        <v>0.39523826182407873</v>
      </c>
      <c r="D24" s="55">
        <f>D23/B23</f>
        <v>0.30769044192929224</v>
      </c>
      <c r="E24" s="55">
        <f>E23/B23</f>
        <v>0.297071296246629</v>
      </c>
    </row>
    <row r="25" spans="1:5" ht="35.25" customHeight="1">
      <c r="A25" t="s">
        <v>0</v>
      </c>
      <c r="B25" s="44" t="s">
        <v>38</v>
      </c>
      <c r="C25" s="50" t="s">
        <v>170</v>
      </c>
      <c r="D25" s="51" t="s">
        <v>171</v>
      </c>
      <c r="E25" s="51" t="s">
        <v>140</v>
      </c>
    </row>
    <row r="26" spans="1:5" ht="29.25" customHeight="1">
      <c r="A26" s="4" t="s">
        <v>177</v>
      </c>
      <c r="B26" s="18"/>
      <c r="C26" s="18"/>
      <c r="D26" s="18"/>
      <c r="E26" s="18"/>
    </row>
    <row r="27" spans="1:5" ht="29.25" customHeight="1">
      <c r="A27" s="4" t="s">
        <v>210</v>
      </c>
      <c r="B27" s="53">
        <v>84250</v>
      </c>
      <c r="C27" s="53">
        <f>B27*C24</f>
        <v>33298.82355867863</v>
      </c>
      <c r="D27" s="53">
        <f>B27*D24</f>
        <v>25922.919732542872</v>
      </c>
      <c r="E27" s="53">
        <f>B27*E24</f>
        <v>25028.256708778492</v>
      </c>
    </row>
    <row r="28" spans="1:6" ht="24.75" customHeight="1">
      <c r="A28" t="s">
        <v>132</v>
      </c>
      <c r="B28" s="27">
        <v>28804</v>
      </c>
      <c r="D28" s="1">
        <f>B28/2</f>
        <v>14402</v>
      </c>
      <c r="E28" s="1">
        <f>B28/2</f>
        <v>14402</v>
      </c>
      <c r="F28" s="33"/>
    </row>
    <row r="29" spans="1:6" ht="24.75" customHeight="1">
      <c r="A29" t="s">
        <v>212</v>
      </c>
      <c r="B29" s="27">
        <v>14014</v>
      </c>
      <c r="C29" s="1">
        <f>B29*C24</f>
        <v>5538.869001202639</v>
      </c>
      <c r="D29" s="1">
        <f>B29*D24</f>
        <v>4311.973853197102</v>
      </c>
      <c r="E29" s="1">
        <f>B29*E24</f>
        <v>4163.157145600258</v>
      </c>
      <c r="F29" s="33"/>
    </row>
    <row r="30" spans="1:6" ht="24.75" customHeight="1">
      <c r="A30" t="s">
        <v>181</v>
      </c>
      <c r="B30" s="27">
        <v>55862</v>
      </c>
      <c r="C30" s="1">
        <f>B30*C24</f>
        <v>22078.799782016686</v>
      </c>
      <c r="D30" s="1">
        <f>B30*D24</f>
        <v>17188.20346705412</v>
      </c>
      <c r="E30" s="1">
        <f>B30*E24</f>
        <v>16594.99675092919</v>
      </c>
      <c r="F30" s="33"/>
    </row>
    <row r="31" spans="1:6" ht="24.75" customHeight="1">
      <c r="A31" t="s">
        <v>186</v>
      </c>
      <c r="B31" s="27">
        <v>19454</v>
      </c>
      <c r="C31" s="1">
        <f>B31*C24</f>
        <v>7688.965145525628</v>
      </c>
      <c r="D31" s="1">
        <f>B31*D24</f>
        <v>5985.809857292451</v>
      </c>
      <c r="E31" s="1">
        <f>B31*E24</f>
        <v>5779.22499718192</v>
      </c>
      <c r="F31" s="33"/>
    </row>
    <row r="32" spans="1:5" ht="24.75" customHeight="1">
      <c r="A32" s="4" t="s">
        <v>188</v>
      </c>
      <c r="B32" s="59">
        <v>10205</v>
      </c>
      <c r="C32" s="18">
        <f>B32*C24</f>
        <v>4033.4064619147234</v>
      </c>
      <c r="D32" s="18">
        <f>B32*D24</f>
        <v>3139.980959888427</v>
      </c>
      <c r="E32" s="18">
        <f>B32*E24</f>
        <v>3031.6125781968485</v>
      </c>
    </row>
    <row r="33" spans="1:5" ht="24.75" customHeight="1">
      <c r="A33" s="4" t="s">
        <v>12</v>
      </c>
      <c r="B33" s="59">
        <v>6413</v>
      </c>
      <c r="C33" s="18">
        <f>B33*C24</f>
        <v>2534.662973077817</v>
      </c>
      <c r="D33" s="18">
        <f>B33*D24</f>
        <v>1973.2188040925512</v>
      </c>
      <c r="E33" s="18">
        <f>B33*E24</f>
        <v>1905.1182228296316</v>
      </c>
    </row>
    <row r="34" spans="1:5" ht="24.75" customHeight="1">
      <c r="A34" s="4" t="s">
        <v>11</v>
      </c>
      <c r="B34" s="59">
        <v>32940</v>
      </c>
      <c r="C34" s="18">
        <f>B34*C24</f>
        <v>13019.148344485153</v>
      </c>
      <c r="D34" s="18">
        <f>B34*D24</f>
        <v>10135.323157150886</v>
      </c>
      <c r="E34" s="18">
        <f>B34*E24</f>
        <v>9785.52849836396</v>
      </c>
    </row>
    <row r="35" spans="1:6" ht="42.75" customHeight="1">
      <c r="A35" s="60" t="s">
        <v>204</v>
      </c>
      <c r="B35" s="53">
        <f>B22+B27+B28+B29+B30+B31+B32+B33+B34</f>
        <v>2021881</v>
      </c>
      <c r="C35" s="53">
        <f>C22+C27+C29+C30+C31+C32+C33+C34</f>
        <v>1080204.2752669011</v>
      </c>
      <c r="D35" s="53">
        <f>D22+D27+D28+D29+D30+D31+D32+D33+D34</f>
        <v>478853.0298312184</v>
      </c>
      <c r="E35" s="53">
        <f>E22+E27+E28+E29+E30+E31+E32+E33+E34</f>
        <v>462823.69490188034</v>
      </c>
      <c r="F35">
        <f>2021881-2005325</f>
        <v>16556</v>
      </c>
    </row>
    <row r="36" spans="1:5" s="61" customFormat="1" ht="24.75" customHeight="1">
      <c r="A36" s="60" t="s">
        <v>91</v>
      </c>
      <c r="B36" s="27">
        <f>6300</f>
        <v>6300</v>
      </c>
      <c r="C36" s="27"/>
      <c r="D36" s="27"/>
      <c r="E36" s="27">
        <f>B36</f>
        <v>6300</v>
      </c>
    </row>
    <row r="37" spans="1:7" s="61" customFormat="1" ht="24.75" customHeight="1">
      <c r="A37" s="60" t="s">
        <v>93</v>
      </c>
      <c r="B37" s="27">
        <f>52985</f>
        <v>52985</v>
      </c>
      <c r="C37" s="27"/>
      <c r="D37" s="27"/>
      <c r="E37" s="27">
        <f>B37</f>
        <v>52985</v>
      </c>
      <c r="F37" s="62"/>
      <c r="G37" s="63"/>
    </row>
    <row r="38" spans="1:6" ht="24.75" customHeight="1">
      <c r="A38" t="s">
        <v>167</v>
      </c>
      <c r="B38" s="1">
        <v>882299</v>
      </c>
      <c r="C38" s="1">
        <f>B38*0.28</f>
        <v>247043.72000000003</v>
      </c>
      <c r="D38" s="1">
        <f>B38*0.64</f>
        <v>564671.36</v>
      </c>
      <c r="E38" s="1">
        <f>B38-C38-D38</f>
        <v>70583.92000000004</v>
      </c>
      <c r="F38" s="2"/>
    </row>
    <row r="39" spans="1:6" ht="24.75" customHeight="1">
      <c r="A39" t="s">
        <v>168</v>
      </c>
      <c r="B39" s="1">
        <f>491037</f>
        <v>491037</v>
      </c>
      <c r="C39" s="1">
        <f>B39*0.28</f>
        <v>137490.36000000002</v>
      </c>
      <c r="D39" s="1">
        <f>B39*0.64</f>
        <v>314263.68</v>
      </c>
      <c r="E39" s="1">
        <f>B39*0.08</f>
        <v>39282.96</v>
      </c>
      <c r="F39" s="2"/>
    </row>
    <row r="40" spans="1:6" ht="24.75" customHeight="1">
      <c r="A40" t="s">
        <v>213</v>
      </c>
      <c r="B40" s="1">
        <v>7453</v>
      </c>
      <c r="E40" s="1">
        <f>B40</f>
        <v>7453</v>
      </c>
      <c r="F40" s="2"/>
    </row>
    <row r="41" spans="1:7" ht="24.75" customHeight="1">
      <c r="A41" t="s">
        <v>94</v>
      </c>
      <c r="B41" s="1">
        <f>exp!D37</f>
        <v>300500</v>
      </c>
      <c r="C41" s="1">
        <f>B41*0.3</f>
        <v>90150</v>
      </c>
      <c r="D41" s="1">
        <f>B41*0.58</f>
        <v>174290</v>
      </c>
      <c r="E41" s="1">
        <f>B41*0.12</f>
        <v>36060</v>
      </c>
      <c r="F41" s="57"/>
      <c r="G41" s="2"/>
    </row>
    <row r="42" spans="1:7" ht="47.25" customHeight="1">
      <c r="A42" t="s">
        <v>179</v>
      </c>
      <c r="B42" s="53">
        <f>SUM(B35:B41)</f>
        <v>3762455</v>
      </c>
      <c r="C42" s="53">
        <f>SUM(C35:C41)</f>
        <v>1554888.3552669012</v>
      </c>
      <c r="D42" s="53">
        <f>SUM(D35:D41)</f>
        <v>1532078.0698312183</v>
      </c>
      <c r="E42" s="53">
        <f>SUM(E35:E41)</f>
        <v>675488.5749018803</v>
      </c>
      <c r="F42" s="2"/>
      <c r="G42" s="2"/>
    </row>
    <row r="43" ht="27" customHeight="1">
      <c r="A43" t="s">
        <v>206</v>
      </c>
    </row>
    <row r="44" spans="1:5" ht="18" customHeight="1">
      <c r="A44" s="28" t="str">
        <f>Income!A4:B4</f>
        <v>Forfeited Discounts</v>
      </c>
      <c r="B44" s="1">
        <f>-Income!B4</f>
        <v>-75026</v>
      </c>
      <c r="C44" s="3"/>
      <c r="D44" s="13"/>
      <c r="E44" s="1">
        <f>B44</f>
        <v>-75026</v>
      </c>
    </row>
    <row r="45" spans="1:5" ht="18" customHeight="1">
      <c r="A45" s="28" t="str">
        <f>Income!A5</f>
        <v>Miscellaneous Service Revenues</v>
      </c>
      <c r="B45" s="1">
        <f>-Income!B5</f>
        <v>-25984</v>
      </c>
      <c r="C45" s="3"/>
      <c r="E45" s="3">
        <f>B45</f>
        <v>-25984</v>
      </c>
    </row>
    <row r="46" spans="1:5" ht="18" customHeight="1">
      <c r="A46" s="28" t="str">
        <f>Income!A6</f>
        <v>Investment Income</v>
      </c>
      <c r="B46" s="1">
        <f>-Income!B6</f>
        <v>-111787</v>
      </c>
      <c r="C46" s="1">
        <f>B46*Dep!C23</f>
        <v>-33634.37672676402</v>
      </c>
      <c r="D46" s="1">
        <f>B46*Dep!D23</f>
        <v>-64467.79973702064</v>
      </c>
      <c r="E46" s="1">
        <f>B46*Dep!E23</f>
        <v>-13684.894787684523</v>
      </c>
    </row>
    <row r="47" spans="1:5" ht="21.75" customHeight="1">
      <c r="A47" s="28" t="str">
        <f>Income!A7</f>
        <v>Interest Income</v>
      </c>
      <c r="B47" s="1">
        <f>-Income!B7</f>
        <v>-90000</v>
      </c>
      <c r="C47" s="1">
        <f>B47*Dep!C23</f>
        <v>-27079.12284441627</v>
      </c>
      <c r="D47" s="1">
        <f>B47*Dep!D23</f>
        <v>-51903.19067809189</v>
      </c>
      <c r="E47" s="1">
        <f>B47*Dep!E23</f>
        <v>-11017.743842232165</v>
      </c>
    </row>
    <row r="48" spans="1:5" ht="45" customHeight="1">
      <c r="A48" t="s">
        <v>208</v>
      </c>
      <c r="B48" s="53">
        <f>B42+B44+B45+B46+B47</f>
        <v>3459658</v>
      </c>
      <c r="C48" s="53">
        <f>C42+C46+C47</f>
        <v>1494174.855695721</v>
      </c>
      <c r="D48" s="53">
        <f>D42+D46+D47</f>
        <v>1415707.0794161058</v>
      </c>
      <c r="E48" s="53">
        <f>E42+E44+E45+E46+E47</f>
        <v>549775.9362719636</v>
      </c>
    </row>
    <row r="50" ht="21.75" customHeight="1">
      <c r="E50" s="1">
        <f>exp!D38-exp!D38</f>
        <v>0</v>
      </c>
    </row>
  </sheetData>
  <mergeCells count="2">
    <mergeCell ref="A1:E1"/>
    <mergeCell ref="A2:E2"/>
  </mergeCells>
  <printOptions gridLines="1"/>
  <pageMargins left="0.75" right="0.75" top="1" bottom="1" header="0.5" footer="0.5"/>
  <pageSetup horizontalDpi="300" verticalDpi="300" orientation="portrait" r:id="rId3"/>
  <rowBreaks count="1" manualBreakCount="1">
    <brk id="24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9">
      <selection activeCell="B30" sqref="B30"/>
    </sheetView>
  </sheetViews>
  <sheetFormatPr defaultColWidth="9.140625" defaultRowHeight="12.75"/>
  <cols>
    <col min="1" max="1" width="27.00390625" style="0" customWidth="1"/>
    <col min="2" max="2" width="14.7109375" style="1" customWidth="1"/>
    <col min="3" max="3" width="12.421875" style="4" customWidth="1"/>
    <col min="4" max="4" width="11.421875" style="4" customWidth="1"/>
    <col min="5" max="5" width="12.00390625" style="4" customWidth="1"/>
    <col min="6" max="6" width="11.8515625" style="4" customWidth="1"/>
    <col min="7" max="7" width="12.00390625" style="0" bestFit="1" customWidth="1"/>
  </cols>
  <sheetData>
    <row r="1" spans="1:6" ht="29.25" customHeight="1">
      <c r="A1" s="103" t="s">
        <v>24</v>
      </c>
      <c r="B1" s="103"/>
      <c r="C1" s="103"/>
      <c r="D1" s="103"/>
      <c r="E1" s="103"/>
      <c r="F1" s="103"/>
    </row>
    <row r="2" spans="1:6" ht="24.75" customHeight="1">
      <c r="A2" s="103" t="s">
        <v>192</v>
      </c>
      <c r="B2" s="103"/>
      <c r="C2" s="103"/>
      <c r="D2" s="103"/>
      <c r="E2" s="103"/>
      <c r="F2" s="103"/>
    </row>
    <row r="3" spans="1:6" ht="45.75" customHeight="1">
      <c r="A3" t="s">
        <v>193</v>
      </c>
      <c r="B3" s="44" t="s">
        <v>38</v>
      </c>
      <c r="C3" s="16" t="s">
        <v>194</v>
      </c>
      <c r="D3" s="16" t="s">
        <v>195</v>
      </c>
      <c r="E3" s="16" t="s">
        <v>196</v>
      </c>
      <c r="F3" s="16" t="s">
        <v>197</v>
      </c>
    </row>
    <row r="4" spans="1:4" ht="30" customHeight="1">
      <c r="A4" t="s">
        <v>124</v>
      </c>
      <c r="D4" s="18"/>
    </row>
    <row r="5" spans="1:6" ht="18" customHeight="1">
      <c r="A5" s="28" t="s">
        <v>3</v>
      </c>
      <c r="B5" s="31">
        <f>function!C7</f>
        <v>421884</v>
      </c>
      <c r="C5" s="58">
        <f>factors!E16</f>
        <v>0.19030344507991712</v>
      </c>
      <c r="D5" s="31">
        <f>B5*C5</f>
        <v>80285.97862409575</v>
      </c>
      <c r="E5" s="26">
        <f>D5/97490</f>
        <v>0.8235303992624449</v>
      </c>
      <c r="F5" s="31">
        <f>B5-D5</f>
        <v>341598.02137590427</v>
      </c>
    </row>
    <row r="6" spans="1:7" ht="18" customHeight="1">
      <c r="A6" s="28" t="s">
        <v>4</v>
      </c>
      <c r="B6" s="1">
        <f>function!C8</f>
        <v>61718</v>
      </c>
      <c r="C6" s="58">
        <f>C5</f>
        <v>0.19030344507991712</v>
      </c>
      <c r="D6" s="18">
        <f>B6*C6</f>
        <v>11745.148023442325</v>
      </c>
      <c r="E6" s="26">
        <f>D6/97490</f>
        <v>0.1204754131033165</v>
      </c>
      <c r="F6" s="24">
        <f>B6-D6</f>
        <v>49972.85197655768</v>
      </c>
      <c r="G6" s="2"/>
    </row>
    <row r="7" spans="1:4" ht="33.75" customHeight="1">
      <c r="A7" t="s">
        <v>198</v>
      </c>
      <c r="C7" s="58"/>
      <c r="D7" s="18"/>
    </row>
    <row r="8" spans="1:7" ht="18" customHeight="1">
      <c r="A8" s="28" t="s">
        <v>170</v>
      </c>
      <c r="B8" s="3">
        <f>1080204-B5-B6</f>
        <v>596602</v>
      </c>
      <c r="C8" s="58">
        <f>factors!E12</f>
        <v>0.15975556398278876</v>
      </c>
      <c r="D8" s="18">
        <f>B8*C8</f>
        <v>95310.48898325974</v>
      </c>
      <c r="E8" s="26">
        <f>D8/97490</f>
        <v>0.9776437479050132</v>
      </c>
      <c r="F8" s="24">
        <f>B8-D8</f>
        <v>501291.51101674023</v>
      </c>
      <c r="G8" s="2"/>
    </row>
    <row r="9" spans="1:7" ht="18" customHeight="1">
      <c r="A9" s="28" t="s">
        <v>199</v>
      </c>
      <c r="B9" s="1">
        <f>function!D35</f>
        <v>478853.0298312184</v>
      </c>
      <c r="C9" s="58">
        <v>0.0225</v>
      </c>
      <c r="D9" s="18">
        <f>B9*C9</f>
        <v>10774.193171202414</v>
      </c>
      <c r="E9" s="26">
        <f>D9/97490</f>
        <v>0.11051588030774863</v>
      </c>
      <c r="F9" s="24">
        <f>B9-D9</f>
        <v>468078.836660016</v>
      </c>
      <c r="G9" s="57"/>
    </row>
    <row r="10" spans="1:6" ht="18" customHeight="1">
      <c r="A10" s="28" t="s">
        <v>140</v>
      </c>
      <c r="B10" s="1">
        <v>462824</v>
      </c>
      <c r="C10" s="18">
        <v>0</v>
      </c>
      <c r="D10" s="18">
        <f>B10*C10</f>
        <v>0</v>
      </c>
      <c r="F10" s="24">
        <f>B10</f>
        <v>462824</v>
      </c>
    </row>
    <row r="11" spans="1:4" ht="35.25" customHeight="1">
      <c r="A11" t="s">
        <v>203</v>
      </c>
      <c r="C11" s="58"/>
      <c r="D11" s="18"/>
    </row>
    <row r="12" spans="1:6" s="28" customFormat="1" ht="18" customHeight="1">
      <c r="A12" s="28" t="s">
        <v>170</v>
      </c>
      <c r="B12" s="68">
        <f>247044+137490</f>
        <v>384534</v>
      </c>
      <c r="C12" s="90">
        <f>C8</f>
        <v>0.15975556398278876</v>
      </c>
      <c r="D12" s="69">
        <f aca="true" t="shared" si="0" ref="D12:D20">B12*C12</f>
        <v>61431.44604055769</v>
      </c>
      <c r="E12" s="70">
        <f>D12/97490</f>
        <v>0.6301307420305435</v>
      </c>
      <c r="F12" s="71">
        <f>B12-D12</f>
        <v>323102.5539594423</v>
      </c>
    </row>
    <row r="13" spans="1:6" s="28" customFormat="1" ht="18" customHeight="1">
      <c r="A13" s="28" t="s">
        <v>199</v>
      </c>
      <c r="B13" s="68">
        <f>564671+314264</f>
        <v>878935</v>
      </c>
      <c r="C13" s="90">
        <v>0.0225</v>
      </c>
      <c r="D13" s="69">
        <f t="shared" si="0"/>
        <v>19776.0375</v>
      </c>
      <c r="E13" s="70">
        <f>D13/97490</f>
        <v>0.20285195917530002</v>
      </c>
      <c r="F13" s="71">
        <f>B13-D13</f>
        <v>859158.9625</v>
      </c>
    </row>
    <row r="14" spans="1:7" s="28" customFormat="1" ht="18" customHeight="1">
      <c r="A14" s="28" t="s">
        <v>140</v>
      </c>
      <c r="B14" s="68">
        <f>70584+39283</f>
        <v>109867</v>
      </c>
      <c r="C14" s="18">
        <v>0</v>
      </c>
      <c r="D14" s="69">
        <f t="shared" si="0"/>
        <v>0</v>
      </c>
      <c r="E14" s="18"/>
      <c r="F14" s="71">
        <f>B14</f>
        <v>109867</v>
      </c>
      <c r="G14" s="100"/>
    </row>
    <row r="15" spans="1:7" s="28" customFormat="1" ht="27.75" customHeight="1">
      <c r="A15" s="41" t="s">
        <v>94</v>
      </c>
      <c r="B15" s="68"/>
      <c r="C15" s="90"/>
      <c r="D15" s="69">
        <f t="shared" si="0"/>
        <v>0</v>
      </c>
      <c r="E15" s="70">
        <f>D15/97490</f>
        <v>0</v>
      </c>
      <c r="F15" s="71">
        <f>B15</f>
        <v>0</v>
      </c>
      <c r="G15" s="100">
        <f>F10+F19+F20</f>
        <v>529562</v>
      </c>
    </row>
    <row r="16" spans="1:6" s="28" customFormat="1" ht="18" customHeight="1">
      <c r="A16" s="28" t="s">
        <v>170</v>
      </c>
      <c r="B16" s="68">
        <f>function!C41</f>
        <v>90150</v>
      </c>
      <c r="C16" s="90">
        <v>0.1598</v>
      </c>
      <c r="D16" s="69">
        <f t="shared" si="0"/>
        <v>14405.97</v>
      </c>
      <c r="E16" s="70">
        <f>D16/97490</f>
        <v>0.1477686942250487</v>
      </c>
      <c r="F16" s="71">
        <f>B16-D16</f>
        <v>75744.03</v>
      </c>
    </row>
    <row r="17" spans="1:6" s="28" customFormat="1" ht="18" customHeight="1">
      <c r="A17" s="28" t="s">
        <v>199</v>
      </c>
      <c r="B17" s="68">
        <f>function!D41</f>
        <v>174290</v>
      </c>
      <c r="C17" s="90">
        <v>0.0225</v>
      </c>
      <c r="D17" s="69">
        <f t="shared" si="0"/>
        <v>3921.5249999999996</v>
      </c>
      <c r="E17" s="70">
        <f>D17/97490</f>
        <v>0.040224894861011384</v>
      </c>
      <c r="F17" s="71">
        <f>B17-D17</f>
        <v>170368.475</v>
      </c>
    </row>
    <row r="18" spans="1:6" s="28" customFormat="1" ht="18" customHeight="1">
      <c r="A18" s="28" t="s">
        <v>140</v>
      </c>
      <c r="B18" s="68">
        <f>function!E41</f>
        <v>36060</v>
      </c>
      <c r="C18" s="18">
        <v>0</v>
      </c>
      <c r="D18" s="69">
        <f t="shared" si="0"/>
        <v>0</v>
      </c>
      <c r="E18" s="70">
        <v>0</v>
      </c>
      <c r="F18" s="71">
        <f>B18</f>
        <v>36060</v>
      </c>
    </row>
    <row r="19" spans="1:6" ht="27" customHeight="1">
      <c r="A19" t="s">
        <v>263</v>
      </c>
      <c r="B19" s="1">
        <f>6300+7453</f>
        <v>13753</v>
      </c>
      <c r="C19" s="18">
        <v>0</v>
      </c>
      <c r="D19" s="18">
        <f t="shared" si="0"/>
        <v>0</v>
      </c>
      <c r="E19" s="4">
        <v>0</v>
      </c>
      <c r="F19" s="24">
        <f>B19</f>
        <v>13753</v>
      </c>
    </row>
    <row r="20" spans="1:6" ht="26.25" customHeight="1">
      <c r="A20" t="s">
        <v>93</v>
      </c>
      <c r="B20" s="1">
        <f>function!B37</f>
        <v>52985</v>
      </c>
      <c r="C20" s="18">
        <v>0</v>
      </c>
      <c r="D20" s="18">
        <f t="shared" si="0"/>
        <v>0</v>
      </c>
      <c r="F20" s="24">
        <f>B20</f>
        <v>52985</v>
      </c>
    </row>
    <row r="21" spans="1:7" ht="30" customHeight="1">
      <c r="A21" t="s">
        <v>190</v>
      </c>
      <c r="B21" s="31">
        <f>SUM(B5:B20)</f>
        <v>3762455.0298312185</v>
      </c>
      <c r="C21" s="58"/>
      <c r="D21" s="31">
        <f>SUM(D4:D20)</f>
        <v>297650.7873425579</v>
      </c>
      <c r="E21" s="26">
        <f>SUM(E4:E20)</f>
        <v>3.053141730870427</v>
      </c>
      <c r="F21" s="31">
        <f>SUM(F4:F20)</f>
        <v>3464804.2424886604</v>
      </c>
      <c r="G21" s="57"/>
    </row>
    <row r="22" spans="1:7" ht="34.5" customHeight="1">
      <c r="A22" t="s">
        <v>206</v>
      </c>
      <c r="G22" s="57"/>
    </row>
    <row r="23" spans="1:6" s="28" customFormat="1" ht="18" customHeight="1">
      <c r="A23" s="28" t="s">
        <v>170</v>
      </c>
      <c r="B23" s="68">
        <f>function!C46+function!C47</f>
        <v>-60713.49957118029</v>
      </c>
      <c r="C23" s="90">
        <f>C12</f>
        <v>0.15975556398278876</v>
      </c>
      <c r="D23" s="71">
        <f>B23*C23</f>
        <v>-9699.319365362711</v>
      </c>
      <c r="E23" s="70">
        <f>D23/97490</f>
        <v>-0.09949040276297785</v>
      </c>
      <c r="F23" s="71">
        <f>B23-D23</f>
        <v>-51014.18020581758</v>
      </c>
    </row>
    <row r="24" spans="1:7" s="28" customFormat="1" ht="18" customHeight="1">
      <c r="A24" s="28" t="s">
        <v>199</v>
      </c>
      <c r="B24" s="68">
        <f>function!D46+function!D47</f>
        <v>-116370.99041511252</v>
      </c>
      <c r="C24" s="90">
        <f>C13</f>
        <v>0.0225</v>
      </c>
      <c r="D24" s="71">
        <f>B24*C24</f>
        <v>-2618.347284340032</v>
      </c>
      <c r="E24" s="70">
        <f>D24/97490</f>
        <v>-0.02685759856744314</v>
      </c>
      <c r="F24" s="71">
        <f>B24-D24</f>
        <v>-113752.64313077249</v>
      </c>
      <c r="G24" s="74"/>
    </row>
    <row r="25" spans="1:6" s="28" customFormat="1" ht="18" customHeight="1">
      <c r="A25" s="28" t="s">
        <v>140</v>
      </c>
      <c r="B25" s="68">
        <f>function!E44+function!E45+function!E46+function!E47</f>
        <v>-125712.63862991668</v>
      </c>
      <c r="C25" s="18">
        <f>C14</f>
        <v>0</v>
      </c>
      <c r="D25" s="73">
        <f>B25*C25</f>
        <v>0</v>
      </c>
      <c r="E25" s="54"/>
      <c r="F25" s="71">
        <f>B25</f>
        <v>-125712.63862991668</v>
      </c>
    </row>
    <row r="26" spans="1:6" ht="29.25" customHeight="1">
      <c r="A26" t="s">
        <v>214</v>
      </c>
      <c r="B26" s="31">
        <f>B21+B23+B24+B25</f>
        <v>3459657.901215009</v>
      </c>
      <c r="D26" s="31">
        <f>D21+D23+D24+D25</f>
        <v>285333.1206928552</v>
      </c>
      <c r="E26" s="76">
        <f>E21+E23+E24</f>
        <v>2.9267937295400057</v>
      </c>
      <c r="F26" s="72">
        <f>F21++F23+F24+F25</f>
        <v>3174324.7805221537</v>
      </c>
    </row>
    <row r="27" spans="1:7" ht="23.25" customHeight="1">
      <c r="A27" t="s">
        <v>215</v>
      </c>
      <c r="E27" s="66">
        <v>2.2</v>
      </c>
      <c r="G27" s="91"/>
    </row>
    <row r="28" spans="1:7" ht="24.75" customHeight="1">
      <c r="A28" t="s">
        <v>216</v>
      </c>
      <c r="B28" s="13"/>
      <c r="C28" s="26"/>
      <c r="D28" s="26"/>
      <c r="E28" s="67">
        <f>E26-E27</f>
        <v>0.7267937295400055</v>
      </c>
      <c r="F28" s="26"/>
      <c r="G28" s="91"/>
    </row>
    <row r="29" spans="1:6" ht="26.25" customHeight="1">
      <c r="A29" t="s">
        <v>217</v>
      </c>
      <c r="C29" s="75"/>
      <c r="D29" s="26"/>
      <c r="E29" s="26">
        <f>E28/E27</f>
        <v>0.33036078615454795</v>
      </c>
      <c r="F29" s="26"/>
    </row>
    <row r="30" spans="2:4" ht="18" customHeight="1">
      <c r="B30" s="13"/>
      <c r="D30" s="26"/>
    </row>
    <row r="31" ht="18" customHeight="1">
      <c r="E31" s="26"/>
    </row>
    <row r="32" spans="4:5" ht="18" customHeight="1">
      <c r="D32" s="26"/>
      <c r="E32" s="26"/>
    </row>
    <row r="33" ht="18" customHeight="1"/>
    <row r="34" ht="18" customHeight="1"/>
    <row r="35" ht="18" customHeight="1"/>
  </sheetData>
  <mergeCells count="2">
    <mergeCell ref="A1:F1"/>
    <mergeCell ref="A2:F2"/>
  </mergeCells>
  <printOptions gridLines="1"/>
  <pageMargins left="0.75" right="0.75" top="0.5" bottom="0.5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3" sqref="B13"/>
    </sheetView>
  </sheetViews>
  <sheetFormatPr defaultColWidth="9.140625" defaultRowHeight="12.75"/>
  <cols>
    <col min="1" max="1" width="32.57421875" style="1" customWidth="1"/>
    <col min="2" max="2" width="13.8515625" style="1" bestFit="1" customWidth="1"/>
    <col min="3" max="3" width="12.8515625" style="1" customWidth="1"/>
    <col min="4" max="4" width="17.140625" style="1" customWidth="1"/>
    <col min="5" max="5" width="14.00390625" style="1" customWidth="1"/>
    <col min="6" max="16384" width="9.140625" style="1" customWidth="1"/>
  </cols>
  <sheetData>
    <row r="1" spans="1:5" ht="37.5" customHeight="1">
      <c r="A1" s="102" t="s">
        <v>24</v>
      </c>
      <c r="B1" s="102"/>
      <c r="C1" s="102"/>
      <c r="D1" s="102"/>
      <c r="E1" s="102"/>
    </row>
    <row r="2" spans="1:5" ht="32.25" customHeight="1">
      <c r="A2" s="102" t="s">
        <v>229</v>
      </c>
      <c r="B2" s="102"/>
      <c r="C2" s="102"/>
      <c r="D2" s="102"/>
      <c r="E2" s="102"/>
    </row>
    <row r="3" spans="3:5" ht="37.5" customHeight="1">
      <c r="C3" s="3" t="s">
        <v>124</v>
      </c>
      <c r="D3" s="3" t="s">
        <v>230</v>
      </c>
      <c r="E3" s="3" t="s">
        <v>140</v>
      </c>
    </row>
    <row r="4" spans="1:5" ht="19.5" customHeight="1">
      <c r="A4" s="3" t="s">
        <v>198</v>
      </c>
      <c r="B4" s="31">
        <f>C4+D4+E4</f>
        <v>1890503.2210292183</v>
      </c>
      <c r="C4" s="31">
        <f>'whse rate'!F5+'whse rate'!F6</f>
        <v>391570.87335246196</v>
      </c>
      <c r="D4" s="31">
        <f>'whse rate'!F8+'whse rate'!F9</f>
        <v>969370.3476767562</v>
      </c>
      <c r="E4" s="31">
        <f>'whse rate'!F10+'whse rate'!F19+'whse rate'!F20</f>
        <v>529562</v>
      </c>
    </row>
    <row r="5" spans="1:5" ht="19.5" customHeight="1">
      <c r="A5" s="3" t="s">
        <v>203</v>
      </c>
      <c r="B5" s="1">
        <f>323103+859159+109867</f>
        <v>1292129</v>
      </c>
      <c r="D5" s="1">
        <f>323103+859159</f>
        <v>1182262</v>
      </c>
      <c r="E5" s="1">
        <v>109867</v>
      </c>
    </row>
    <row r="6" spans="1:5" ht="19.5" customHeight="1">
      <c r="A6" s="3" t="s">
        <v>94</v>
      </c>
      <c r="B6" s="1">
        <f>D6+E6</f>
        <v>282172.505</v>
      </c>
      <c r="D6" s="1">
        <f>'whse rate'!F16+'whse rate'!F17</f>
        <v>246112.505</v>
      </c>
      <c r="E6" s="1">
        <f>'whse rate'!F18</f>
        <v>36060</v>
      </c>
    </row>
    <row r="7" spans="1:5" ht="19.5" customHeight="1">
      <c r="A7" s="3" t="s">
        <v>0</v>
      </c>
      <c r="B7" s="1">
        <f>B4+B5+B6</f>
        <v>3464804.726029218</v>
      </c>
      <c r="C7" s="1">
        <f>C4</f>
        <v>391570.87335246196</v>
      </c>
      <c r="D7" s="1">
        <f>D4+D5+D6</f>
        <v>2397744.852676756</v>
      </c>
      <c r="E7" s="1">
        <f>E4+E5+E6</f>
        <v>675489</v>
      </c>
    </row>
    <row r="8" spans="1:5" ht="19.5" customHeight="1">
      <c r="A8" s="3" t="s">
        <v>231</v>
      </c>
      <c r="B8" s="1">
        <f>D8+E8</f>
        <v>-290479.6386299167</v>
      </c>
      <c r="D8" s="1">
        <f>-51014+-113753</f>
        <v>-164767</v>
      </c>
      <c r="E8" s="1">
        <f>'whse rate'!F25</f>
        <v>-125712.63862991668</v>
      </c>
    </row>
    <row r="9" spans="1:5" ht="36.75" customHeight="1">
      <c r="A9" s="3" t="s">
        <v>232</v>
      </c>
      <c r="B9" s="31">
        <f>B7+B8</f>
        <v>3174325.0873993016</v>
      </c>
      <c r="C9" s="31">
        <f>C7</f>
        <v>391570.87335246196</v>
      </c>
      <c r="D9" s="31">
        <f>D8+D7</f>
        <v>2232977.852676756</v>
      </c>
      <c r="E9" s="31">
        <f>E7+E8</f>
        <v>549776.3613700833</v>
      </c>
    </row>
    <row r="12" ht="12.75">
      <c r="A12" s="31"/>
    </row>
  </sheetData>
  <mergeCells count="2">
    <mergeCell ref="A1:E1"/>
    <mergeCell ref="A2:E2"/>
  </mergeCells>
  <printOptions gridLines="1"/>
  <pageMargins left="0.75" right="0.75" top="1.25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4" sqref="G4"/>
    </sheetView>
  </sheetViews>
  <sheetFormatPr defaultColWidth="9.140625" defaultRowHeight="12.75"/>
  <cols>
    <col min="1" max="2" width="8.8515625" style="1" customWidth="1"/>
    <col min="3" max="3" width="11.140625" style="1" customWidth="1"/>
    <col min="4" max="4" width="12.140625" style="1" customWidth="1"/>
    <col min="5" max="5" width="11.28125" style="1" customWidth="1"/>
    <col min="6" max="6" width="10.57421875" style="1" customWidth="1"/>
    <col min="7" max="7" width="11.7109375" style="1" customWidth="1"/>
    <col min="8" max="8" width="11.421875" style="1" customWidth="1"/>
    <col min="9" max="9" width="9.7109375" style="1" customWidth="1"/>
    <col min="10" max="16384" width="9.140625" style="1" customWidth="1"/>
  </cols>
  <sheetData>
    <row r="1" spans="1:9" ht="39.75" customHeight="1">
      <c r="A1" s="102" t="s">
        <v>239</v>
      </c>
      <c r="B1" s="102"/>
      <c r="C1" s="102"/>
      <c r="D1" s="102"/>
      <c r="E1" s="102"/>
      <c r="F1" s="102"/>
      <c r="G1" s="102"/>
      <c r="H1" s="102"/>
      <c r="I1" s="102"/>
    </row>
    <row r="2" spans="1:9" ht="35.25" customHeight="1">
      <c r="A2" s="6"/>
      <c r="B2" s="6"/>
      <c r="C2" s="6"/>
      <c r="D2" s="6">
        <v>1500</v>
      </c>
      <c r="E2" s="6">
        <v>3500</v>
      </c>
      <c r="F2" s="6">
        <v>5000</v>
      </c>
      <c r="G2" s="6">
        <v>10000</v>
      </c>
      <c r="H2" s="6">
        <v>30000</v>
      </c>
      <c r="I2" s="6">
        <v>50000</v>
      </c>
    </row>
    <row r="3" spans="1:9" ht="37.5" customHeight="1">
      <c r="A3" s="6" t="s">
        <v>240</v>
      </c>
      <c r="B3" s="6">
        <f>SUM(D3:I3)</f>
        <v>415693</v>
      </c>
      <c r="C3" s="6"/>
      <c r="D3" s="6">
        <v>99905</v>
      </c>
      <c r="E3" s="6">
        <v>149373</v>
      </c>
      <c r="F3" s="6">
        <v>62950</v>
      </c>
      <c r="G3" s="6">
        <v>31101</v>
      </c>
      <c r="H3" s="6">
        <v>26376</v>
      </c>
      <c r="I3" s="6">
        <v>45988</v>
      </c>
    </row>
    <row r="4" spans="1:9" ht="19.5" customHeight="1">
      <c r="A4" s="6" t="s">
        <v>241</v>
      </c>
      <c r="B4" s="6"/>
      <c r="C4" s="6"/>
      <c r="D4" s="95">
        <f>D3/B3</f>
        <v>0.24033361158354843</v>
      </c>
      <c r="E4" s="95">
        <f>E3/B3</f>
        <v>0.3593348937797846</v>
      </c>
      <c r="F4" s="95">
        <f>F3/B3</f>
        <v>0.15143387066897926</v>
      </c>
      <c r="G4" s="95">
        <f>G3/B3</f>
        <v>0.07481723290986377</v>
      </c>
      <c r="H4" s="95">
        <f>H3/B3</f>
        <v>0.06345067152922951</v>
      </c>
      <c r="I4" s="95">
        <f>I3/B3</f>
        <v>0.11062971952859442</v>
      </c>
    </row>
    <row r="5" spans="1:9" ht="19.5" customHeight="1">
      <c r="A5" s="6"/>
      <c r="B5" s="6"/>
      <c r="C5" s="6"/>
      <c r="D5" s="10">
        <v>2.5</v>
      </c>
      <c r="E5" s="10">
        <v>2</v>
      </c>
      <c r="F5" s="10">
        <v>1.75</v>
      </c>
      <c r="G5" s="10">
        <v>1.5</v>
      </c>
      <c r="H5" s="10">
        <v>1.25</v>
      </c>
      <c r="I5" s="10">
        <v>1</v>
      </c>
    </row>
    <row r="6" spans="1:9" ht="36" customHeight="1">
      <c r="A6" s="6" t="s">
        <v>235</v>
      </c>
      <c r="B6" s="6">
        <f>SUM(D6:I6)</f>
        <v>784280.5</v>
      </c>
      <c r="C6" s="6"/>
      <c r="D6" s="6">
        <f aca="true" t="shared" si="0" ref="D6:I6">D3*D5</f>
        <v>249762.5</v>
      </c>
      <c r="E6" s="6">
        <f t="shared" si="0"/>
        <v>298746</v>
      </c>
      <c r="F6" s="6">
        <f t="shared" si="0"/>
        <v>110162.5</v>
      </c>
      <c r="G6" s="6">
        <f t="shared" si="0"/>
        <v>46651.5</v>
      </c>
      <c r="H6" s="6">
        <f t="shared" si="0"/>
        <v>32970</v>
      </c>
      <c r="I6" s="6">
        <f t="shared" si="0"/>
        <v>45988</v>
      </c>
    </row>
    <row r="7" spans="1:9" ht="19.5" customHeight="1">
      <c r="A7" s="8" t="s">
        <v>241</v>
      </c>
      <c r="B7" s="8"/>
      <c r="C7" s="8"/>
      <c r="D7" s="96">
        <f>D6/B6</f>
        <v>0.3184606782904841</v>
      </c>
      <c r="E7" s="96">
        <f>280627279/692696763</f>
        <v>0.40512283872185495</v>
      </c>
      <c r="F7" s="96">
        <f>SUM(F3*F5)/B6</f>
        <v>0.140463137869678</v>
      </c>
      <c r="G7" s="96">
        <f>G6/B6</f>
        <v>0.05948318235631257</v>
      </c>
      <c r="H7" s="96">
        <f>H6/B6</f>
        <v>0.04203853085726344</v>
      </c>
      <c r="I7" s="96">
        <f>I6/B6</f>
        <v>0.05863718401770795</v>
      </c>
    </row>
    <row r="8" spans="1:9" ht="19.5" customHeight="1">
      <c r="A8" s="6"/>
      <c r="B8" s="6"/>
      <c r="C8" s="6"/>
      <c r="D8" s="6"/>
      <c r="E8" s="6"/>
      <c r="F8" s="6"/>
      <c r="G8" s="6"/>
      <c r="H8" s="6"/>
      <c r="I8" s="6"/>
    </row>
    <row r="9" spans="1:9" ht="19.5" customHeight="1">
      <c r="A9" s="6" t="s">
        <v>124</v>
      </c>
      <c r="B9" s="6"/>
      <c r="C9" s="11">
        <f>'ret alloc'!C9</f>
        <v>391570.87335246196</v>
      </c>
      <c r="D9" s="11">
        <f>C9*D4</f>
        <v>94107.64218372143</v>
      </c>
      <c r="E9" s="11">
        <f>C9*E4</f>
        <v>140705.0781833644</v>
      </c>
      <c r="F9" s="11">
        <f>C9*F4</f>
        <v>59297.09299299598</v>
      </c>
      <c r="G9" s="11">
        <f>C9*G4</f>
        <v>29296.249232329912</v>
      </c>
      <c r="H9" s="6">
        <f>C9*H4</f>
        <v>24845.434865500592</v>
      </c>
      <c r="I9" s="6">
        <f>C9*I4</f>
        <v>43319.37589454963</v>
      </c>
    </row>
    <row r="10" spans="1:9" ht="19.5" customHeight="1">
      <c r="A10" s="6" t="s">
        <v>235</v>
      </c>
      <c r="B10" s="6"/>
      <c r="C10" s="6">
        <f>'ret alloc'!D9</f>
        <v>2232977.852676756</v>
      </c>
      <c r="D10" s="6">
        <f>C10*D7</f>
        <v>711115.6415710684</v>
      </c>
      <c r="E10" s="6">
        <f>C10*E7</f>
        <v>904630.3264794395</v>
      </c>
      <c r="F10" s="6">
        <f>C10*F7</f>
        <v>313651.0759804728</v>
      </c>
      <c r="G10" s="6">
        <f>C10*G7</f>
        <v>132824.62880837877</v>
      </c>
      <c r="H10" s="6">
        <f>C10*H7</f>
        <v>93871.10836333767</v>
      </c>
      <c r="I10" s="6">
        <f>C10*I7</f>
        <v>130935.5332548733</v>
      </c>
    </row>
    <row r="11" spans="1:9" ht="19.5" customHeight="1">
      <c r="A11" s="6" t="s">
        <v>140</v>
      </c>
      <c r="B11" s="6"/>
      <c r="C11" s="6">
        <f>'ret alloc'!E9</f>
        <v>549776.3613700833</v>
      </c>
      <c r="D11" s="6">
        <f>C11</f>
        <v>549776.3613700833</v>
      </c>
      <c r="E11" s="6"/>
      <c r="F11" s="6"/>
      <c r="G11" s="6"/>
      <c r="H11" s="6"/>
      <c r="I11" s="6"/>
    </row>
    <row r="12" spans="1:9" ht="18.7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19.5" customHeight="1">
      <c r="A13" s="6" t="s">
        <v>38</v>
      </c>
      <c r="B13" s="6"/>
      <c r="C13" s="6">
        <f>SUM(C9:C12)</f>
        <v>3174325.0873993016</v>
      </c>
      <c r="D13" s="11">
        <f aca="true" t="shared" si="1" ref="D13:I13">SUM(D9:D12)</f>
        <v>1354999.6451248731</v>
      </c>
      <c r="E13" s="11">
        <f t="shared" si="1"/>
        <v>1045335.404662804</v>
      </c>
      <c r="F13" s="11">
        <f t="shared" si="1"/>
        <v>372948.16897346877</v>
      </c>
      <c r="G13" s="11">
        <f t="shared" si="1"/>
        <v>162120.8780407087</v>
      </c>
      <c r="H13" s="11">
        <f t="shared" si="1"/>
        <v>118716.54322883826</v>
      </c>
      <c r="I13" s="11">
        <f t="shared" si="1"/>
        <v>174254.90914942292</v>
      </c>
    </row>
    <row r="14" spans="1:9" ht="19.5" customHeight="1">
      <c r="A14" s="6"/>
      <c r="B14" s="6"/>
      <c r="C14" s="6"/>
      <c r="D14" s="6"/>
      <c r="E14" s="6"/>
      <c r="F14" s="6"/>
      <c r="G14" s="6"/>
      <c r="H14" s="6"/>
      <c r="I14" s="6"/>
    </row>
    <row r="15" spans="1:9" ht="19.5" customHeight="1">
      <c r="A15" s="6" t="s">
        <v>242</v>
      </c>
      <c r="B15" s="6">
        <v>75713</v>
      </c>
      <c r="C15" s="6"/>
      <c r="D15" s="10">
        <f>D13/B15</f>
        <v>17.8965256313298</v>
      </c>
      <c r="E15" s="10">
        <f>E13/E3</f>
        <v>6.998154985591801</v>
      </c>
      <c r="F15" s="12">
        <f>F13/F3</f>
        <v>5.9245142013259535</v>
      </c>
      <c r="G15" s="10">
        <f>G13/G3</f>
        <v>5.212722357503254</v>
      </c>
      <c r="H15" s="10">
        <f>H13/H3</f>
        <v>4.500930513680553</v>
      </c>
      <c r="I15" s="10">
        <f>I13/I3</f>
        <v>3.7891386698578526</v>
      </c>
    </row>
    <row r="16" spans="1:9" ht="16.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19.5" customHeight="1">
      <c r="A17" s="6" t="s">
        <v>243</v>
      </c>
      <c r="B17" s="6"/>
      <c r="C17" s="6"/>
      <c r="D17" s="10">
        <v>16</v>
      </c>
      <c r="E17" s="10">
        <v>5.75</v>
      </c>
      <c r="F17" s="10">
        <v>5.25</v>
      </c>
      <c r="G17" s="10">
        <v>4.25</v>
      </c>
      <c r="H17" s="10">
        <v>3.25</v>
      </c>
      <c r="I17" s="10">
        <v>2.2</v>
      </c>
    </row>
    <row r="18" spans="1:9" ht="18" customHeight="1">
      <c r="A18" s="6"/>
      <c r="B18" s="6"/>
      <c r="C18" s="6"/>
      <c r="D18" s="6"/>
      <c r="E18" s="10"/>
      <c r="F18" s="6"/>
      <c r="G18" s="6"/>
      <c r="H18" s="6"/>
      <c r="I18" s="6"/>
    </row>
    <row r="19" spans="1:9" ht="19.5" customHeight="1">
      <c r="A19" s="6" t="s">
        <v>216</v>
      </c>
      <c r="B19" s="6"/>
      <c r="C19" s="6"/>
      <c r="D19" s="12">
        <f aca="true" t="shared" si="2" ref="D19:I19">D15-D17</f>
        <v>1.8965256313298013</v>
      </c>
      <c r="E19" s="12">
        <f t="shared" si="2"/>
        <v>1.2481549855918006</v>
      </c>
      <c r="F19" s="12">
        <f t="shared" si="2"/>
        <v>0.6745142013259535</v>
      </c>
      <c r="G19" s="12">
        <f t="shared" si="2"/>
        <v>0.962722357503254</v>
      </c>
      <c r="H19" s="12">
        <f t="shared" si="2"/>
        <v>1.2509305136805526</v>
      </c>
      <c r="I19" s="12">
        <f t="shared" si="2"/>
        <v>1.5891386698578525</v>
      </c>
    </row>
    <row r="20" spans="1:9" ht="19.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1:9" ht="19.5" customHeight="1">
      <c r="A21" s="6" t="s">
        <v>217</v>
      </c>
      <c r="B21" s="6"/>
      <c r="C21" s="6"/>
      <c r="D21" s="10">
        <f aca="true" t="shared" si="3" ref="D21:I21">D19/D17</f>
        <v>0.11853285195811258</v>
      </c>
      <c r="E21" s="10">
        <f t="shared" si="3"/>
        <v>0.2170704322768349</v>
      </c>
      <c r="F21" s="10">
        <f t="shared" si="3"/>
        <v>0.1284788954906578</v>
      </c>
      <c r="G21" s="10">
        <f t="shared" si="3"/>
        <v>0.22652290764782446</v>
      </c>
      <c r="H21" s="10">
        <f t="shared" si="3"/>
        <v>0.3849016965170931</v>
      </c>
      <c r="I21" s="10">
        <f t="shared" si="3"/>
        <v>0.7223357590262965</v>
      </c>
    </row>
    <row r="22" spans="1:9" ht="19.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9.5" customHeight="1">
      <c r="A23" s="9"/>
      <c r="B23" s="6"/>
      <c r="C23" s="6"/>
      <c r="D23" s="6"/>
      <c r="E23" s="6"/>
      <c r="F23" s="6"/>
      <c r="G23" s="6"/>
      <c r="H23" s="6"/>
      <c r="I23" s="6"/>
    </row>
  </sheetData>
  <mergeCells count="1">
    <mergeCell ref="A1:I1"/>
  </mergeCells>
  <printOptions gridLines="1" horizontalCentered="1"/>
  <pageMargins left="0.5" right="0.2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14"/>
  <sheetViews>
    <sheetView workbookViewId="0" topLeftCell="A4">
      <selection activeCell="C10" sqref="C10"/>
    </sheetView>
  </sheetViews>
  <sheetFormatPr defaultColWidth="9.140625" defaultRowHeight="12.75"/>
  <cols>
    <col min="1" max="1" width="20.7109375" style="8" customWidth="1"/>
    <col min="2" max="2" width="10.00390625" style="6" customWidth="1"/>
    <col min="3" max="3" width="15.28125" style="6" customWidth="1"/>
    <col min="4" max="4" width="13.28125" style="6" customWidth="1"/>
    <col min="5" max="5" width="11.57421875" style="6" customWidth="1"/>
    <col min="6" max="6" width="13.140625" style="6" customWidth="1"/>
    <col min="7" max="7" width="11.28125" style="6" customWidth="1"/>
    <col min="8" max="8" width="11.7109375" style="6" customWidth="1"/>
    <col min="9" max="9" width="10.421875" style="6" customWidth="1"/>
    <col min="10" max="10" width="10.8515625" style="6" customWidth="1"/>
    <col min="11" max="11" width="6.00390625" style="6" customWidth="1"/>
    <col min="12" max="12" width="11.57421875" style="6" customWidth="1"/>
    <col min="13" max="13" width="6.57421875" style="6" customWidth="1"/>
    <col min="14" max="16384" width="9.140625" style="8" customWidth="1"/>
  </cols>
  <sheetData>
    <row r="1" spans="1:9" ht="19.5" customHeight="1">
      <c r="A1" s="104" t="s">
        <v>24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107" t="s">
        <v>250</v>
      </c>
      <c r="B2" s="107"/>
      <c r="C2" s="107"/>
      <c r="D2" s="107"/>
      <c r="E2" s="107"/>
      <c r="F2" s="107"/>
      <c r="G2" s="107"/>
      <c r="H2" s="107"/>
      <c r="I2" s="107"/>
    </row>
    <row r="3" spans="1:9" ht="18.75" customHeight="1">
      <c r="A3" s="105" t="s">
        <v>37</v>
      </c>
      <c r="B3" s="105"/>
      <c r="C3" s="105"/>
      <c r="D3" s="105"/>
      <c r="E3" s="105"/>
      <c r="F3" s="105"/>
      <c r="G3" s="105"/>
      <c r="H3" s="105"/>
      <c r="I3" s="105"/>
    </row>
    <row r="4" spans="4:9" ht="20.25" customHeight="1">
      <c r="D4" s="6">
        <v>1500</v>
      </c>
      <c r="E4" s="6">
        <v>3500</v>
      </c>
      <c r="F4" s="6">
        <v>5000</v>
      </c>
      <c r="G4" s="6">
        <v>10000</v>
      </c>
      <c r="H4" s="6">
        <v>30000</v>
      </c>
      <c r="I4" s="6">
        <v>50000</v>
      </c>
    </row>
    <row r="5" spans="1:6" ht="15" customHeight="1">
      <c r="A5" s="98" t="s">
        <v>251</v>
      </c>
      <c r="B5" s="6">
        <f>14612</f>
        <v>14612</v>
      </c>
      <c r="C5" s="6">
        <v>8254325</v>
      </c>
      <c r="D5" s="6">
        <f>C5</f>
        <v>8254325</v>
      </c>
      <c r="F5" s="10"/>
    </row>
    <row r="6" spans="1:12" ht="15" customHeight="1">
      <c r="A6" s="8" t="s">
        <v>252</v>
      </c>
      <c r="B6" s="6">
        <f>36015+180</f>
        <v>36195</v>
      </c>
      <c r="C6" s="6">
        <f>115595445+900000</f>
        <v>116495445</v>
      </c>
      <c r="D6" s="6">
        <f>B5:B6*D4</f>
        <v>54292500</v>
      </c>
      <c r="E6" s="6">
        <f>C6-D6</f>
        <v>62202945</v>
      </c>
      <c r="L6" s="10"/>
    </row>
    <row r="7" spans="1:6" ht="15" customHeight="1">
      <c r="A7" s="8" t="s">
        <v>233</v>
      </c>
      <c r="B7" s="6">
        <v>19010</v>
      </c>
      <c r="C7" s="6">
        <v>128520380</v>
      </c>
      <c r="D7" s="6">
        <f>B7*D4</f>
        <v>28515000</v>
      </c>
      <c r="E7" s="6">
        <f>B7*E4</f>
        <v>66535000</v>
      </c>
      <c r="F7" s="6">
        <f>C7-D7-E7</f>
        <v>33470380</v>
      </c>
    </row>
    <row r="8" spans="1:7" ht="15" customHeight="1">
      <c r="A8" s="8" t="s">
        <v>234</v>
      </c>
      <c r="B8" s="6">
        <f>3967+117+39</f>
        <v>4123</v>
      </c>
      <c r="C8" s="6">
        <f>52381470+1667850+552400</f>
        <v>54601720</v>
      </c>
      <c r="D8" s="6">
        <f>B8*D4</f>
        <v>6184500</v>
      </c>
      <c r="E8" s="6">
        <f>B8*E4</f>
        <v>14430500</v>
      </c>
      <c r="F8" s="6">
        <f>B8*F4</f>
        <v>20615000</v>
      </c>
      <c r="G8" s="6">
        <f>C8-D8-E8-F8</f>
        <v>13371720</v>
      </c>
    </row>
    <row r="9" spans="1:8" ht="15" customHeight="1">
      <c r="A9" s="8" t="s">
        <v>253</v>
      </c>
      <c r="B9" s="6">
        <f>1157+84+35</f>
        <v>1276</v>
      </c>
      <c r="C9" s="6">
        <f>32949480+2931780+1105170</f>
        <v>36986430</v>
      </c>
      <c r="D9" s="6">
        <f>B9*D4</f>
        <v>1914000</v>
      </c>
      <c r="E9" s="6">
        <f>B9*E4</f>
        <v>4466000</v>
      </c>
      <c r="F9" s="6">
        <f>B9*F4</f>
        <v>6380000</v>
      </c>
      <c r="G9" s="6">
        <f>B9*G4</f>
        <v>12760000</v>
      </c>
      <c r="H9" s="6">
        <f>C9-D9-E9-F9-G9</f>
        <v>11466430</v>
      </c>
    </row>
    <row r="10" spans="1:9" ht="15" customHeight="1">
      <c r="A10" s="8" t="s">
        <v>26</v>
      </c>
      <c r="B10" s="6">
        <v>497</v>
      </c>
      <c r="C10" s="6">
        <f>89744220-18905451</f>
        <v>70838769</v>
      </c>
      <c r="D10" s="6">
        <f>B10*D4</f>
        <v>745500</v>
      </c>
      <c r="E10" s="6">
        <f>B10*E4</f>
        <v>1739500</v>
      </c>
      <c r="F10" s="6">
        <f>B10*F4</f>
        <v>2485000</v>
      </c>
      <c r="G10" s="6">
        <f>B10*G4</f>
        <v>4970000</v>
      </c>
      <c r="H10" s="6">
        <f>B10*H4</f>
        <v>14910000</v>
      </c>
      <c r="I10" s="6">
        <f>C10-D10-E10-F10-G10-H10</f>
        <v>45988769</v>
      </c>
    </row>
    <row r="11" spans="1:9" ht="15" customHeight="1">
      <c r="A11" s="8" t="s">
        <v>222</v>
      </c>
      <c r="B11" s="6">
        <f>SUM(B5:B10)</f>
        <v>75713</v>
      </c>
      <c r="C11" s="6">
        <f aca="true" t="shared" si="0" ref="C11:H11">SUM(C5:C10)</f>
        <v>415697069</v>
      </c>
      <c r="D11" s="6">
        <f t="shared" si="0"/>
        <v>99905825</v>
      </c>
      <c r="E11" s="6">
        <f t="shared" si="0"/>
        <v>149373945</v>
      </c>
      <c r="F11" s="6">
        <f t="shared" si="0"/>
        <v>62950380</v>
      </c>
      <c r="G11" s="6">
        <f t="shared" si="0"/>
        <v>31101720</v>
      </c>
      <c r="H11" s="6">
        <f t="shared" si="0"/>
        <v>26376430</v>
      </c>
      <c r="I11" s="6">
        <f>I10</f>
        <v>45988769</v>
      </c>
    </row>
    <row r="12" spans="1:9" ht="18" customHeight="1">
      <c r="A12" s="104" t="s">
        <v>40</v>
      </c>
      <c r="B12" s="104"/>
      <c r="C12" s="104"/>
      <c r="D12" s="104"/>
      <c r="E12" s="104"/>
      <c r="F12" s="104"/>
      <c r="G12" s="104"/>
      <c r="H12" s="104"/>
      <c r="I12" s="104"/>
    </row>
    <row r="13" spans="2:8" ht="21.75" customHeight="1">
      <c r="B13" s="6" t="s">
        <v>32</v>
      </c>
      <c r="C13" s="6" t="s">
        <v>33</v>
      </c>
      <c r="D13" s="6" t="s">
        <v>34</v>
      </c>
      <c r="E13" s="6" t="s">
        <v>35</v>
      </c>
      <c r="F13" s="6" t="s">
        <v>236</v>
      </c>
      <c r="G13" s="6" t="s">
        <v>216</v>
      </c>
      <c r="H13" s="6" t="s">
        <v>217</v>
      </c>
    </row>
    <row r="14" spans="1:8" ht="15" customHeight="1">
      <c r="A14" s="98" t="s">
        <v>251</v>
      </c>
      <c r="B14" s="6">
        <f>B5</f>
        <v>14612</v>
      </c>
      <c r="C14" s="6">
        <f>D11</f>
        <v>99905825</v>
      </c>
      <c r="D14" s="12">
        <v>18.8</v>
      </c>
      <c r="E14" s="11">
        <f>B20*D14</f>
        <v>1423404.4000000001</v>
      </c>
      <c r="F14" s="10">
        <v>16</v>
      </c>
      <c r="G14" s="10">
        <f>D14-F14</f>
        <v>2.8000000000000007</v>
      </c>
      <c r="H14" s="10">
        <f>SUM(G14/F14)</f>
        <v>0.17500000000000004</v>
      </c>
    </row>
    <row r="15" spans="1:8" ht="15" customHeight="1">
      <c r="A15" s="8" t="s">
        <v>252</v>
      </c>
      <c r="B15" s="6">
        <f>B6</f>
        <v>36195</v>
      </c>
      <c r="C15" s="6">
        <f>E11</f>
        <v>149373945</v>
      </c>
      <c r="D15" s="10">
        <v>6.8</v>
      </c>
      <c r="E15" s="6">
        <f>SUM(C15*D15)/1000</f>
        <v>1015742.826</v>
      </c>
      <c r="F15" s="10">
        <v>5.75</v>
      </c>
      <c r="G15" s="10">
        <f aca="true" t="shared" si="1" ref="G15:G21">D15-F15</f>
        <v>1.0499999999999998</v>
      </c>
      <c r="H15" s="10">
        <f aca="true" t="shared" si="2" ref="H15:H21">SUM(G15/F15)</f>
        <v>0.18260869565217389</v>
      </c>
    </row>
    <row r="16" spans="1:8" ht="15" customHeight="1">
      <c r="A16" s="8" t="s">
        <v>233</v>
      </c>
      <c r="B16" s="6">
        <f>B7</f>
        <v>19010</v>
      </c>
      <c r="C16" s="6">
        <f>F11</f>
        <v>62950380</v>
      </c>
      <c r="D16" s="10">
        <v>6.2</v>
      </c>
      <c r="E16" s="6">
        <f>SUM(C16*D16)/1000</f>
        <v>390292.356</v>
      </c>
      <c r="F16" s="10">
        <v>5.25</v>
      </c>
      <c r="G16" s="10">
        <f t="shared" si="1"/>
        <v>0.9500000000000002</v>
      </c>
      <c r="H16" s="10">
        <f t="shared" si="2"/>
        <v>0.18095238095238098</v>
      </c>
    </row>
    <row r="17" spans="1:8" ht="15" customHeight="1">
      <c r="A17" s="8" t="s">
        <v>234</v>
      </c>
      <c r="B17" s="6">
        <f>3967+117+39</f>
        <v>4123</v>
      </c>
      <c r="C17" s="6">
        <f>G11</f>
        <v>31101720</v>
      </c>
      <c r="D17" s="10">
        <v>5</v>
      </c>
      <c r="E17" s="6">
        <f>SUM(C17*D17)/1000</f>
        <v>155508.6</v>
      </c>
      <c r="F17" s="10">
        <v>4.25</v>
      </c>
      <c r="G17" s="10">
        <f t="shared" si="1"/>
        <v>0.75</v>
      </c>
      <c r="H17" s="10">
        <f t="shared" si="2"/>
        <v>0.17647058823529413</v>
      </c>
    </row>
    <row r="18" spans="1:8" ht="15" customHeight="1">
      <c r="A18" s="8" t="s">
        <v>253</v>
      </c>
      <c r="B18" s="6">
        <f>1157+84+35</f>
        <v>1276</v>
      </c>
      <c r="C18" s="6">
        <f>H11</f>
        <v>26376430</v>
      </c>
      <c r="D18" s="10">
        <v>3.85</v>
      </c>
      <c r="E18" s="6">
        <f>SUM(C18*D18)/1000</f>
        <v>101549.2555</v>
      </c>
      <c r="F18" s="10">
        <v>3.25</v>
      </c>
      <c r="G18" s="10">
        <f t="shared" si="1"/>
        <v>0.6000000000000001</v>
      </c>
      <c r="H18" s="10">
        <f>SUM(D18-F18)/F18</f>
        <v>0.18461538461538465</v>
      </c>
    </row>
    <row r="19" spans="1:8" ht="15" customHeight="1">
      <c r="A19" s="8" t="s">
        <v>26</v>
      </c>
      <c r="B19" s="6">
        <f>B10</f>
        <v>497</v>
      </c>
      <c r="C19" s="6">
        <f>I11</f>
        <v>45988769</v>
      </c>
      <c r="D19" s="10">
        <v>2.6</v>
      </c>
      <c r="E19" s="6">
        <f>SUM(C19*D19)/1000</f>
        <v>119570.7994</v>
      </c>
      <c r="F19" s="10">
        <v>2.2</v>
      </c>
      <c r="G19" s="10">
        <f t="shared" si="1"/>
        <v>0.3999999999999999</v>
      </c>
      <c r="H19" s="10">
        <f t="shared" si="2"/>
        <v>0.18181818181818177</v>
      </c>
    </row>
    <row r="20" spans="1:8" ht="15" customHeight="1">
      <c r="A20" s="8" t="s">
        <v>222</v>
      </c>
      <c r="B20" s="6">
        <f>SUM(B14:B19)</f>
        <v>75713</v>
      </c>
      <c r="C20" s="6">
        <f>SUM(C14:C19)</f>
        <v>415697069</v>
      </c>
      <c r="D20" s="10"/>
      <c r="E20" s="11">
        <f>SUM(E14:E19)</f>
        <v>3206068.2369000004</v>
      </c>
      <c r="F20" s="10"/>
      <c r="H20" s="10"/>
    </row>
    <row r="21" spans="1:8" ht="31.5" customHeight="1">
      <c r="A21" s="8" t="s">
        <v>36</v>
      </c>
      <c r="C21" s="6">
        <v>97490450</v>
      </c>
      <c r="D21" s="10">
        <v>2.6</v>
      </c>
      <c r="E21" s="11">
        <f>SUM(C21*D21)/1000</f>
        <v>253475.17</v>
      </c>
      <c r="F21" s="10">
        <v>2.2</v>
      </c>
      <c r="G21" s="10">
        <f t="shared" si="1"/>
        <v>0.3999999999999999</v>
      </c>
      <c r="H21" s="10">
        <f t="shared" si="2"/>
        <v>0.18181818181818177</v>
      </c>
    </row>
    <row r="22" spans="1:5" ht="15.75" customHeight="1">
      <c r="A22" s="8" t="s">
        <v>41</v>
      </c>
      <c r="D22" s="10"/>
      <c r="E22" s="11">
        <f>E20+E21</f>
        <v>3459543.4069000003</v>
      </c>
    </row>
    <row r="23" spans="1:5" ht="15.75" customHeight="1">
      <c r="A23" s="8" t="s">
        <v>237</v>
      </c>
      <c r="D23" s="10"/>
      <c r="E23" s="6">
        <f>75026+25984+111787+90000</f>
        <v>302797</v>
      </c>
    </row>
    <row r="24" spans="1:5" ht="15.75" customHeight="1">
      <c r="A24" s="8" t="s">
        <v>254</v>
      </c>
      <c r="D24" s="10"/>
      <c r="E24" s="11">
        <f>E22+E23</f>
        <v>3762340.4069000003</v>
      </c>
    </row>
    <row r="25" spans="1:5" ht="15.75" customHeight="1">
      <c r="A25" s="8" t="s">
        <v>0</v>
      </c>
      <c r="D25" s="10"/>
      <c r="E25" s="6">
        <f>exp!D38</f>
        <v>3762455</v>
      </c>
    </row>
    <row r="26" spans="1:5" ht="15.75" customHeight="1">
      <c r="A26" s="8" t="s">
        <v>255</v>
      </c>
      <c r="D26" s="10"/>
      <c r="E26" s="11">
        <f>E24-E25</f>
        <v>-114.59309999970719</v>
      </c>
    </row>
    <row r="27" spans="1:8" ht="15" customHeight="1" hidden="1">
      <c r="A27" s="8" t="s">
        <v>169</v>
      </c>
      <c r="D27" s="10"/>
      <c r="G27" s="6">
        <v>1.18</v>
      </c>
      <c r="H27" s="10">
        <f>H26/3277463</f>
        <v>0</v>
      </c>
    </row>
    <row r="28" spans="1:4" ht="12.75" customHeight="1" hidden="1">
      <c r="A28" s="8" t="s">
        <v>162</v>
      </c>
      <c r="D28" s="10"/>
    </row>
    <row r="29" spans="1:4" ht="18.75" customHeight="1" hidden="1">
      <c r="A29" s="8" t="s">
        <v>221</v>
      </c>
      <c r="D29" s="10"/>
    </row>
    <row r="30" spans="1:5" ht="15" customHeight="1">
      <c r="A30" s="106" t="s">
        <v>161</v>
      </c>
      <c r="B30" s="106"/>
      <c r="C30" s="106"/>
      <c r="D30" s="106"/>
      <c r="E30" s="106"/>
    </row>
    <row r="31" spans="1:5" ht="13.5" customHeight="1">
      <c r="A31" s="106" t="s">
        <v>258</v>
      </c>
      <c r="B31" s="106"/>
      <c r="C31" s="106"/>
      <c r="D31" s="106"/>
      <c r="E31" s="106"/>
    </row>
    <row r="32" ht="15" customHeight="1">
      <c r="D32" s="10"/>
    </row>
    <row r="33" spans="1:6" ht="15" customHeight="1">
      <c r="A33" s="8">
        <f>15*12</f>
        <v>180</v>
      </c>
      <c r="D33" s="10"/>
      <c r="F33" s="10"/>
    </row>
    <row r="34" spans="1:6" ht="15" customHeight="1">
      <c r="A34" s="8">
        <f>180*5000</f>
        <v>900000</v>
      </c>
      <c r="D34" s="10"/>
      <c r="F34" s="10"/>
    </row>
    <row r="35" spans="4:6" ht="15" customHeight="1">
      <c r="D35" s="10"/>
      <c r="F35" s="10"/>
    </row>
    <row r="36" spans="4:6" ht="15" customHeight="1">
      <c r="D36" s="10"/>
      <c r="F36" s="10"/>
    </row>
    <row r="37" ht="15" customHeight="1">
      <c r="D37" s="10"/>
    </row>
    <row r="38" spans="3:13" ht="15" customHeight="1">
      <c r="C38" s="6">
        <f>76227/12</f>
        <v>6352.25</v>
      </c>
      <c r="D38" s="6">
        <f>26578060</f>
        <v>26578060</v>
      </c>
      <c r="E38" s="6">
        <v>10585</v>
      </c>
      <c r="F38" s="6">
        <v>30996750</v>
      </c>
      <c r="G38" s="6">
        <v>226925</v>
      </c>
      <c r="H38" s="6">
        <v>6991390</v>
      </c>
      <c r="I38" s="6">
        <v>561</v>
      </c>
      <c r="J38" s="6">
        <v>2750990</v>
      </c>
      <c r="K38" s="6">
        <v>134</v>
      </c>
      <c r="L38" s="6">
        <v>320970</v>
      </c>
      <c r="M38" s="6">
        <v>5</v>
      </c>
    </row>
    <row r="39" spans="4:13" ht="15" customHeight="1">
      <c r="D39" s="6">
        <v>38242770</v>
      </c>
      <c r="E39" s="6">
        <v>10924</v>
      </c>
      <c r="F39" s="6">
        <v>24028220</v>
      </c>
      <c r="G39" s="6">
        <v>3217</v>
      </c>
      <c r="H39" s="6">
        <v>5889190</v>
      </c>
      <c r="I39" s="6">
        <v>436</v>
      </c>
      <c r="J39" s="6">
        <v>2278020</v>
      </c>
      <c r="K39" s="6">
        <v>91</v>
      </c>
      <c r="L39" s="6">
        <v>545980</v>
      </c>
      <c r="M39" s="6">
        <v>6</v>
      </c>
    </row>
    <row r="40" spans="2:13" ht="15" customHeight="1">
      <c r="B40" s="6">
        <f>76227-75533</f>
        <v>694</v>
      </c>
      <c r="D40" s="6">
        <v>41837100</v>
      </c>
      <c r="E40" s="6">
        <v>9325</v>
      </c>
      <c r="F40" s="6">
        <v>18300300</v>
      </c>
      <c r="G40" s="6">
        <v>2160</v>
      </c>
      <c r="H40" s="6">
        <v>4163290</v>
      </c>
      <c r="I40" s="6">
        <v>287</v>
      </c>
      <c r="J40" s="6">
        <v>2048920</v>
      </c>
      <c r="K40" s="6">
        <v>74</v>
      </c>
      <c r="L40" s="6">
        <v>498520</v>
      </c>
      <c r="M40" s="6">
        <v>5</v>
      </c>
    </row>
    <row r="41" spans="2:13" ht="15" customHeight="1">
      <c r="B41" s="10">
        <f>B40/12</f>
        <v>57.833333333333336</v>
      </c>
      <c r="F41" s="6">
        <v>14597280</v>
      </c>
      <c r="G41" s="6">
        <v>1541</v>
      </c>
      <c r="H41" s="6">
        <v>4077890</v>
      </c>
      <c r="I41" s="6">
        <v>263</v>
      </c>
      <c r="J41" s="6">
        <v>1759690</v>
      </c>
      <c r="K41" s="6">
        <v>67</v>
      </c>
      <c r="L41" s="6">
        <v>282360</v>
      </c>
      <c r="M41" s="6">
        <v>8</v>
      </c>
    </row>
    <row r="42" spans="2:13" ht="15" customHeight="1">
      <c r="B42" s="6">
        <f>15*12</f>
        <v>180</v>
      </c>
      <c r="H42" s="6">
        <v>3565850</v>
      </c>
      <c r="I42" s="6">
        <v>216</v>
      </c>
      <c r="J42" s="6">
        <v>1815680</v>
      </c>
      <c r="K42" s="6">
        <v>48</v>
      </c>
      <c r="L42" s="6">
        <v>401450</v>
      </c>
      <c r="M42" s="6">
        <v>6</v>
      </c>
    </row>
    <row r="43" spans="2:13" ht="15" customHeight="1">
      <c r="B43" s="6">
        <f>180*5000</f>
        <v>900000</v>
      </c>
      <c r="C43" s="6">
        <f>180*1500</f>
        <v>270000</v>
      </c>
      <c r="H43" s="6">
        <v>3389780</v>
      </c>
      <c r="I43" s="6">
        <v>194</v>
      </c>
      <c r="J43" s="6">
        <v>1858280</v>
      </c>
      <c r="K43" s="6">
        <v>34</v>
      </c>
      <c r="L43" s="6">
        <v>351610</v>
      </c>
      <c r="M43" s="6">
        <v>5</v>
      </c>
    </row>
    <row r="44" spans="3:13" ht="15" customHeight="1">
      <c r="C44" s="6">
        <f>900000-270000</f>
        <v>630000</v>
      </c>
      <c r="H44" s="6">
        <v>3084120</v>
      </c>
      <c r="I44" s="6">
        <v>167</v>
      </c>
      <c r="J44" s="6">
        <v>1773470</v>
      </c>
      <c r="K44" s="6">
        <v>31</v>
      </c>
      <c r="L44" s="6">
        <v>478070</v>
      </c>
      <c r="M44" s="6">
        <v>8</v>
      </c>
    </row>
    <row r="45" spans="8:13" ht="15" customHeight="1">
      <c r="H45" s="6">
        <v>2594410</v>
      </c>
      <c r="I45" s="6">
        <v>133</v>
      </c>
      <c r="J45" s="6">
        <v>1652930</v>
      </c>
      <c r="K45" s="6">
        <v>22</v>
      </c>
      <c r="L45" s="6">
        <v>301350</v>
      </c>
      <c r="M45" s="6">
        <v>1</v>
      </c>
    </row>
    <row r="46" spans="10:13" ht="15" customHeight="1">
      <c r="J46" s="6">
        <v>1365670</v>
      </c>
      <c r="K46" s="6">
        <v>20</v>
      </c>
      <c r="L46" s="6">
        <v>307960</v>
      </c>
      <c r="M46" s="6">
        <v>6</v>
      </c>
    </row>
    <row r="47" spans="10:13" ht="15" customHeight="1">
      <c r="J47" s="6">
        <v>1475580</v>
      </c>
      <c r="K47" s="6">
        <v>19</v>
      </c>
      <c r="L47" s="6">
        <v>500510</v>
      </c>
      <c r="M47" s="6">
        <v>2</v>
      </c>
    </row>
    <row r="48" spans="10:13" ht="11.25">
      <c r="J48" s="6">
        <v>1035510</v>
      </c>
      <c r="K48" s="6">
        <v>17</v>
      </c>
      <c r="L48" s="6">
        <v>253680</v>
      </c>
      <c r="M48" s="6">
        <v>5</v>
      </c>
    </row>
    <row r="49" spans="10:13" ht="11.25">
      <c r="J49" s="6">
        <v>1322320</v>
      </c>
      <c r="K49" s="6">
        <v>10</v>
      </c>
      <c r="L49" s="6">
        <v>385550</v>
      </c>
      <c r="M49" s="6">
        <v>1</v>
      </c>
    </row>
    <row r="50" spans="10:13" ht="11.25">
      <c r="J50" s="6">
        <v>1005640</v>
      </c>
      <c r="K50" s="6">
        <v>10</v>
      </c>
      <c r="L50" s="6">
        <v>196390</v>
      </c>
      <c r="M50" s="6">
        <v>3</v>
      </c>
    </row>
    <row r="51" spans="10:13" ht="11.25">
      <c r="J51" s="6">
        <v>736240</v>
      </c>
      <c r="K51" s="6">
        <v>6</v>
      </c>
      <c r="L51" s="6">
        <v>331690</v>
      </c>
      <c r="M51" s="6">
        <v>3</v>
      </c>
    </row>
    <row r="52" spans="10:13" ht="11.25">
      <c r="J52" s="6">
        <v>757580</v>
      </c>
      <c r="K52" s="6">
        <v>6</v>
      </c>
      <c r="L52" s="6">
        <v>472930</v>
      </c>
      <c r="M52" s="6">
        <v>3</v>
      </c>
    </row>
    <row r="53" spans="10:13" ht="11.25">
      <c r="J53" s="6">
        <v>1275830</v>
      </c>
      <c r="K53" s="6">
        <v>106</v>
      </c>
      <c r="L53" s="6">
        <v>548840</v>
      </c>
      <c r="M53" s="6">
        <v>6</v>
      </c>
    </row>
    <row r="54" spans="10:13" ht="11.25">
      <c r="J54" s="6">
        <v>733130</v>
      </c>
      <c r="K54" s="6">
        <v>75</v>
      </c>
      <c r="L54" s="6">
        <v>278070</v>
      </c>
      <c r="M54" s="6">
        <v>3</v>
      </c>
    </row>
    <row r="55" spans="10:13" ht="11.25">
      <c r="J55" s="6">
        <v>859910</v>
      </c>
      <c r="K55" s="6">
        <v>73</v>
      </c>
      <c r="L55" s="6">
        <v>70200</v>
      </c>
      <c r="M55" s="6">
        <v>1</v>
      </c>
    </row>
    <row r="56" spans="10:13" ht="11.25">
      <c r="J56" s="6">
        <v>730550</v>
      </c>
      <c r="K56" s="6">
        <v>60</v>
      </c>
      <c r="L56" s="6">
        <v>357080</v>
      </c>
      <c r="M56" s="6">
        <v>1</v>
      </c>
    </row>
    <row r="57" spans="10:13" ht="11.25">
      <c r="J57" s="6">
        <v>748760</v>
      </c>
      <c r="K57" s="6">
        <v>50</v>
      </c>
      <c r="L57" s="6">
        <v>435370</v>
      </c>
      <c r="M57" s="6">
        <v>1</v>
      </c>
    </row>
    <row r="58" spans="10:13" ht="11.25">
      <c r="J58" s="6">
        <v>690030</v>
      </c>
      <c r="K58" s="6">
        <v>42</v>
      </c>
      <c r="L58" s="6">
        <v>367970</v>
      </c>
      <c r="M58" s="6">
        <v>1</v>
      </c>
    </row>
    <row r="59" spans="10:13" ht="11.25">
      <c r="J59" s="6">
        <v>581400</v>
      </c>
      <c r="K59" s="6">
        <v>22</v>
      </c>
      <c r="L59" s="6">
        <v>149180</v>
      </c>
      <c r="M59" s="6">
        <v>1</v>
      </c>
    </row>
    <row r="60" spans="10:13" ht="11.25">
      <c r="J60" s="6">
        <v>424920</v>
      </c>
      <c r="K60" s="6">
        <v>36</v>
      </c>
      <c r="L60" s="6">
        <v>151580</v>
      </c>
      <c r="M60" s="6">
        <v>2</v>
      </c>
    </row>
    <row r="61" spans="10:13" ht="11.25">
      <c r="J61" s="6">
        <v>545970</v>
      </c>
      <c r="K61" s="6">
        <v>23</v>
      </c>
      <c r="L61" s="6">
        <v>382140</v>
      </c>
      <c r="M61" s="6">
        <v>1</v>
      </c>
    </row>
    <row r="62" spans="10:13" ht="11.25">
      <c r="J62" s="6">
        <v>444130</v>
      </c>
      <c r="K62" s="6">
        <v>19</v>
      </c>
      <c r="L62" s="6">
        <v>155720</v>
      </c>
      <c r="M62" s="6">
        <v>1</v>
      </c>
    </row>
    <row r="63" spans="10:13" ht="11.25">
      <c r="J63" s="6">
        <v>545970</v>
      </c>
      <c r="K63" s="6">
        <v>14</v>
      </c>
      <c r="L63" s="6">
        <v>78020</v>
      </c>
      <c r="M63" s="6">
        <v>1</v>
      </c>
    </row>
    <row r="64" spans="10:13" ht="11.25">
      <c r="J64" s="6">
        <v>279220</v>
      </c>
      <c r="K64" s="6">
        <v>12</v>
      </c>
      <c r="L64" s="6">
        <v>79190</v>
      </c>
      <c r="M64" s="6">
        <v>4</v>
      </c>
    </row>
    <row r="65" spans="10:13" ht="11.25">
      <c r="J65" s="6">
        <v>618540</v>
      </c>
      <c r="K65" s="6">
        <v>12</v>
      </c>
      <c r="L65" s="6">
        <v>241900</v>
      </c>
      <c r="M65" s="6">
        <v>1</v>
      </c>
    </row>
    <row r="66" spans="10:13" ht="11.25">
      <c r="J66" s="6">
        <v>291770</v>
      </c>
      <c r="K66" s="6">
        <v>13</v>
      </c>
      <c r="L66" s="6">
        <v>569940</v>
      </c>
      <c r="M66" s="6">
        <v>2</v>
      </c>
    </row>
    <row r="67" spans="10:13" ht="11.25">
      <c r="J67" s="6">
        <v>542830</v>
      </c>
      <c r="K67" s="6">
        <v>11</v>
      </c>
      <c r="L67" s="6">
        <v>247270</v>
      </c>
      <c r="M67" s="6">
        <v>1</v>
      </c>
    </row>
    <row r="68" spans="12:13" ht="11.25">
      <c r="L68" s="6">
        <v>584140</v>
      </c>
      <c r="M68" s="6">
        <v>1</v>
      </c>
    </row>
    <row r="69" spans="12:13" ht="11.25">
      <c r="L69" s="6">
        <v>254190</v>
      </c>
      <c r="M69" s="6">
        <v>1</v>
      </c>
    </row>
    <row r="70" spans="12:13" ht="11.25">
      <c r="L70" s="6">
        <v>170870</v>
      </c>
      <c r="M70" s="6">
        <v>1</v>
      </c>
    </row>
    <row r="71" spans="12:13" ht="11.25">
      <c r="L71" s="6">
        <v>525710</v>
      </c>
      <c r="M71" s="6">
        <v>5</v>
      </c>
    </row>
    <row r="72" spans="12:13" ht="11.25">
      <c r="L72" s="6">
        <v>177830</v>
      </c>
      <c r="M72" s="6">
        <v>6</v>
      </c>
    </row>
    <row r="73" spans="12:13" ht="11.25">
      <c r="L73" s="6">
        <v>268960</v>
      </c>
      <c r="M73" s="6">
        <v>9</v>
      </c>
    </row>
    <row r="74" spans="12:13" ht="11.25">
      <c r="L74" s="6">
        <v>90260</v>
      </c>
      <c r="M74" s="6">
        <v>7</v>
      </c>
    </row>
    <row r="75" spans="12:13" ht="11.25">
      <c r="L75" s="6">
        <v>91700</v>
      </c>
      <c r="M75" s="6">
        <v>8</v>
      </c>
    </row>
    <row r="76" spans="12:13" ht="11.25">
      <c r="L76" s="6">
        <v>369170</v>
      </c>
      <c r="M76" s="6">
        <v>5</v>
      </c>
    </row>
    <row r="77" spans="12:13" ht="11.25">
      <c r="L77" s="6">
        <v>93930</v>
      </c>
      <c r="M77" s="6">
        <v>4</v>
      </c>
    </row>
    <row r="78" spans="12:13" ht="11.25">
      <c r="L78" s="6">
        <v>377530</v>
      </c>
      <c r="M78" s="6">
        <v>3</v>
      </c>
    </row>
    <row r="79" spans="12:13" ht="11.25">
      <c r="L79" s="6">
        <v>95840</v>
      </c>
      <c r="M79" s="6">
        <v>7</v>
      </c>
    </row>
    <row r="80" spans="12:13" ht="11.25">
      <c r="L80" s="6">
        <v>192740</v>
      </c>
      <c r="M80" s="6">
        <v>4</v>
      </c>
    </row>
    <row r="81" spans="12:13" ht="11.25">
      <c r="L81" s="6">
        <v>97260</v>
      </c>
      <c r="M81" s="6">
        <v>5</v>
      </c>
    </row>
    <row r="82" spans="12:13" ht="11.25">
      <c r="L82" s="6">
        <v>394270</v>
      </c>
      <c r="M82" s="6">
        <v>5</v>
      </c>
    </row>
    <row r="83" spans="12:13" ht="11.25">
      <c r="L83" s="6">
        <v>99700</v>
      </c>
      <c r="M83" s="6">
        <v>2</v>
      </c>
    </row>
    <row r="84" spans="12:13" ht="11.25">
      <c r="L84" s="6">
        <v>302140</v>
      </c>
      <c r="M84" s="6">
        <v>2</v>
      </c>
    </row>
    <row r="85" spans="12:13" ht="11.25">
      <c r="L85" s="6">
        <v>203650</v>
      </c>
      <c r="M85" s="6">
        <v>1</v>
      </c>
    </row>
    <row r="86" spans="12:13" ht="11.25">
      <c r="L86" s="6">
        <v>102800</v>
      </c>
      <c r="M86" s="6">
        <v>7</v>
      </c>
    </row>
    <row r="87" spans="12:13" ht="11.25">
      <c r="L87" s="6">
        <v>103770</v>
      </c>
      <c r="M87" s="6">
        <v>7</v>
      </c>
    </row>
    <row r="88" spans="12:13" ht="11.25">
      <c r="L88" s="6">
        <v>316930</v>
      </c>
      <c r="M88" s="6">
        <v>2</v>
      </c>
    </row>
    <row r="89" spans="12:13" ht="11.25">
      <c r="L89" s="6">
        <v>106300</v>
      </c>
      <c r="M89" s="6">
        <v>2</v>
      </c>
    </row>
    <row r="90" spans="12:13" ht="11.25">
      <c r="L90" s="6">
        <v>429470</v>
      </c>
      <c r="M90" s="6">
        <v>1</v>
      </c>
    </row>
    <row r="91" spans="12:13" ht="11.25">
      <c r="L91" s="6">
        <v>111720</v>
      </c>
      <c r="M91" s="6">
        <v>4</v>
      </c>
    </row>
    <row r="92" spans="12:13" ht="11.25">
      <c r="L92" s="6">
        <v>227310</v>
      </c>
      <c r="M92" s="6">
        <v>4</v>
      </c>
    </row>
    <row r="93" spans="12:13" ht="11.25">
      <c r="L93" s="6">
        <v>458760</v>
      </c>
      <c r="M93" s="6">
        <v>2</v>
      </c>
    </row>
    <row r="94" spans="12:13" ht="11.25">
      <c r="L94" s="6">
        <v>231030</v>
      </c>
      <c r="M94" s="6">
        <v>4</v>
      </c>
    </row>
    <row r="95" spans="12:13" ht="11.25">
      <c r="L95" s="6">
        <v>117960</v>
      </c>
      <c r="M95" s="6">
        <v>3</v>
      </c>
    </row>
    <row r="96" spans="12:13" ht="11.25">
      <c r="L96" s="6">
        <v>118420</v>
      </c>
      <c r="M96" s="6">
        <v>1</v>
      </c>
    </row>
    <row r="97" spans="12:13" ht="11.25">
      <c r="L97" s="6">
        <v>241310</v>
      </c>
      <c r="M97" s="6">
        <v>3</v>
      </c>
    </row>
    <row r="98" spans="12:13" ht="11.25">
      <c r="L98" s="6">
        <v>245290</v>
      </c>
      <c r="M98" s="6">
        <v>4</v>
      </c>
    </row>
    <row r="99" spans="12:13" ht="11.25">
      <c r="L99" s="6">
        <v>123800</v>
      </c>
      <c r="M99" s="6">
        <v>2</v>
      </c>
    </row>
    <row r="100" spans="12:13" ht="11.25">
      <c r="L100" s="6">
        <v>124830</v>
      </c>
      <c r="M100" s="6">
        <v>2</v>
      </c>
    </row>
    <row r="101" spans="12:13" ht="11.25">
      <c r="L101" s="6">
        <v>125770</v>
      </c>
      <c r="M101" s="6">
        <v>1</v>
      </c>
    </row>
    <row r="102" spans="12:13" ht="11.25">
      <c r="L102" s="6">
        <v>126350</v>
      </c>
      <c r="M102" s="6">
        <v>2</v>
      </c>
    </row>
    <row r="103" spans="12:13" ht="11.25">
      <c r="L103" s="6">
        <v>129010</v>
      </c>
      <c r="M103" s="6">
        <v>1</v>
      </c>
    </row>
    <row r="104" spans="12:13" ht="11.25">
      <c r="L104" s="6">
        <v>133250</v>
      </c>
      <c r="M104" s="6">
        <v>1</v>
      </c>
    </row>
    <row r="105" spans="12:13" ht="11.25">
      <c r="L105" s="6">
        <v>135730</v>
      </c>
      <c r="M105" s="6">
        <v>1</v>
      </c>
    </row>
    <row r="106" spans="12:13" ht="11.25">
      <c r="L106" s="6">
        <v>136750</v>
      </c>
      <c r="M106" s="6">
        <v>1</v>
      </c>
    </row>
    <row r="107" spans="12:13" ht="11.25">
      <c r="L107" s="6">
        <v>275240</v>
      </c>
      <c r="M107" s="6">
        <v>14</v>
      </c>
    </row>
    <row r="108" spans="12:13" ht="11.25">
      <c r="L108" s="6">
        <v>142390</v>
      </c>
      <c r="M108" s="6">
        <v>7</v>
      </c>
    </row>
    <row r="109" spans="12:13" ht="11.25">
      <c r="L109" s="6">
        <v>147330</v>
      </c>
      <c r="M109" s="6">
        <v>6</v>
      </c>
    </row>
    <row r="110" spans="12:13" ht="11.25">
      <c r="L110" s="6">
        <v>148040</v>
      </c>
      <c r="M110" s="6">
        <v>9</v>
      </c>
    </row>
    <row r="111" spans="12:13" ht="11.25">
      <c r="L111" s="6">
        <v>149700</v>
      </c>
      <c r="M111" s="6">
        <v>28</v>
      </c>
    </row>
    <row r="112" spans="12:13" ht="11.25">
      <c r="L112" s="6">
        <v>150260</v>
      </c>
      <c r="M112" s="6">
        <v>4</v>
      </c>
    </row>
    <row r="113" ht="11.25">
      <c r="L113" s="6">
        <v>154840</v>
      </c>
    </row>
    <row r="114" ht="11.25">
      <c r="L114" s="6">
        <v>156940</v>
      </c>
    </row>
    <row r="115" ht="11.25">
      <c r="L115" s="6">
        <v>157510</v>
      </c>
    </row>
    <row r="116" ht="11.25">
      <c r="L116" s="6">
        <v>158060</v>
      </c>
    </row>
    <row r="117" ht="11.25">
      <c r="L117" s="6">
        <v>160960</v>
      </c>
    </row>
    <row r="118" ht="11.25">
      <c r="L118" s="6">
        <v>162990</v>
      </c>
    </row>
    <row r="119" ht="11.25">
      <c r="L119" s="6">
        <v>167960</v>
      </c>
    </row>
    <row r="120" ht="11.25">
      <c r="L120" s="6">
        <v>171940</v>
      </c>
    </row>
    <row r="121" ht="11.25">
      <c r="L121" s="6">
        <v>173070</v>
      </c>
    </row>
    <row r="122" ht="11.25">
      <c r="L122" s="6">
        <v>175940</v>
      </c>
    </row>
    <row r="123" ht="11.25">
      <c r="L123" s="6">
        <v>180610</v>
      </c>
    </row>
    <row r="124" ht="11.25">
      <c r="L124" s="6">
        <v>182170</v>
      </c>
    </row>
    <row r="125" ht="11.25">
      <c r="L125" s="6">
        <v>185010</v>
      </c>
    </row>
    <row r="126" ht="11.25">
      <c r="L126" s="6">
        <v>194900</v>
      </c>
    </row>
    <row r="127" ht="11.25">
      <c r="L127" s="6">
        <v>198130</v>
      </c>
    </row>
    <row r="128" ht="11.25">
      <c r="L128" s="6">
        <v>200440</v>
      </c>
    </row>
    <row r="129" ht="11.25">
      <c r="L129" s="6">
        <v>212330</v>
      </c>
    </row>
    <row r="130" ht="11.25">
      <c r="L130" s="6">
        <v>213170</v>
      </c>
    </row>
    <row r="131" ht="11.25">
      <c r="L131" s="6">
        <v>216820</v>
      </c>
    </row>
    <row r="132" ht="11.25">
      <c r="L132" s="6">
        <v>226270</v>
      </c>
    </row>
    <row r="133" ht="11.25">
      <c r="L133" s="6">
        <v>696450</v>
      </c>
    </row>
    <row r="134" ht="11.25">
      <c r="L134" s="6">
        <v>236870</v>
      </c>
    </row>
    <row r="135" ht="11.25">
      <c r="L135" s="6">
        <v>238940</v>
      </c>
    </row>
    <row r="136" ht="11.25">
      <c r="L136" s="6">
        <v>239520</v>
      </c>
    </row>
    <row r="137" ht="11.25">
      <c r="L137" s="6">
        <v>240460</v>
      </c>
    </row>
    <row r="138" ht="11.25">
      <c r="L138" s="6">
        <v>252400</v>
      </c>
    </row>
    <row r="139" ht="11.25">
      <c r="L139" s="6">
        <v>257000</v>
      </c>
    </row>
    <row r="140" ht="11.25">
      <c r="L140" s="6">
        <v>269970</v>
      </c>
    </row>
    <row r="141" ht="11.25">
      <c r="L141" s="6">
        <v>275130</v>
      </c>
    </row>
    <row r="142" ht="11.25">
      <c r="L142" s="6">
        <v>277910</v>
      </c>
    </row>
    <row r="143" ht="11.25">
      <c r="L143" s="6">
        <v>1692900</v>
      </c>
    </row>
    <row r="144" ht="11.25">
      <c r="L144" s="6">
        <v>288360</v>
      </c>
    </row>
    <row r="145" ht="11.25">
      <c r="L145" s="6">
        <v>322360</v>
      </c>
    </row>
    <row r="146" ht="11.25">
      <c r="L146" s="6">
        <v>365900</v>
      </c>
    </row>
    <row r="147" ht="11.25">
      <c r="L147" s="6">
        <v>368210</v>
      </c>
    </row>
    <row r="149" ht="11.25">
      <c r="L149" s="6">
        <v>383870</v>
      </c>
    </row>
    <row r="150" ht="11.25">
      <c r="L150" s="6">
        <v>397120</v>
      </c>
    </row>
    <row r="151" ht="11.25">
      <c r="L151" s="6">
        <v>417670</v>
      </c>
    </row>
    <row r="152" ht="11.25">
      <c r="L152" s="6">
        <v>419040</v>
      </c>
    </row>
    <row r="153" ht="11.25">
      <c r="L153" s="6">
        <v>846370</v>
      </c>
    </row>
    <row r="154" ht="11.25">
      <c r="L154" s="6">
        <v>443840</v>
      </c>
    </row>
    <row r="155" ht="11.25">
      <c r="L155" s="6">
        <v>472400</v>
      </c>
    </row>
    <row r="156" ht="11.25">
      <c r="L156" s="6">
        <v>483000</v>
      </c>
    </row>
    <row r="157" ht="11.25">
      <c r="L157" s="6">
        <v>489140</v>
      </c>
    </row>
    <row r="158" ht="11.25">
      <c r="L158" s="6">
        <v>506730</v>
      </c>
    </row>
    <row r="159" ht="11.25">
      <c r="L159" s="6">
        <v>523810</v>
      </c>
    </row>
    <row r="160" ht="11.25">
      <c r="L160" s="6">
        <v>540030</v>
      </c>
    </row>
    <row r="161" ht="11.25">
      <c r="L161" s="6">
        <v>677520</v>
      </c>
    </row>
    <row r="162" ht="11.25">
      <c r="L162" s="6">
        <v>976460</v>
      </c>
    </row>
    <row r="163" spans="12:14" ht="11.25">
      <c r="L163" s="6">
        <v>21179480</v>
      </c>
      <c r="N163" s="7" t="e">
        <f>#REF!-#REF!</f>
        <v>#REF!</v>
      </c>
    </row>
    <row r="164" spans="2:13" ht="11.25">
      <c r="B164" s="6">
        <f aca="true" t="shared" si="3" ref="B164:M164">SUM(B38:B163)</f>
        <v>900931.8333333334</v>
      </c>
      <c r="C164" s="6">
        <f t="shared" si="3"/>
        <v>906352.25</v>
      </c>
      <c r="D164" s="6">
        <f t="shared" si="3"/>
        <v>106657930</v>
      </c>
      <c r="E164" s="6">
        <f t="shared" si="3"/>
        <v>30834</v>
      </c>
      <c r="F164" s="6">
        <f t="shared" si="3"/>
        <v>87922550</v>
      </c>
      <c r="G164" s="6">
        <f t="shared" si="3"/>
        <v>233843</v>
      </c>
      <c r="H164" s="6">
        <f t="shared" si="3"/>
        <v>33755920</v>
      </c>
      <c r="I164" s="6">
        <f t="shared" si="3"/>
        <v>2257</v>
      </c>
      <c r="J164" s="6">
        <f t="shared" si="3"/>
        <v>32949480</v>
      </c>
      <c r="K164" s="6">
        <f t="shared" si="3"/>
        <v>1157</v>
      </c>
      <c r="L164" s="6">
        <f t="shared" si="3"/>
        <v>57419820</v>
      </c>
      <c r="M164" s="6">
        <f t="shared" si="3"/>
        <v>293</v>
      </c>
    </row>
    <row r="165" ht="11.25">
      <c r="N165" s="8">
        <f>6310-6267</f>
        <v>43</v>
      </c>
    </row>
    <row r="166" spans="2:5" ht="11.25">
      <c r="B166" s="6" t="s">
        <v>21</v>
      </c>
      <c r="D166" s="6">
        <f>B164+D164+F164+H164+J164+L164</f>
        <v>319606631.8333333</v>
      </c>
      <c r="E166" s="6">
        <f>E164+G164+I164+K164+M164+C164</f>
        <v>1174736.25</v>
      </c>
    </row>
    <row r="168" spans="4:5" ht="11.25">
      <c r="D168" s="6">
        <f>391883110-D166</f>
        <v>72276478.16666669</v>
      </c>
      <c r="E168" s="6">
        <f>73431-E166</f>
        <v>-1101305.25</v>
      </c>
    </row>
    <row r="170" spans="2:12" ht="11.25">
      <c r="B170" s="6">
        <v>1500</v>
      </c>
      <c r="D170" s="6" t="s">
        <v>17</v>
      </c>
      <c r="F170" s="6" t="s">
        <v>18</v>
      </c>
      <c r="H170" s="6" t="s">
        <v>19</v>
      </c>
      <c r="J170" s="6" t="s">
        <v>20</v>
      </c>
      <c r="L170" s="6">
        <v>50001</v>
      </c>
    </row>
    <row r="173" ht="11.25">
      <c r="B173" s="9" t="s">
        <v>22</v>
      </c>
    </row>
    <row r="174" spans="2:13" ht="11.25">
      <c r="B174" s="6">
        <v>134040</v>
      </c>
      <c r="C174" s="6">
        <v>450</v>
      </c>
      <c r="D174" s="6">
        <f>354650/2</f>
        <v>177325</v>
      </c>
      <c r="F174" s="6">
        <v>433700</v>
      </c>
      <c r="G174" s="6">
        <v>79</v>
      </c>
      <c r="H174" s="6">
        <v>188810</v>
      </c>
      <c r="I174" s="6">
        <v>18</v>
      </c>
      <c r="J174" s="6">
        <v>122600</v>
      </c>
      <c r="K174" s="6">
        <v>6</v>
      </c>
      <c r="L174" s="6">
        <v>101030</v>
      </c>
      <c r="M174" s="6">
        <v>2</v>
      </c>
    </row>
    <row r="175" spans="2:13" ht="11.25">
      <c r="B175" s="6">
        <f>354650/2</f>
        <v>177325</v>
      </c>
      <c r="C175" s="6">
        <v>250</v>
      </c>
      <c r="D175" s="6">
        <v>393750</v>
      </c>
      <c r="E175" s="6">
        <v>157</v>
      </c>
      <c r="F175" s="6">
        <v>651900</v>
      </c>
      <c r="G175" s="6">
        <v>100</v>
      </c>
      <c r="H175" s="6">
        <v>214710</v>
      </c>
      <c r="I175" s="6">
        <v>17</v>
      </c>
      <c r="J175" s="6">
        <v>113450</v>
      </c>
      <c r="K175" s="6">
        <v>5</v>
      </c>
      <c r="L175" s="6">
        <v>103960</v>
      </c>
      <c r="M175" s="6">
        <v>2</v>
      </c>
    </row>
    <row r="176" spans="2:13" ht="11.25">
      <c r="B176" s="10"/>
      <c r="D176" s="6">
        <v>501490</v>
      </c>
      <c r="E176" s="6">
        <v>144</v>
      </c>
      <c r="F176" s="6">
        <v>626530</v>
      </c>
      <c r="G176" s="6">
        <v>84</v>
      </c>
      <c r="H176" s="6">
        <v>231180</v>
      </c>
      <c r="I176" s="6">
        <v>16</v>
      </c>
      <c r="J176" s="6">
        <v>24700</v>
      </c>
      <c r="K176" s="6">
        <v>1</v>
      </c>
      <c r="L176" s="6">
        <v>107850</v>
      </c>
      <c r="M176" s="6">
        <v>4</v>
      </c>
    </row>
    <row r="177" spans="3:13" ht="11.25">
      <c r="C177" s="10"/>
      <c r="D177" s="6">
        <v>537900</v>
      </c>
      <c r="E177" s="6">
        <v>121</v>
      </c>
      <c r="F177" s="6">
        <v>438580</v>
      </c>
      <c r="G177" s="6">
        <v>52</v>
      </c>
      <c r="H177" s="6">
        <v>164320</v>
      </c>
      <c r="I177" s="6">
        <v>10</v>
      </c>
      <c r="J177" s="6">
        <v>79080</v>
      </c>
      <c r="K177" s="6">
        <v>3</v>
      </c>
      <c r="L177" s="6">
        <v>226920</v>
      </c>
      <c r="M177" s="6">
        <v>4</v>
      </c>
    </row>
    <row r="178" spans="3:13" ht="11.25">
      <c r="C178" s="10"/>
      <c r="F178" s="6">
        <v>371600</v>
      </c>
      <c r="G178" s="6">
        <v>39</v>
      </c>
      <c r="H178" s="6">
        <v>130150</v>
      </c>
      <c r="I178" s="6">
        <v>7</v>
      </c>
      <c r="J178" s="6">
        <v>184290</v>
      </c>
      <c r="K178" s="6">
        <v>6</v>
      </c>
      <c r="L178" s="6">
        <v>242410</v>
      </c>
      <c r="M178" s="6">
        <v>1</v>
      </c>
    </row>
    <row r="179" spans="8:13" ht="11.25">
      <c r="H179" s="6">
        <v>137240</v>
      </c>
      <c r="I179" s="6">
        <v>12</v>
      </c>
      <c r="J179" s="6">
        <v>96470</v>
      </c>
      <c r="K179" s="6">
        <v>3</v>
      </c>
      <c r="L179" s="6">
        <v>64000</v>
      </c>
      <c r="M179" s="6">
        <v>5</v>
      </c>
    </row>
    <row r="180" spans="8:13" ht="11.25">
      <c r="H180" s="6">
        <v>149400</v>
      </c>
      <c r="I180" s="6">
        <v>11</v>
      </c>
      <c r="J180" s="6">
        <v>138040</v>
      </c>
      <c r="K180" s="6">
        <v>4</v>
      </c>
      <c r="L180" s="6">
        <v>262980</v>
      </c>
      <c r="M180" s="6">
        <v>2</v>
      </c>
    </row>
    <row r="181" spans="8:13" ht="11.25">
      <c r="H181" s="6">
        <v>124750</v>
      </c>
      <c r="I181" s="6">
        <v>8</v>
      </c>
      <c r="J181" s="6">
        <v>73350</v>
      </c>
      <c r="K181" s="6">
        <v>2</v>
      </c>
      <c r="L181" s="6">
        <v>109840</v>
      </c>
      <c r="M181" s="6">
        <v>1</v>
      </c>
    </row>
    <row r="182" spans="8:13" ht="11.25">
      <c r="H182" s="6">
        <v>210200</v>
      </c>
      <c r="I182" s="6">
        <v>12</v>
      </c>
      <c r="J182" s="6">
        <v>153920</v>
      </c>
      <c r="K182" s="6">
        <v>4</v>
      </c>
      <c r="L182" s="6">
        <v>57400</v>
      </c>
      <c r="M182" s="6">
        <v>1</v>
      </c>
    </row>
    <row r="183" spans="8:13" ht="11.25">
      <c r="H183" s="6">
        <v>117090</v>
      </c>
      <c r="I183" s="6">
        <v>6</v>
      </c>
      <c r="J183" s="6">
        <v>124410</v>
      </c>
      <c r="K183" s="6">
        <v>3</v>
      </c>
      <c r="L183" s="6">
        <v>61250</v>
      </c>
      <c r="M183" s="6">
        <v>1</v>
      </c>
    </row>
    <row r="184" spans="10:13" ht="11.25">
      <c r="J184" s="6">
        <v>130630</v>
      </c>
      <c r="K184" s="6">
        <v>3</v>
      </c>
      <c r="L184" s="6">
        <v>64130</v>
      </c>
      <c r="M184" s="6">
        <v>1</v>
      </c>
    </row>
    <row r="185" spans="10:13" ht="11.25">
      <c r="J185" s="6">
        <v>227850</v>
      </c>
      <c r="K185" s="6">
        <v>5</v>
      </c>
      <c r="L185" s="6">
        <v>66000</v>
      </c>
      <c r="M185" s="6">
        <v>2</v>
      </c>
    </row>
    <row r="186" spans="10:13" ht="11.25">
      <c r="J186" s="6">
        <v>143640</v>
      </c>
      <c r="K186" s="6">
        <v>3</v>
      </c>
      <c r="L186" s="6">
        <v>135140</v>
      </c>
      <c r="M186" s="6">
        <v>1</v>
      </c>
    </row>
    <row r="187" spans="10:13" ht="11.25">
      <c r="J187" s="6">
        <v>199500</v>
      </c>
      <c r="K187" s="6">
        <v>4</v>
      </c>
      <c r="L187" s="6">
        <v>71000</v>
      </c>
      <c r="M187" s="6">
        <v>2</v>
      </c>
    </row>
    <row r="188" spans="10:13" ht="11.25">
      <c r="J188" s="6">
        <v>85110</v>
      </c>
      <c r="K188" s="6">
        <v>4</v>
      </c>
      <c r="L188" s="6">
        <v>148000</v>
      </c>
      <c r="M188" s="6">
        <v>1</v>
      </c>
    </row>
    <row r="189" spans="10:13" ht="11.25">
      <c r="J189" s="6">
        <v>46230</v>
      </c>
      <c r="K189" s="6">
        <v>2</v>
      </c>
      <c r="L189" s="6">
        <v>75200</v>
      </c>
      <c r="M189" s="6">
        <v>1</v>
      </c>
    </row>
    <row r="190" spans="10:13" ht="11.25">
      <c r="J190" s="6">
        <v>51500</v>
      </c>
      <c r="K190" s="6">
        <v>2</v>
      </c>
      <c r="L190" s="6">
        <v>81140</v>
      </c>
      <c r="M190" s="6">
        <v>1</v>
      </c>
    </row>
    <row r="191" spans="10:13" ht="11.25">
      <c r="J191" s="6">
        <v>58000</v>
      </c>
      <c r="K191" s="6">
        <v>2</v>
      </c>
      <c r="L191" s="6">
        <v>88300</v>
      </c>
      <c r="M191" s="6">
        <v>2</v>
      </c>
    </row>
    <row r="192" spans="10:13" ht="11.25">
      <c r="J192" s="6">
        <v>93900</v>
      </c>
      <c r="K192" s="6">
        <v>3</v>
      </c>
      <c r="L192" s="6">
        <v>188770</v>
      </c>
      <c r="M192" s="6">
        <v>1</v>
      </c>
    </row>
    <row r="193" spans="10:13" ht="11.25">
      <c r="J193" s="6">
        <v>100730</v>
      </c>
      <c r="K193" s="6">
        <v>3</v>
      </c>
      <c r="L193" s="6">
        <v>99000</v>
      </c>
      <c r="M193" s="6">
        <v>1</v>
      </c>
    </row>
    <row r="194" spans="10:13" ht="11.25">
      <c r="J194" s="6">
        <v>35490</v>
      </c>
      <c r="K194" s="6">
        <v>1</v>
      </c>
      <c r="L194" s="6">
        <v>100600</v>
      </c>
      <c r="M194" s="6">
        <v>1</v>
      </c>
    </row>
    <row r="195" spans="10:13" ht="11.25">
      <c r="J195" s="6">
        <v>75700</v>
      </c>
      <c r="K195" s="6">
        <v>2</v>
      </c>
      <c r="L195" s="6">
        <v>104800</v>
      </c>
      <c r="M195" s="6">
        <v>1</v>
      </c>
    </row>
    <row r="196" spans="10:13" ht="11.25">
      <c r="J196" s="6">
        <v>80000</v>
      </c>
      <c r="K196" s="6">
        <v>2</v>
      </c>
      <c r="L196" s="6">
        <v>106500</v>
      </c>
      <c r="M196" s="6">
        <v>1</v>
      </c>
    </row>
    <row r="197" spans="10:13" ht="11.25">
      <c r="J197" s="6">
        <v>127790</v>
      </c>
      <c r="K197" s="6">
        <v>3</v>
      </c>
      <c r="L197" s="6">
        <v>109690</v>
      </c>
      <c r="M197" s="6">
        <v>1</v>
      </c>
    </row>
    <row r="198" spans="10:13" ht="11.25">
      <c r="J198" s="6">
        <v>222000</v>
      </c>
      <c r="K198" s="6">
        <v>5</v>
      </c>
      <c r="L198" s="6">
        <v>114000</v>
      </c>
      <c r="M198" s="6">
        <v>2</v>
      </c>
    </row>
    <row r="199" spans="10:13" ht="11.25">
      <c r="J199" s="6">
        <v>46590</v>
      </c>
      <c r="K199" s="6">
        <v>1</v>
      </c>
      <c r="L199" s="6">
        <v>231020</v>
      </c>
      <c r="M199" s="6">
        <v>1</v>
      </c>
    </row>
    <row r="200" spans="10:13" ht="11.25">
      <c r="J200" s="6">
        <v>96810</v>
      </c>
      <c r="K200" s="6">
        <v>2</v>
      </c>
      <c r="L200" s="6">
        <v>124000</v>
      </c>
      <c r="M200" s="6">
        <v>2</v>
      </c>
    </row>
    <row r="201" spans="12:13" ht="11.25">
      <c r="L201" s="6">
        <v>253210</v>
      </c>
      <c r="M201" s="6">
        <v>1</v>
      </c>
    </row>
    <row r="202" spans="12:13" ht="11.25">
      <c r="L202" s="6">
        <v>134900</v>
      </c>
      <c r="M202" s="6">
        <v>1</v>
      </c>
    </row>
    <row r="203" spans="12:13" ht="11.25">
      <c r="L203" s="6">
        <v>140300</v>
      </c>
      <c r="M203" s="6">
        <v>1</v>
      </c>
    </row>
    <row r="204" spans="12:13" ht="11.25">
      <c r="L204" s="6">
        <v>144400</v>
      </c>
      <c r="M204" s="6">
        <v>1</v>
      </c>
    </row>
    <row r="205" spans="12:13" ht="11.25">
      <c r="L205" s="6">
        <v>148400</v>
      </c>
      <c r="M205" s="6">
        <v>1</v>
      </c>
    </row>
    <row r="206" spans="12:13" ht="11.25">
      <c r="L206" s="6">
        <v>152500</v>
      </c>
      <c r="M206" s="6">
        <v>1</v>
      </c>
    </row>
    <row r="207" spans="12:13" ht="11.25">
      <c r="L207" s="6">
        <v>159700</v>
      </c>
      <c r="M207" s="6">
        <v>1</v>
      </c>
    </row>
    <row r="208" spans="12:13" ht="11.25">
      <c r="L208" s="6">
        <v>166900</v>
      </c>
      <c r="M208" s="6">
        <v>2</v>
      </c>
    </row>
    <row r="209" spans="12:13" ht="11.25">
      <c r="L209" s="6">
        <v>346500</v>
      </c>
      <c r="M209" s="6">
        <v>1</v>
      </c>
    </row>
    <row r="210" spans="12:13" ht="11.25">
      <c r="L210" s="6">
        <v>178120</v>
      </c>
      <c r="M210" s="6">
        <v>1</v>
      </c>
    </row>
    <row r="211" spans="12:13" ht="11.25">
      <c r="L211" s="6">
        <v>189300</v>
      </c>
      <c r="M211" s="6">
        <v>1</v>
      </c>
    </row>
    <row r="212" spans="12:13" ht="11.25">
      <c r="L212" s="6">
        <v>202700</v>
      </c>
      <c r="M212" s="6">
        <v>1</v>
      </c>
    </row>
    <row r="213" spans="12:13" ht="11.25">
      <c r="L213" s="6">
        <v>212500</v>
      </c>
      <c r="M213" s="6">
        <v>1</v>
      </c>
    </row>
    <row r="214" spans="12:13" ht="11.25">
      <c r="L214" s="6">
        <v>222600</v>
      </c>
      <c r="M214" s="6">
        <v>1</v>
      </c>
    </row>
    <row r="215" spans="12:13" ht="11.25">
      <c r="L215" s="6">
        <v>224100</v>
      </c>
      <c r="M215" s="6">
        <v>1</v>
      </c>
    </row>
    <row r="216" spans="12:13" ht="11.25">
      <c r="L216" s="6">
        <v>232000</v>
      </c>
      <c r="M216" s="6">
        <v>1</v>
      </c>
    </row>
    <row r="217" spans="12:13" ht="11.25">
      <c r="L217" s="6">
        <v>233660</v>
      </c>
      <c r="M217" s="6">
        <v>2</v>
      </c>
    </row>
    <row r="218" spans="12:13" ht="11.25">
      <c r="L218" s="6">
        <v>487840</v>
      </c>
      <c r="M218" s="6">
        <v>1</v>
      </c>
    </row>
    <row r="219" spans="12:13" ht="11.25">
      <c r="L219" s="6">
        <v>251920</v>
      </c>
      <c r="M219" s="6">
        <v>1</v>
      </c>
    </row>
    <row r="220" spans="12:13" ht="11.25">
      <c r="L220" s="6">
        <v>304000</v>
      </c>
      <c r="M220" s="6">
        <v>1</v>
      </c>
    </row>
    <row r="221" spans="12:13" ht="11.25">
      <c r="L221" s="6">
        <v>316700</v>
      </c>
      <c r="M221" s="6">
        <v>1</v>
      </c>
    </row>
    <row r="222" spans="12:13" ht="11.25">
      <c r="L222" s="6">
        <v>356600</v>
      </c>
      <c r="M222" s="6">
        <v>1</v>
      </c>
    </row>
    <row r="223" spans="12:13" ht="11.25">
      <c r="L223" s="6">
        <v>361800</v>
      </c>
      <c r="M223" s="6">
        <v>1</v>
      </c>
    </row>
    <row r="224" spans="12:13" ht="11.25">
      <c r="L224" s="6">
        <v>410700</v>
      </c>
      <c r="M224" s="6">
        <v>1</v>
      </c>
    </row>
    <row r="225" spans="12:13" ht="11.25">
      <c r="L225" s="6">
        <v>444200</v>
      </c>
      <c r="M225" s="6">
        <v>1</v>
      </c>
    </row>
    <row r="226" spans="12:13" ht="11.25">
      <c r="L226" s="6">
        <v>485400</v>
      </c>
      <c r="M226" s="6">
        <v>1</v>
      </c>
    </row>
    <row r="227" spans="12:13" ht="11.25">
      <c r="L227" s="6">
        <v>558000</v>
      </c>
      <c r="M227" s="6">
        <v>1</v>
      </c>
    </row>
    <row r="228" spans="12:13" ht="11.25">
      <c r="L228" s="6">
        <v>771100</v>
      </c>
      <c r="M228" s="6">
        <v>1</v>
      </c>
    </row>
    <row r="229" spans="12:13" ht="11.25">
      <c r="L229" s="6">
        <v>959900</v>
      </c>
      <c r="M229" s="6">
        <v>4</v>
      </c>
    </row>
    <row r="230" spans="12:13" ht="11.25">
      <c r="L230" s="6">
        <v>267060</v>
      </c>
      <c r="M230" s="6">
        <v>3</v>
      </c>
    </row>
    <row r="231" spans="12:13" ht="11.25">
      <c r="L231" s="6">
        <v>208200</v>
      </c>
      <c r="M231" s="6">
        <v>1</v>
      </c>
    </row>
    <row r="232" spans="12:13" ht="11.25">
      <c r="L232" s="6">
        <v>71300</v>
      </c>
      <c r="M232" s="6">
        <v>2</v>
      </c>
    </row>
    <row r="233" spans="12:13" ht="11.25">
      <c r="L233" s="6">
        <v>149370</v>
      </c>
      <c r="M233" s="6">
        <v>1</v>
      </c>
    </row>
    <row r="234" spans="12:13" ht="11.25">
      <c r="L234" s="6">
        <v>79500</v>
      </c>
      <c r="M234" s="6">
        <v>2</v>
      </c>
    </row>
    <row r="235" spans="12:13" ht="11.25">
      <c r="L235" s="6">
        <v>165180</v>
      </c>
      <c r="M235" s="6">
        <v>1</v>
      </c>
    </row>
    <row r="236" spans="12:13" ht="11.25">
      <c r="L236" s="6">
        <v>89630</v>
      </c>
      <c r="M236" s="6">
        <v>1</v>
      </c>
    </row>
    <row r="237" spans="12:13" ht="11.25">
      <c r="L237" s="6">
        <v>97750</v>
      </c>
      <c r="M237" s="6">
        <v>1</v>
      </c>
    </row>
    <row r="238" spans="12:13" ht="11.25">
      <c r="L238" s="6">
        <v>100000</v>
      </c>
      <c r="M238" s="6">
        <v>1</v>
      </c>
    </row>
    <row r="239" spans="12:13" ht="11.25">
      <c r="L239" s="6">
        <v>102000</v>
      </c>
      <c r="M239" s="6">
        <v>2</v>
      </c>
    </row>
    <row r="240" spans="12:13" ht="11.25">
      <c r="L240" s="6">
        <v>211300</v>
      </c>
      <c r="M240" s="6">
        <v>1</v>
      </c>
    </row>
    <row r="241" spans="12:13" ht="11.25">
      <c r="L241" s="6">
        <v>108800</v>
      </c>
      <c r="M241" s="6">
        <v>1</v>
      </c>
    </row>
    <row r="242" spans="12:13" ht="11.25">
      <c r="L242" s="6">
        <v>112100</v>
      </c>
      <c r="M242" s="6">
        <v>1</v>
      </c>
    </row>
    <row r="243" spans="12:13" ht="11.25">
      <c r="L243" s="6">
        <v>114700</v>
      </c>
      <c r="M243" s="6">
        <v>1</v>
      </c>
    </row>
    <row r="244" spans="12:13" ht="11.25">
      <c r="L244" s="6">
        <v>118490</v>
      </c>
      <c r="M244" s="6">
        <v>1</v>
      </c>
    </row>
    <row r="245" spans="12:13" ht="11.25">
      <c r="L245" s="6">
        <v>125000</v>
      </c>
      <c r="M245" s="6">
        <v>1</v>
      </c>
    </row>
    <row r="246" spans="12:13" ht="11.25">
      <c r="L246" s="6">
        <v>132100</v>
      </c>
      <c r="M246" s="6">
        <v>2</v>
      </c>
    </row>
    <row r="247" spans="12:13" ht="11.25">
      <c r="L247" s="6">
        <v>271500</v>
      </c>
      <c r="M247" s="6">
        <v>1</v>
      </c>
    </row>
    <row r="248" spans="12:13" ht="11.25">
      <c r="L248" s="6">
        <v>142150</v>
      </c>
      <c r="M248" s="6">
        <v>1</v>
      </c>
    </row>
    <row r="249" spans="12:13" ht="11.25">
      <c r="L249" s="6">
        <v>146000</v>
      </c>
      <c r="M249" s="6">
        <v>1</v>
      </c>
    </row>
    <row r="250" spans="12:13" ht="11.25">
      <c r="L250" s="6">
        <v>151100</v>
      </c>
      <c r="M250" s="6">
        <v>1</v>
      </c>
    </row>
    <row r="251" spans="12:13" ht="11.25">
      <c r="L251" s="6">
        <v>158100</v>
      </c>
      <c r="M251" s="6">
        <v>1</v>
      </c>
    </row>
    <row r="252" spans="12:13" ht="11.25">
      <c r="L252" s="6">
        <v>161000</v>
      </c>
      <c r="M252" s="6">
        <v>2</v>
      </c>
    </row>
    <row r="253" spans="12:13" ht="11.25">
      <c r="L253" s="6">
        <v>342340</v>
      </c>
      <c r="M253" s="6">
        <v>1</v>
      </c>
    </row>
    <row r="254" spans="12:13" ht="11.25">
      <c r="L254" s="6">
        <v>177200</v>
      </c>
      <c r="M254" s="6">
        <v>1</v>
      </c>
    </row>
    <row r="255" spans="12:13" ht="11.25">
      <c r="L255" s="6">
        <v>180590</v>
      </c>
      <c r="M255" s="6">
        <v>1</v>
      </c>
    </row>
    <row r="256" spans="12:13" ht="11.25">
      <c r="L256" s="6">
        <v>201800</v>
      </c>
      <c r="M256" s="6">
        <v>1</v>
      </c>
    </row>
    <row r="257" spans="12:13" ht="11.25">
      <c r="L257" s="6">
        <v>209200</v>
      </c>
      <c r="M257" s="6">
        <v>1</v>
      </c>
    </row>
    <row r="258" spans="12:13" ht="11.25">
      <c r="L258" s="6">
        <v>214900</v>
      </c>
      <c r="M258" s="6">
        <v>1</v>
      </c>
    </row>
    <row r="259" spans="12:13" ht="11.25">
      <c r="L259" s="6">
        <v>223200</v>
      </c>
      <c r="M259" s="6">
        <v>1</v>
      </c>
    </row>
    <row r="260" spans="12:13" ht="11.25">
      <c r="L260" s="6">
        <v>229000</v>
      </c>
      <c r="M260" s="6">
        <v>1</v>
      </c>
    </row>
    <row r="261" spans="12:13" ht="11.25">
      <c r="L261" s="6">
        <v>232600</v>
      </c>
      <c r="M261" s="6">
        <v>1</v>
      </c>
    </row>
    <row r="262" spans="12:13" ht="11.25">
      <c r="L262" s="6">
        <v>243000</v>
      </c>
      <c r="M262" s="6">
        <v>1</v>
      </c>
    </row>
    <row r="263" spans="12:13" ht="11.25">
      <c r="L263" s="6">
        <v>245200</v>
      </c>
      <c r="M263" s="6">
        <v>1</v>
      </c>
    </row>
    <row r="264" spans="12:13" ht="11.25">
      <c r="L264" s="6">
        <v>252200</v>
      </c>
      <c r="M264" s="6">
        <v>1</v>
      </c>
    </row>
    <row r="265" spans="12:13" ht="11.25">
      <c r="L265" s="6">
        <v>308800</v>
      </c>
      <c r="M265" s="6">
        <v>1</v>
      </c>
    </row>
    <row r="266" spans="12:13" ht="11.25">
      <c r="L266" s="6">
        <v>339010</v>
      </c>
      <c r="M266" s="6">
        <v>1</v>
      </c>
    </row>
    <row r="267" spans="12:13" ht="11.25">
      <c r="L267" s="6">
        <v>357100</v>
      </c>
      <c r="M267" s="6">
        <v>1</v>
      </c>
    </row>
    <row r="268" spans="12:13" ht="11.25">
      <c r="L268" s="6">
        <v>363000</v>
      </c>
      <c r="M268" s="6">
        <v>1</v>
      </c>
    </row>
    <row r="269" spans="12:13" ht="11.25">
      <c r="L269" s="6">
        <v>437500</v>
      </c>
      <c r="M269" s="6">
        <v>1</v>
      </c>
    </row>
    <row r="270" spans="12:13" ht="11.25">
      <c r="L270" s="6">
        <v>478460</v>
      </c>
      <c r="M270" s="6">
        <v>1</v>
      </c>
    </row>
    <row r="271" spans="12:13" ht="11.25">
      <c r="L271" s="6">
        <v>492000</v>
      </c>
      <c r="M271" s="6">
        <v>1</v>
      </c>
    </row>
    <row r="272" spans="12:13" ht="11.25">
      <c r="L272" s="6">
        <v>754000</v>
      </c>
      <c r="M272" s="6">
        <v>1</v>
      </c>
    </row>
    <row r="273" spans="12:13" ht="11.25">
      <c r="L273" s="6">
        <v>893000</v>
      </c>
      <c r="M273" s="6">
        <v>1</v>
      </c>
    </row>
    <row r="274" spans="12:13" ht="11.25">
      <c r="L274" s="6">
        <v>1162540</v>
      </c>
      <c r="M274" s="6">
        <v>1</v>
      </c>
    </row>
    <row r="276" spans="2:13" ht="11.25">
      <c r="B276" s="6">
        <f>SUM(B174:B275)</f>
        <v>311365</v>
      </c>
      <c r="C276" s="6">
        <f aca="true" t="shared" si="4" ref="C276:M276">SUM(C174:C275)</f>
        <v>700</v>
      </c>
      <c r="D276" s="6">
        <f t="shared" si="4"/>
        <v>1610465</v>
      </c>
      <c r="E276" s="6">
        <f t="shared" si="4"/>
        <v>422</v>
      </c>
      <c r="F276" s="6">
        <f t="shared" si="4"/>
        <v>2522310</v>
      </c>
      <c r="G276" s="6">
        <f t="shared" si="4"/>
        <v>354</v>
      </c>
      <c r="H276" s="6">
        <f t="shared" si="4"/>
        <v>1667850</v>
      </c>
      <c r="I276" s="6">
        <f t="shared" si="4"/>
        <v>117</v>
      </c>
      <c r="J276" s="6">
        <f t="shared" si="4"/>
        <v>2931780</v>
      </c>
      <c r="K276" s="6">
        <f t="shared" si="4"/>
        <v>84</v>
      </c>
      <c r="L276" s="6">
        <f t="shared" si="4"/>
        <v>23913850</v>
      </c>
      <c r="M276" s="6">
        <f t="shared" si="4"/>
        <v>131</v>
      </c>
    </row>
    <row r="277" ht="11.25">
      <c r="B277" s="6">
        <f>B276+D276+F276+H276+J276+L276</f>
        <v>32957620</v>
      </c>
    </row>
    <row r="280" ht="11.25">
      <c r="B280" s="6" t="s">
        <v>23</v>
      </c>
    </row>
    <row r="281" ht="11.25">
      <c r="G281" s="10"/>
    </row>
    <row r="282" spans="2:13" ht="11.25">
      <c r="B282" s="6">
        <v>3140</v>
      </c>
      <c r="C282" s="6">
        <v>95</v>
      </c>
      <c r="E282" s="6">
        <v>21</v>
      </c>
      <c r="F282" s="6">
        <v>21040</v>
      </c>
      <c r="G282" s="6">
        <v>4</v>
      </c>
      <c r="H282" s="6">
        <v>52670</v>
      </c>
      <c r="I282" s="6">
        <v>5</v>
      </c>
      <c r="J282" s="6">
        <v>62350</v>
      </c>
      <c r="K282" s="6">
        <v>3</v>
      </c>
      <c r="L282" s="6">
        <v>54000</v>
      </c>
      <c r="M282" s="6">
        <v>16</v>
      </c>
    </row>
    <row r="283" spans="2:13" ht="11.25">
      <c r="B283" s="6">
        <f>59770/2</f>
        <v>29885</v>
      </c>
      <c r="C283" s="6">
        <f>41/2</f>
        <v>20.5</v>
      </c>
      <c r="D283" s="6">
        <v>29885</v>
      </c>
      <c r="E283" s="6">
        <v>14</v>
      </c>
      <c r="F283" s="6">
        <v>12770</v>
      </c>
      <c r="G283" s="6">
        <v>3</v>
      </c>
      <c r="H283" s="6">
        <v>56740</v>
      </c>
      <c r="I283" s="6">
        <v>7</v>
      </c>
      <c r="J283" s="6">
        <v>45300</v>
      </c>
      <c r="K283" s="6">
        <v>2</v>
      </c>
      <c r="L283" s="6">
        <v>58100</v>
      </c>
      <c r="M283" s="6">
        <v>23</v>
      </c>
    </row>
    <row r="284" spans="4:12" ht="11.25">
      <c r="D284" s="6">
        <v>34980</v>
      </c>
      <c r="E284" s="6">
        <v>5</v>
      </c>
      <c r="F284" s="6">
        <v>22420</v>
      </c>
      <c r="G284" s="6">
        <v>3</v>
      </c>
      <c r="H284" s="6">
        <v>86080</v>
      </c>
      <c r="I284" s="6">
        <v>3</v>
      </c>
      <c r="J284" s="6">
        <v>108600</v>
      </c>
      <c r="K284" s="6">
        <v>5</v>
      </c>
      <c r="L284" s="6">
        <v>66500</v>
      </c>
    </row>
    <row r="285" spans="4:12" ht="11.25">
      <c r="D285" s="6">
        <v>17030</v>
      </c>
      <c r="E285" s="6">
        <v>9</v>
      </c>
      <c r="F285" s="6">
        <v>26360</v>
      </c>
      <c r="G285" s="6">
        <v>2</v>
      </c>
      <c r="H285" s="6">
        <v>68080</v>
      </c>
      <c r="I285" s="6">
        <v>2</v>
      </c>
      <c r="J285" s="6">
        <v>23200</v>
      </c>
      <c r="K285" s="6">
        <v>1</v>
      </c>
      <c r="L285" s="6">
        <v>71460</v>
      </c>
    </row>
    <row r="286" spans="4:12" ht="11.25">
      <c r="D286" s="6">
        <v>40850</v>
      </c>
      <c r="F286" s="6">
        <v>28460</v>
      </c>
      <c r="G286" s="6">
        <v>3</v>
      </c>
      <c r="H286" s="6">
        <v>43800</v>
      </c>
      <c r="I286" s="6">
        <v>2</v>
      </c>
      <c r="J286" s="6">
        <v>123390</v>
      </c>
      <c r="K286" s="6">
        <v>5</v>
      </c>
      <c r="L286" s="6">
        <v>87500</v>
      </c>
    </row>
    <row r="287" spans="8:12" ht="11.25">
      <c r="H287" s="6">
        <v>62300</v>
      </c>
      <c r="I287" s="6">
        <v>5</v>
      </c>
      <c r="J287" s="6">
        <v>27800</v>
      </c>
      <c r="K287" s="6">
        <v>1</v>
      </c>
      <c r="L287" s="6">
        <v>95400</v>
      </c>
    </row>
    <row r="288" spans="8:12" ht="11.25">
      <c r="H288" s="6">
        <v>32720</v>
      </c>
      <c r="I288" s="6">
        <v>5</v>
      </c>
      <c r="J288" s="6">
        <v>31500</v>
      </c>
      <c r="K288" s="6">
        <v>1</v>
      </c>
      <c r="L288" s="6">
        <v>103800</v>
      </c>
    </row>
    <row r="289" spans="8:12" ht="11.25">
      <c r="H289" s="6">
        <v>35300</v>
      </c>
      <c r="I289" s="6">
        <v>4</v>
      </c>
      <c r="J289" s="6">
        <v>34070</v>
      </c>
      <c r="K289" s="6">
        <v>1</v>
      </c>
      <c r="L289" s="6">
        <v>111910</v>
      </c>
    </row>
    <row r="290" spans="8:12" ht="11.25">
      <c r="H290" s="6">
        <v>37230</v>
      </c>
      <c r="I290" s="6">
        <v>2</v>
      </c>
      <c r="J290" s="6">
        <v>37530</v>
      </c>
      <c r="K290" s="6">
        <v>1</v>
      </c>
      <c r="L290" s="6">
        <v>131800</v>
      </c>
    </row>
    <row r="291" spans="8:12" ht="11.25">
      <c r="H291" s="6">
        <v>77480</v>
      </c>
      <c r="I291" s="6">
        <v>4</v>
      </c>
      <c r="J291" s="6">
        <v>39300</v>
      </c>
      <c r="K291" s="6">
        <v>1</v>
      </c>
      <c r="L291" s="6">
        <v>156800</v>
      </c>
    </row>
    <row r="292" spans="10:12" ht="11.25">
      <c r="J292" s="6">
        <v>137700</v>
      </c>
      <c r="K292" s="6">
        <v>3</v>
      </c>
      <c r="L292" s="6">
        <v>182090</v>
      </c>
    </row>
    <row r="293" spans="10:12" ht="11.25">
      <c r="J293" s="6">
        <v>148700</v>
      </c>
      <c r="K293" s="6">
        <v>3</v>
      </c>
      <c r="L293" s="6">
        <v>384430</v>
      </c>
    </row>
    <row r="294" spans="10:12" ht="11.25">
      <c r="J294" s="6">
        <v>47040</v>
      </c>
      <c r="K294" s="6">
        <v>1</v>
      </c>
      <c r="L294" s="6">
        <v>452790</v>
      </c>
    </row>
    <row r="295" spans="10:12" ht="11.25">
      <c r="J295" s="6">
        <v>44700</v>
      </c>
      <c r="K295" s="6">
        <v>1</v>
      </c>
      <c r="L295" s="6">
        <v>671850</v>
      </c>
    </row>
    <row r="296" spans="10:12" ht="11.25">
      <c r="J296" s="6">
        <v>39000</v>
      </c>
      <c r="K296" s="6">
        <v>2</v>
      </c>
      <c r="L296" s="6">
        <v>1173440</v>
      </c>
    </row>
    <row r="297" spans="10:12" ht="11.25">
      <c r="J297" s="6">
        <v>35090</v>
      </c>
      <c r="K297" s="6">
        <v>1</v>
      </c>
      <c r="L297" s="6">
        <v>57900</v>
      </c>
    </row>
    <row r="298" spans="10:12" ht="11.25">
      <c r="J298" s="6">
        <v>65530</v>
      </c>
      <c r="K298" s="6">
        <v>1</v>
      </c>
      <c r="L298" s="6">
        <v>61590</v>
      </c>
    </row>
    <row r="299" spans="10:12" ht="11.25">
      <c r="J299" s="6">
        <v>28500</v>
      </c>
      <c r="K299" s="6">
        <v>1</v>
      </c>
      <c r="L299" s="6">
        <v>70300</v>
      </c>
    </row>
    <row r="300" spans="10:12" ht="11.25">
      <c r="J300" s="6">
        <v>25870</v>
      </c>
      <c r="K300" s="6">
        <v>1</v>
      </c>
      <c r="L300" s="6">
        <v>82100</v>
      </c>
    </row>
    <row r="301" ht="11.25">
      <c r="L301" s="6">
        <v>179170</v>
      </c>
    </row>
    <row r="302" ht="11.25">
      <c r="L302" s="6">
        <v>195200</v>
      </c>
    </row>
    <row r="303" ht="11.25">
      <c r="L303" s="6">
        <v>110400</v>
      </c>
    </row>
    <row r="304" ht="11.25">
      <c r="L304" s="6">
        <v>120780</v>
      </c>
    </row>
    <row r="305" ht="11.25">
      <c r="L305" s="6">
        <v>134600</v>
      </c>
    </row>
    <row r="306" ht="11.25">
      <c r="L306" s="6">
        <v>177820</v>
      </c>
    </row>
    <row r="307" ht="11.25">
      <c r="L307" s="6">
        <v>188900</v>
      </c>
    </row>
    <row r="308" ht="11.25">
      <c r="L308" s="6">
        <v>422220</v>
      </c>
    </row>
    <row r="309" ht="11.25">
      <c r="L309" s="6">
        <v>619130</v>
      </c>
    </row>
    <row r="310" ht="11.25">
      <c r="L310" s="6">
        <v>695060</v>
      </c>
    </row>
    <row r="311" spans="2:13" ht="11.25">
      <c r="B311" s="6">
        <f>SUM(B282:B310)</f>
        <v>33025</v>
      </c>
      <c r="C311" s="6">
        <f>SUM(C282:C310)</f>
        <v>115.5</v>
      </c>
      <c r="D311" s="6">
        <f>SUM(D282:D310)</f>
        <v>122745</v>
      </c>
      <c r="E311" s="6">
        <f aca="true" t="shared" si="5" ref="E311:M311">SUM(E282:E310)</f>
        <v>49</v>
      </c>
      <c r="F311" s="6">
        <f t="shared" si="5"/>
        <v>111050</v>
      </c>
      <c r="G311" s="6">
        <f t="shared" si="5"/>
        <v>15</v>
      </c>
      <c r="H311" s="6">
        <f t="shared" si="5"/>
        <v>552400</v>
      </c>
      <c r="I311" s="6">
        <f t="shared" si="5"/>
        <v>39</v>
      </c>
      <c r="J311" s="6">
        <f t="shared" si="5"/>
        <v>1105170</v>
      </c>
      <c r="K311" s="6">
        <f t="shared" si="5"/>
        <v>35</v>
      </c>
      <c r="L311" s="6">
        <f t="shared" si="5"/>
        <v>6917040</v>
      </c>
      <c r="M311" s="6">
        <f t="shared" si="5"/>
        <v>39</v>
      </c>
    </row>
    <row r="313" ht="11.25">
      <c r="C313" s="6">
        <f>B311+D311+F311+H311+J311+L311</f>
        <v>8841430</v>
      </c>
    </row>
    <row r="314" ht="11.25">
      <c r="C314" s="6">
        <f>C311+E311+G311+I311+K311+M311</f>
        <v>292.5</v>
      </c>
    </row>
  </sheetData>
  <mergeCells count="6">
    <mergeCell ref="A30:E30"/>
    <mergeCell ref="A31:E31"/>
    <mergeCell ref="A1:I1"/>
    <mergeCell ref="A2:I2"/>
    <mergeCell ref="A3:I3"/>
    <mergeCell ref="A12:I12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20">
      <selection activeCell="A28" sqref="A28"/>
    </sheetView>
  </sheetViews>
  <sheetFormatPr defaultColWidth="9.140625" defaultRowHeight="12.75"/>
  <cols>
    <col min="1" max="1" width="15.00390625" style="4" customWidth="1"/>
    <col min="2" max="2" width="16.140625" style="23" customWidth="1"/>
    <col min="3" max="4" width="9.7109375" style="19" customWidth="1"/>
    <col min="5" max="5" width="9.7109375" style="18" customWidth="1"/>
    <col min="6" max="6" width="8.7109375" style="4" customWidth="1"/>
    <col min="7" max="7" width="10.421875" style="4" customWidth="1"/>
    <col min="8" max="8" width="11.57421875" style="4" customWidth="1"/>
    <col min="9" max="9" width="10.28125" style="4" bestFit="1" customWidth="1"/>
    <col min="10" max="16384" width="9.140625" style="4" customWidth="1"/>
  </cols>
  <sheetData>
    <row r="1" spans="1:11" ht="43.5" customHeight="1">
      <c r="A1" s="103" t="s">
        <v>225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2:11" ht="24.75" customHeight="1">
      <c r="B2" t="s">
        <v>44</v>
      </c>
      <c r="D2" s="1"/>
      <c r="E2" s="1"/>
      <c r="F2" s="103" t="s">
        <v>45</v>
      </c>
      <c r="G2" s="103"/>
      <c r="H2" s="103"/>
      <c r="I2" s="103" t="s">
        <v>45</v>
      </c>
      <c r="J2" s="103"/>
      <c r="K2" s="103"/>
    </row>
    <row r="3" spans="1:11" ht="24.75" customHeight="1" thickBot="1">
      <c r="A3" s="65" t="s">
        <v>46</v>
      </c>
      <c r="B3" s="80" t="s">
        <v>47</v>
      </c>
      <c r="C3" s="81" t="s">
        <v>48</v>
      </c>
      <c r="D3" s="82" t="s">
        <v>49</v>
      </c>
      <c r="E3" s="84" t="s">
        <v>50</v>
      </c>
      <c r="F3" s="65" t="s">
        <v>51</v>
      </c>
      <c r="G3" s="83" t="s">
        <v>52</v>
      </c>
      <c r="H3" s="88" t="s">
        <v>53</v>
      </c>
      <c r="I3" s="65" t="s">
        <v>54</v>
      </c>
      <c r="J3" s="83" t="s">
        <v>55</v>
      </c>
      <c r="K3" s="65" t="s">
        <v>56</v>
      </c>
    </row>
    <row r="4" spans="1:11" ht="24.75" customHeight="1">
      <c r="A4" s="4" t="s">
        <v>57</v>
      </c>
      <c r="B4" s="15" t="s">
        <v>224</v>
      </c>
      <c r="C4" s="17">
        <v>12</v>
      </c>
      <c r="D4" s="18">
        <v>35727</v>
      </c>
      <c r="E4" s="85">
        <v>36800</v>
      </c>
      <c r="F4" s="18">
        <v>1021.81</v>
      </c>
      <c r="G4" s="18">
        <v>49.97</v>
      </c>
      <c r="H4" s="85">
        <v>19.39</v>
      </c>
      <c r="I4" s="18">
        <v>1113.73</v>
      </c>
      <c r="J4" s="4">
        <v>49.97</v>
      </c>
      <c r="K4" s="4">
        <v>20.55</v>
      </c>
    </row>
    <row r="5" spans="1:11" ht="24.75" customHeight="1">
      <c r="A5" s="4" t="s">
        <v>58</v>
      </c>
      <c r="B5" s="15" t="s">
        <v>59</v>
      </c>
      <c r="C5" s="17">
        <v>16</v>
      </c>
      <c r="D5" s="18">
        <v>33858</v>
      </c>
      <c r="E5" s="85">
        <v>34875</v>
      </c>
      <c r="F5" s="18">
        <v>1021.81</v>
      </c>
      <c r="G5" s="18">
        <v>17.95</v>
      </c>
      <c r="H5" s="85">
        <v>19.39</v>
      </c>
      <c r="I5" s="18">
        <v>1113.73</v>
      </c>
      <c r="J5" s="4">
        <v>47.95</v>
      </c>
      <c r="K5" s="4">
        <v>20.55</v>
      </c>
    </row>
    <row r="6" spans="1:11" ht="24.75" customHeight="1">
      <c r="A6" s="4" t="s">
        <v>60</v>
      </c>
      <c r="B6" s="15" t="s">
        <v>61</v>
      </c>
      <c r="C6" s="19">
        <v>11</v>
      </c>
      <c r="D6" s="18">
        <v>39478</v>
      </c>
      <c r="E6" s="85">
        <v>40270</v>
      </c>
      <c r="F6" s="18">
        <v>1021.81</v>
      </c>
      <c r="G6" s="18">
        <v>54.01</v>
      </c>
      <c r="H6" s="85">
        <v>19.39</v>
      </c>
      <c r="I6" s="18">
        <v>1113.73</v>
      </c>
      <c r="J6" s="4">
        <v>54.01</v>
      </c>
      <c r="K6" s="4">
        <v>20.55</v>
      </c>
    </row>
    <row r="7" spans="1:11" ht="24.75" customHeight="1">
      <c r="A7" s="4" t="s">
        <v>62</v>
      </c>
      <c r="B7" s="15" t="s">
        <v>63</v>
      </c>
      <c r="C7" s="19">
        <v>11</v>
      </c>
      <c r="D7" s="18">
        <v>38500</v>
      </c>
      <c r="E7" s="85">
        <v>39000</v>
      </c>
      <c r="F7" s="4">
        <v>331</v>
      </c>
      <c r="G7" s="4">
        <v>52.98</v>
      </c>
      <c r="H7" s="89">
        <v>19.39</v>
      </c>
      <c r="I7" s="4">
        <v>360.78</v>
      </c>
      <c r="J7" s="4">
        <v>52.98</v>
      </c>
      <c r="K7" s="4">
        <v>20.55</v>
      </c>
    </row>
    <row r="8" spans="1:11" ht="24.75" customHeight="1">
      <c r="A8" s="4" t="s">
        <v>64</v>
      </c>
      <c r="B8" s="15" t="s">
        <v>65</v>
      </c>
      <c r="C8" s="19">
        <v>15</v>
      </c>
      <c r="D8" s="18">
        <v>34475</v>
      </c>
      <c r="E8" s="85">
        <v>35510</v>
      </c>
      <c r="F8" s="18">
        <v>1021.81</v>
      </c>
      <c r="G8" s="18">
        <v>48.62</v>
      </c>
      <c r="H8" s="85">
        <v>19.39</v>
      </c>
      <c r="I8" s="18">
        <v>1113.73</v>
      </c>
      <c r="J8" s="4">
        <v>46.2</v>
      </c>
      <c r="K8" s="4">
        <v>20.55</v>
      </c>
    </row>
    <row r="9" spans="1:11" ht="24.75" customHeight="1">
      <c r="A9" s="4" t="s">
        <v>64</v>
      </c>
      <c r="B9" s="15" t="s">
        <v>66</v>
      </c>
      <c r="C9" s="19">
        <v>29</v>
      </c>
      <c r="D9" s="18">
        <v>73500</v>
      </c>
      <c r="E9" s="85">
        <v>74400</v>
      </c>
      <c r="F9" s="18">
        <v>694.11</v>
      </c>
      <c r="G9" s="18">
        <v>70</v>
      </c>
      <c r="H9" s="85">
        <v>19.39</v>
      </c>
      <c r="I9" s="18">
        <v>756.56</v>
      </c>
      <c r="J9" s="4">
        <v>70</v>
      </c>
      <c r="K9" s="4">
        <v>20.55</v>
      </c>
    </row>
    <row r="10" spans="1:11" ht="24.75" customHeight="1">
      <c r="A10" s="4" t="s">
        <v>67</v>
      </c>
      <c r="B10" s="15" t="s">
        <v>68</v>
      </c>
      <c r="C10" s="19">
        <v>29</v>
      </c>
      <c r="D10" s="18">
        <v>35473</v>
      </c>
      <c r="E10" s="85">
        <v>36180</v>
      </c>
      <c r="F10" s="18">
        <v>694.11</v>
      </c>
      <c r="G10" s="18">
        <v>49.71</v>
      </c>
      <c r="H10" s="85">
        <v>19.39</v>
      </c>
      <c r="I10" s="18">
        <v>756.56</v>
      </c>
      <c r="J10" s="4">
        <v>49.71</v>
      </c>
      <c r="K10" s="4">
        <v>20.55</v>
      </c>
    </row>
    <row r="11" spans="1:11" ht="24.75" customHeight="1">
      <c r="A11" s="4" t="s">
        <v>69</v>
      </c>
      <c r="B11" s="15" t="s">
        <v>70</v>
      </c>
      <c r="C11" s="19">
        <v>15</v>
      </c>
      <c r="D11" s="18">
        <v>56541</v>
      </c>
      <c r="E11" s="85">
        <v>59135</v>
      </c>
      <c r="F11" s="18">
        <v>1021.81</v>
      </c>
      <c r="G11" s="18">
        <v>70</v>
      </c>
      <c r="H11" s="85">
        <v>19.39</v>
      </c>
      <c r="I11" s="18">
        <v>1113.73</v>
      </c>
      <c r="J11" s="4">
        <v>70</v>
      </c>
      <c r="K11" s="4">
        <v>20.55</v>
      </c>
    </row>
    <row r="12" spans="1:11" ht="24.75" customHeight="1">
      <c r="A12" s="4" t="s">
        <v>71</v>
      </c>
      <c r="B12" s="15" t="s">
        <v>72</v>
      </c>
      <c r="C12" s="19">
        <v>20</v>
      </c>
      <c r="D12" s="18">
        <v>29302</v>
      </c>
      <c r="E12" s="85">
        <v>30810</v>
      </c>
      <c r="F12" s="18">
        <v>331</v>
      </c>
      <c r="G12" s="18">
        <v>43.03</v>
      </c>
      <c r="H12" s="85">
        <v>19.39</v>
      </c>
      <c r="I12" s="18">
        <v>360.78</v>
      </c>
      <c r="J12" s="4">
        <v>43.03</v>
      </c>
      <c r="K12" s="4">
        <v>20.55</v>
      </c>
    </row>
    <row r="13" spans="1:11" ht="24.75" customHeight="1">
      <c r="A13" s="4" t="s">
        <v>73</v>
      </c>
      <c r="B13" s="15" t="s">
        <v>72</v>
      </c>
      <c r="C13" s="19">
        <v>9</v>
      </c>
      <c r="D13" s="18">
        <v>28734</v>
      </c>
      <c r="E13" s="85">
        <v>29600</v>
      </c>
      <c r="F13" s="18">
        <v>558.73</v>
      </c>
      <c r="G13" s="18">
        <v>42.42</v>
      </c>
      <c r="H13" s="85">
        <v>19.39</v>
      </c>
      <c r="I13" s="18">
        <v>609</v>
      </c>
      <c r="J13" s="4">
        <v>42.42</v>
      </c>
      <c r="K13" s="4">
        <v>20.55</v>
      </c>
    </row>
    <row r="14" spans="1:11" ht="24.75" customHeight="1">
      <c r="A14" s="4" t="s">
        <v>74</v>
      </c>
      <c r="B14" s="15" t="s">
        <v>72</v>
      </c>
      <c r="C14" s="19">
        <v>8</v>
      </c>
      <c r="D14" s="18">
        <v>30851</v>
      </c>
      <c r="E14" s="85">
        <v>31775</v>
      </c>
      <c r="F14" s="18">
        <v>1021.81</v>
      </c>
      <c r="G14" s="18">
        <v>44.71</v>
      </c>
      <c r="H14" s="85">
        <v>19.39</v>
      </c>
      <c r="I14" s="18">
        <v>1113.73</v>
      </c>
      <c r="J14" s="4">
        <v>44.71</v>
      </c>
      <c r="K14" s="4">
        <v>20.55</v>
      </c>
    </row>
    <row r="15" spans="1:11" ht="24.75" customHeight="1">
      <c r="A15" s="4" t="s">
        <v>75</v>
      </c>
      <c r="B15" s="15" t="s">
        <v>72</v>
      </c>
      <c r="C15" s="19">
        <v>5</v>
      </c>
      <c r="D15" s="18">
        <v>23424</v>
      </c>
      <c r="E15" s="85">
        <v>25155</v>
      </c>
      <c r="F15" s="4">
        <v>331</v>
      </c>
      <c r="G15" s="4">
        <v>35.57</v>
      </c>
      <c r="H15" s="89">
        <v>19.39</v>
      </c>
      <c r="I15" s="4">
        <v>360.78</v>
      </c>
      <c r="J15" s="4">
        <v>37.57</v>
      </c>
      <c r="K15" s="4">
        <v>20.55</v>
      </c>
    </row>
    <row r="16" spans="1:11" ht="21.75" customHeight="1">
      <c r="A16" s="4" t="s">
        <v>76</v>
      </c>
      <c r="B16" s="15" t="s">
        <v>77</v>
      </c>
      <c r="C16" s="19">
        <v>5</v>
      </c>
      <c r="D16" s="18">
        <v>26334</v>
      </c>
      <c r="E16" s="85">
        <v>30000</v>
      </c>
      <c r="F16" s="4">
        <v>331</v>
      </c>
      <c r="G16" s="4">
        <v>39.87</v>
      </c>
      <c r="H16" s="89">
        <v>19.39</v>
      </c>
      <c r="I16" s="4">
        <v>360.78</v>
      </c>
      <c r="J16" s="4">
        <v>39.87</v>
      </c>
      <c r="K16" s="4">
        <v>20.55</v>
      </c>
    </row>
    <row r="17" spans="1:11" ht="24.75" customHeight="1">
      <c r="A17" s="4" t="s">
        <v>78</v>
      </c>
      <c r="B17" s="15" t="s">
        <v>79</v>
      </c>
      <c r="C17" s="19">
        <v>4</v>
      </c>
      <c r="D17" s="18">
        <v>24340</v>
      </c>
      <c r="E17" s="85">
        <v>25070</v>
      </c>
      <c r="F17" s="4">
        <v>331</v>
      </c>
      <c r="G17" s="4">
        <v>37.48</v>
      </c>
      <c r="H17" s="89">
        <v>19.39</v>
      </c>
      <c r="I17" s="4">
        <v>360.78</v>
      </c>
      <c r="J17" s="4">
        <v>37.48</v>
      </c>
      <c r="K17" s="4">
        <v>20.55</v>
      </c>
    </row>
    <row r="18" spans="1:11" ht="24.75" customHeight="1">
      <c r="A18" s="4" t="s">
        <v>80</v>
      </c>
      <c r="B18" s="15" t="s">
        <v>79</v>
      </c>
      <c r="C18" s="19">
        <v>4</v>
      </c>
      <c r="D18" s="18">
        <v>15800</v>
      </c>
      <c r="E18" s="85">
        <v>16120</v>
      </c>
      <c r="F18" s="4">
        <v>0</v>
      </c>
      <c r="G18" s="4">
        <v>0</v>
      </c>
      <c r="H18" s="89">
        <v>0</v>
      </c>
      <c r="I18" s="4">
        <v>0</v>
      </c>
      <c r="J18" s="4">
        <v>0</v>
      </c>
      <c r="K18" s="4">
        <v>0</v>
      </c>
    </row>
    <row r="19" spans="1:8" ht="24.75" customHeight="1">
      <c r="A19" s="4" t="s">
        <v>81</v>
      </c>
      <c r="B19" s="15" t="s">
        <v>72</v>
      </c>
      <c r="C19" s="19">
        <v>2</v>
      </c>
      <c r="D19" s="18">
        <v>20800</v>
      </c>
      <c r="E19" s="85">
        <v>21025</v>
      </c>
      <c r="F19" s="4">
        <v>331</v>
      </c>
      <c r="G19" s="4">
        <v>32.08</v>
      </c>
      <c r="H19" s="89">
        <v>19.39</v>
      </c>
    </row>
    <row r="20" spans="1:11" ht="24.75" customHeight="1">
      <c r="A20" s="4" t="s">
        <v>82</v>
      </c>
      <c r="B20" s="15" t="s">
        <v>63</v>
      </c>
      <c r="C20" s="19">
        <v>2</v>
      </c>
      <c r="D20" s="18">
        <v>35820</v>
      </c>
      <c r="E20" s="85">
        <v>36535</v>
      </c>
      <c r="F20" s="4">
        <v>331</v>
      </c>
      <c r="G20" s="4">
        <v>50.07</v>
      </c>
      <c r="H20" s="89">
        <v>19.39</v>
      </c>
      <c r="I20" s="4">
        <v>360.78</v>
      </c>
      <c r="J20" s="4">
        <v>50.07</v>
      </c>
      <c r="K20" s="4">
        <v>20.55</v>
      </c>
    </row>
    <row r="21" spans="1:11" ht="24.75" customHeight="1">
      <c r="A21" s="4" t="s">
        <v>83</v>
      </c>
      <c r="B21" s="15" t="s">
        <v>63</v>
      </c>
      <c r="C21" s="19">
        <v>1</v>
      </c>
      <c r="D21" s="18">
        <v>40000</v>
      </c>
      <c r="E21" s="85">
        <v>40400</v>
      </c>
      <c r="F21" s="4">
        <v>360</v>
      </c>
      <c r="G21" s="4">
        <v>54.59</v>
      </c>
      <c r="H21" s="89">
        <v>19.39</v>
      </c>
      <c r="I21" s="4">
        <v>360.78</v>
      </c>
      <c r="J21" s="4">
        <v>54.59</v>
      </c>
      <c r="K21" s="4">
        <v>20.55</v>
      </c>
    </row>
    <row r="22" spans="1:11" ht="24.75" customHeight="1">
      <c r="A22" s="4" t="s">
        <v>84</v>
      </c>
      <c r="B22" s="15" t="s">
        <v>63</v>
      </c>
      <c r="C22" s="20" t="s">
        <v>85</v>
      </c>
      <c r="D22" s="21"/>
      <c r="E22" s="86"/>
      <c r="F22" s="18">
        <f aca="true" t="shared" si="0" ref="F22:K22">SUM(F4:F21)</f>
        <v>10754.809999999998</v>
      </c>
      <c r="G22" s="4">
        <f t="shared" si="0"/>
        <v>793.0600000000002</v>
      </c>
      <c r="H22" s="89">
        <f t="shared" si="0"/>
        <v>329.6299999999999</v>
      </c>
      <c r="I22" s="18">
        <f t="shared" si="0"/>
        <v>11329.960000000001</v>
      </c>
      <c r="J22" s="4">
        <f t="shared" si="0"/>
        <v>790.5600000000002</v>
      </c>
      <c r="K22" s="4">
        <f t="shared" si="0"/>
        <v>328.80000000000007</v>
      </c>
    </row>
    <row r="23" spans="1:5" ht="34.5" customHeight="1">
      <c r="A23" s="108" t="s">
        <v>86</v>
      </c>
      <c r="B23" s="108"/>
      <c r="C23" s="22">
        <v>13493.75</v>
      </c>
      <c r="D23" s="18"/>
      <c r="E23" s="85"/>
    </row>
    <row r="24" spans="1:5" ht="27" customHeight="1">
      <c r="A24" s="108" t="s">
        <v>87</v>
      </c>
      <c r="B24" s="108"/>
      <c r="C24" s="108"/>
      <c r="D24" s="18">
        <v>4000</v>
      </c>
      <c r="E24" s="85">
        <v>4000</v>
      </c>
    </row>
    <row r="25" spans="1:5" ht="23.25" customHeight="1">
      <c r="A25" s="108" t="s">
        <v>88</v>
      </c>
      <c r="B25" s="108"/>
      <c r="C25" s="108"/>
      <c r="D25" s="18">
        <v>25000</v>
      </c>
      <c r="E25" s="85">
        <v>25000</v>
      </c>
    </row>
    <row r="26" spans="1:7" ht="28.5" customHeight="1">
      <c r="A26" s="108" t="s">
        <v>89</v>
      </c>
      <c r="B26" s="108"/>
      <c r="C26" s="108"/>
      <c r="D26" s="18">
        <v>14000</v>
      </c>
      <c r="E26" s="85">
        <v>14000</v>
      </c>
      <c r="G26" s="24"/>
    </row>
    <row r="27" spans="1:5" ht="37.5" customHeight="1">
      <c r="A27" s="108" t="s">
        <v>226</v>
      </c>
      <c r="B27" s="108"/>
      <c r="C27" s="108"/>
      <c r="D27" s="22">
        <f>SUM(D4:D26)</f>
        <v>665957</v>
      </c>
      <c r="E27" s="87">
        <f>SUM(E4:E26)</f>
        <v>685660</v>
      </c>
    </row>
    <row r="28" spans="2:7" ht="39" customHeight="1">
      <c r="B28" s="25"/>
      <c r="G28" s="24"/>
    </row>
    <row r="29" spans="5:7" ht="12.75">
      <c r="E29" s="94"/>
      <c r="G29" s="26"/>
    </row>
  </sheetData>
  <mergeCells count="8">
    <mergeCell ref="A27:C27"/>
    <mergeCell ref="F2:H2"/>
    <mergeCell ref="I2:K2"/>
    <mergeCell ref="A1:K1"/>
    <mergeCell ref="A24:C24"/>
    <mergeCell ref="A26:C26"/>
    <mergeCell ref="A25:C25"/>
    <mergeCell ref="A23:B23"/>
  </mergeCells>
  <printOptions gridLines="1" horizont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12" sqref="C12"/>
    </sheetView>
  </sheetViews>
  <sheetFormatPr defaultColWidth="9.140625" defaultRowHeight="12.75"/>
  <cols>
    <col min="1" max="1" width="34.140625" style="1" customWidth="1"/>
    <col min="2" max="2" width="12.57421875" style="1" customWidth="1"/>
    <col min="3" max="3" width="14.00390625" style="1" customWidth="1"/>
    <col min="4" max="4" width="16.140625" style="1" customWidth="1"/>
    <col min="5" max="5" width="11.140625" style="1" customWidth="1"/>
    <col min="6" max="6" width="10.28125" style="1" bestFit="1" customWidth="1"/>
    <col min="7" max="16384" width="9.140625" style="1" customWidth="1"/>
  </cols>
  <sheetData>
    <row r="1" spans="1:5" ht="39.75" customHeight="1">
      <c r="A1" s="102" t="s">
        <v>160</v>
      </c>
      <c r="B1" s="102"/>
      <c r="C1" s="102"/>
      <c r="D1" s="102"/>
      <c r="E1" s="102"/>
    </row>
    <row r="2" spans="2:5" ht="34.5" customHeight="1">
      <c r="B2" s="44" t="s">
        <v>38</v>
      </c>
      <c r="C2" s="51" t="s">
        <v>200</v>
      </c>
      <c r="D2" s="51" t="s">
        <v>199</v>
      </c>
      <c r="E2" s="44" t="s">
        <v>140</v>
      </c>
    </row>
    <row r="3" spans="1:5" ht="18" customHeight="1">
      <c r="A3" s="1" t="s">
        <v>141</v>
      </c>
      <c r="B3" s="45">
        <v>3605</v>
      </c>
      <c r="C3" s="44"/>
      <c r="D3" s="45">
        <f aca="true" t="shared" si="0" ref="D3:D11">B3</f>
        <v>3605</v>
      </c>
      <c r="E3" s="44"/>
    </row>
    <row r="4" spans="1:4" ht="18" customHeight="1">
      <c r="A4" s="1" t="s">
        <v>142</v>
      </c>
      <c r="B4" s="1">
        <v>46</v>
      </c>
      <c r="D4" s="1">
        <f t="shared" si="0"/>
        <v>46</v>
      </c>
    </row>
    <row r="5" spans="1:4" ht="18" customHeight="1">
      <c r="A5" s="1" t="s">
        <v>144</v>
      </c>
      <c r="B5" s="1">
        <v>394316</v>
      </c>
      <c r="C5" s="45">
        <f>B5/2</f>
        <v>197158</v>
      </c>
      <c r="D5" s="1">
        <f>B5/2</f>
        <v>197158</v>
      </c>
    </row>
    <row r="6" spans="1:4" ht="18" customHeight="1">
      <c r="A6" s="1" t="s">
        <v>145</v>
      </c>
      <c r="B6" s="1">
        <v>24344</v>
      </c>
      <c r="D6" s="1">
        <f t="shared" si="0"/>
        <v>24344</v>
      </c>
    </row>
    <row r="7" spans="1:3" ht="18" customHeight="1">
      <c r="A7" s="1" t="s">
        <v>146</v>
      </c>
      <c r="B7" s="1">
        <v>16046</v>
      </c>
      <c r="C7" s="1">
        <f>B7</f>
        <v>16046</v>
      </c>
    </row>
    <row r="8" spans="1:3" ht="18" customHeight="1">
      <c r="A8" s="1" t="s">
        <v>147</v>
      </c>
      <c r="B8" s="1">
        <v>15600</v>
      </c>
      <c r="C8" s="1">
        <f>B8</f>
        <v>15600</v>
      </c>
    </row>
    <row r="9" spans="1:4" ht="18" customHeight="1">
      <c r="A9" s="1" t="s">
        <v>148</v>
      </c>
      <c r="B9" s="1">
        <v>7901</v>
      </c>
      <c r="D9" s="1">
        <f t="shared" si="0"/>
        <v>7901</v>
      </c>
    </row>
    <row r="10" spans="1:4" ht="18" customHeight="1">
      <c r="A10" s="1" t="s">
        <v>149</v>
      </c>
      <c r="B10" s="1">
        <v>203885</v>
      </c>
      <c r="D10" s="1">
        <f t="shared" si="0"/>
        <v>203885</v>
      </c>
    </row>
    <row r="11" spans="1:4" ht="18" customHeight="1">
      <c r="A11" s="3" t="s">
        <v>159</v>
      </c>
      <c r="B11" s="1">
        <v>481</v>
      </c>
      <c r="D11" s="1">
        <f t="shared" si="0"/>
        <v>481</v>
      </c>
    </row>
    <row r="12" spans="1:5" ht="18" customHeight="1">
      <c r="A12" s="3" t="s">
        <v>150</v>
      </c>
      <c r="B12" s="1">
        <v>81351</v>
      </c>
      <c r="E12" s="45">
        <f>B12</f>
        <v>81351</v>
      </c>
    </row>
    <row r="13" spans="1:5" ht="18" customHeight="1">
      <c r="A13" s="1" t="s">
        <v>151</v>
      </c>
      <c r="B13" s="1">
        <v>152</v>
      </c>
      <c r="E13" s="1">
        <f>B13</f>
        <v>152</v>
      </c>
    </row>
    <row r="14" spans="1:5" ht="18" customHeight="1">
      <c r="A14" s="1" t="s">
        <v>152</v>
      </c>
      <c r="B14" s="1">
        <f>plant!B19</f>
        <v>1134</v>
      </c>
      <c r="C14" s="1">
        <v>0</v>
      </c>
      <c r="D14" s="1">
        <f>B14</f>
        <v>1134</v>
      </c>
      <c r="E14" s="1">
        <v>0</v>
      </c>
    </row>
    <row r="15" spans="1:5" ht="18" customHeight="1">
      <c r="A15" s="1" t="s">
        <v>153</v>
      </c>
      <c r="B15" s="1">
        <v>11591</v>
      </c>
      <c r="E15" s="1">
        <f>B15</f>
        <v>11591</v>
      </c>
    </row>
    <row r="16" ht="18" customHeight="1">
      <c r="A16" s="3" t="s">
        <v>201</v>
      </c>
    </row>
    <row r="17" spans="1:5" ht="18" customHeight="1">
      <c r="A17" s="3" t="s">
        <v>202</v>
      </c>
      <c r="B17" s="45">
        <f>SUM(B3:B16)</f>
        <v>760452</v>
      </c>
      <c r="C17" s="45">
        <f>SUM(C3:C16)</f>
        <v>228804</v>
      </c>
      <c r="D17" s="45">
        <f>SUM(D3:D16)</f>
        <v>438554</v>
      </c>
      <c r="E17" s="45">
        <f>SUM(E3:E16)</f>
        <v>93094</v>
      </c>
    </row>
    <row r="18" spans="1:5" ht="18" customHeight="1">
      <c r="A18" s="3" t="s">
        <v>176</v>
      </c>
      <c r="C18" s="13">
        <f>C17/B17</f>
        <v>0.3008789509397043</v>
      </c>
      <c r="D18" s="13">
        <f>D17/B17</f>
        <v>0.576701751063841</v>
      </c>
      <c r="E18" s="13">
        <f>E17/B17</f>
        <v>0.12241929799645473</v>
      </c>
    </row>
    <row r="19" spans="1:5" ht="18" customHeight="1">
      <c r="A19" s="1" t="s">
        <v>154</v>
      </c>
      <c r="B19" s="1">
        <v>1068</v>
      </c>
      <c r="C19" s="1">
        <f>B19*C18</f>
        <v>321.3387196036042</v>
      </c>
      <c r="D19" s="1">
        <f>B19*D18</f>
        <v>615.9174701361823</v>
      </c>
      <c r="E19" s="1">
        <f>B19*E18</f>
        <v>130.74381026021365</v>
      </c>
    </row>
    <row r="20" spans="1:5" ht="18" customHeight="1">
      <c r="A20" s="1" t="s">
        <v>155</v>
      </c>
      <c r="B20" s="1">
        <v>43577</v>
      </c>
      <c r="C20" s="1">
        <f>B20*C18</f>
        <v>13111.402045099494</v>
      </c>
      <c r="D20" s="1">
        <f>B20*D18</f>
        <v>25130.932206109</v>
      </c>
      <c r="E20" s="1">
        <f>B20*E18</f>
        <v>5334.665748791508</v>
      </c>
    </row>
    <row r="21" spans="1:5" ht="18" customHeight="1">
      <c r="A21" s="1" t="s">
        <v>157</v>
      </c>
      <c r="B21" s="1">
        <v>3359</v>
      </c>
      <c r="C21" s="1">
        <f>B21*C18</f>
        <v>1010.6523962064667</v>
      </c>
      <c r="D21" s="1">
        <f>B21*D18</f>
        <v>1937.141181823442</v>
      </c>
      <c r="E21" s="1">
        <f>B21*E18</f>
        <v>411.20642197009147</v>
      </c>
    </row>
    <row r="22" spans="1:5" ht="28.5" customHeight="1">
      <c r="A22" s="1" t="s">
        <v>158</v>
      </c>
      <c r="B22" s="45">
        <f>SUM(B3:B21)</f>
        <v>1568908</v>
      </c>
      <c r="C22" s="45">
        <f>SUM(C3:C21)</f>
        <v>472051.69403986045</v>
      </c>
      <c r="D22" s="45">
        <f>SUM(D3:D21)</f>
        <v>904792.5675598198</v>
      </c>
      <c r="E22" s="45">
        <f>SUM(E3:E21)</f>
        <v>192064.7384003198</v>
      </c>
    </row>
    <row r="23" spans="1:5" ht="35.25" customHeight="1">
      <c r="A23" s="3" t="s">
        <v>220</v>
      </c>
      <c r="C23" s="13">
        <f>C22/B22</f>
        <v>0.30087914271573635</v>
      </c>
      <c r="D23" s="13">
        <f>D22/B22</f>
        <v>0.5767021186454654</v>
      </c>
      <c r="E23" s="13">
        <f>E22/B22</f>
        <v>0.12241937602480184</v>
      </c>
    </row>
  </sheetData>
  <mergeCells count="1">
    <mergeCell ref="A1:E1"/>
  </mergeCells>
  <printOptions gridLines="1"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4">
      <selection activeCell="B10" sqref="B10"/>
    </sheetView>
  </sheetViews>
  <sheetFormatPr defaultColWidth="9.140625" defaultRowHeight="12.75"/>
  <cols>
    <col min="1" max="1" width="37.7109375" style="0" customWidth="1"/>
    <col min="2" max="2" width="13.8515625" style="29" bestFit="1" customWidth="1"/>
    <col min="3" max="3" width="11.8515625" style="0" customWidth="1"/>
    <col min="4" max="4" width="10.28125" style="0" bestFit="1" customWidth="1"/>
    <col min="6" max="6" width="11.8515625" style="0" bestFit="1" customWidth="1"/>
  </cols>
  <sheetData>
    <row r="1" spans="1:3" ht="29.25" customHeight="1">
      <c r="A1" s="103" t="s">
        <v>223</v>
      </c>
      <c r="B1" s="103"/>
      <c r="C1" s="103"/>
    </row>
    <row r="2" spans="1:2" ht="30" customHeight="1">
      <c r="A2" t="s">
        <v>103</v>
      </c>
      <c r="B2" s="29">
        <v>769120</v>
      </c>
    </row>
    <row r="3" spans="1:4" ht="29.25" customHeight="1">
      <c r="A3" t="s">
        <v>105</v>
      </c>
      <c r="B3" s="29">
        <f>tyba!C22/1000</f>
        <v>414797.069</v>
      </c>
      <c r="C3" s="36">
        <f>B3/B2</f>
        <v>0.5393138508945289</v>
      </c>
      <c r="D3" s="43"/>
    </row>
    <row r="4" spans="1:5" ht="27" customHeight="1">
      <c r="A4" t="s">
        <v>36</v>
      </c>
      <c r="B4" s="29">
        <v>97490</v>
      </c>
      <c r="C4" s="36">
        <f>B4/B2</f>
        <v>0.12675525275639693</v>
      </c>
      <c r="E4" s="48"/>
    </row>
    <row r="5" spans="1:4" ht="29.25" customHeight="1">
      <c r="A5" t="s">
        <v>205</v>
      </c>
      <c r="B5" s="29">
        <f>57761+65037+181</f>
        <v>122979</v>
      </c>
      <c r="C5" s="36">
        <f>B5/B2</f>
        <v>0.15989572498439775</v>
      </c>
      <c r="D5" s="43"/>
    </row>
    <row r="6" spans="1:3" ht="27" customHeight="1">
      <c r="A6" t="s">
        <v>106</v>
      </c>
      <c r="B6" s="32">
        <f>9008+57326+48791</f>
        <v>115125</v>
      </c>
      <c r="C6" s="36">
        <f>B6/B2</f>
        <v>0.14968405450384856</v>
      </c>
    </row>
    <row r="7" spans="1:3" ht="30.75" customHeight="1" thickBot="1">
      <c r="A7" s="79" t="s">
        <v>104</v>
      </c>
      <c r="B7" s="64">
        <f>SUM(B3:B6)</f>
        <v>750391.069</v>
      </c>
      <c r="C7" s="33">
        <f>SUM(C3:C6)</f>
        <v>0.9756488831391722</v>
      </c>
    </row>
    <row r="8" ht="41.25" customHeight="1">
      <c r="A8" t="s">
        <v>110</v>
      </c>
    </row>
    <row r="9" spans="1:2" ht="19.5" customHeight="1">
      <c r="A9" t="s">
        <v>107</v>
      </c>
      <c r="B9" s="32">
        <f>1814+3</f>
        <v>1817</v>
      </c>
    </row>
    <row r="10" spans="1:2" ht="19.5" customHeight="1">
      <c r="A10" t="s">
        <v>108</v>
      </c>
      <c r="B10" s="29">
        <v>31476</v>
      </c>
    </row>
    <row r="11" spans="1:2" ht="19.5" customHeight="1">
      <c r="A11" t="s">
        <v>109</v>
      </c>
      <c r="B11" s="29">
        <v>64197</v>
      </c>
    </row>
    <row r="12" spans="1:2" ht="19.5" customHeight="1">
      <c r="A12" t="s">
        <v>260</v>
      </c>
      <c r="B12" s="29">
        <f>SUM(B9:B11)</f>
        <v>97490</v>
      </c>
    </row>
    <row r="13" spans="1:2" ht="33.75" customHeight="1">
      <c r="A13" t="s">
        <v>259</v>
      </c>
      <c r="B13" s="29">
        <f>B3+B4</f>
        <v>512287.069</v>
      </c>
    </row>
  </sheetData>
  <mergeCells count="1">
    <mergeCell ref="A1:C1"/>
  </mergeCells>
  <printOptions gridLines="1"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G3" sqref="G3"/>
    </sheetView>
  </sheetViews>
  <sheetFormatPr defaultColWidth="9.140625" defaultRowHeight="12.75"/>
  <cols>
    <col min="1" max="1" width="16.28125" style="0" customWidth="1"/>
    <col min="2" max="2" width="12.7109375" style="0" customWidth="1"/>
    <col min="3" max="3" width="15.28125" style="0" customWidth="1"/>
    <col min="4" max="5" width="12.7109375" style="0" customWidth="1"/>
  </cols>
  <sheetData>
    <row r="1" spans="1:5" ht="50.25" customHeight="1">
      <c r="A1" s="103" t="s">
        <v>227</v>
      </c>
      <c r="B1" s="103"/>
      <c r="C1" s="103"/>
      <c r="D1" s="103"/>
      <c r="E1" s="103"/>
    </row>
    <row r="2" spans="1:5" ht="44.25" customHeight="1">
      <c r="A2" s="14" t="s">
        <v>228</v>
      </c>
      <c r="B2" s="14" t="s">
        <v>111</v>
      </c>
      <c r="C2" s="14" t="s">
        <v>112</v>
      </c>
      <c r="D2" s="16" t="s">
        <v>113</v>
      </c>
      <c r="E2" s="14" t="s">
        <v>112</v>
      </c>
    </row>
    <row r="3" spans="1:5" ht="16.5" customHeight="1">
      <c r="A3">
        <v>16</v>
      </c>
      <c r="B3">
        <v>2.65</v>
      </c>
      <c r="C3">
        <f>B3*A3</f>
        <v>42.4</v>
      </c>
      <c r="D3">
        <v>0</v>
      </c>
      <c r="E3">
        <v>0</v>
      </c>
    </row>
    <row r="4" spans="1:5" ht="16.5" customHeight="1">
      <c r="A4">
        <v>12</v>
      </c>
      <c r="B4">
        <v>29.5</v>
      </c>
      <c r="C4" s="34">
        <f aca="true" t="shared" si="0" ref="C4:C10">B4*A4</f>
        <v>354</v>
      </c>
      <c r="D4">
        <f>1.08+9.6</f>
        <v>10.68</v>
      </c>
      <c r="E4" s="34">
        <f>D4*A4</f>
        <v>128.16</v>
      </c>
    </row>
    <row r="5" spans="1:5" ht="16.5" customHeight="1">
      <c r="A5">
        <v>10</v>
      </c>
      <c r="B5">
        <v>23.9</v>
      </c>
      <c r="C5" s="34">
        <f t="shared" si="0"/>
        <v>239</v>
      </c>
      <c r="D5" s="33">
        <f>1.8+6.4+5.07</f>
        <v>13.270000000000001</v>
      </c>
      <c r="E5" s="34">
        <f>D5*A5</f>
        <v>132.70000000000002</v>
      </c>
    </row>
    <row r="6" spans="1:5" ht="16.5" customHeight="1">
      <c r="A6">
        <v>8</v>
      </c>
      <c r="B6">
        <v>19.6</v>
      </c>
      <c r="C6">
        <f t="shared" si="0"/>
        <v>156.8</v>
      </c>
      <c r="D6">
        <f>1.65+0.61</f>
        <v>2.26</v>
      </c>
      <c r="E6" s="34">
        <f>D6*A6</f>
        <v>18.08</v>
      </c>
    </row>
    <row r="7" spans="1:5" ht="16.5" customHeight="1">
      <c r="A7">
        <v>6</v>
      </c>
      <c r="B7">
        <v>92.3</v>
      </c>
      <c r="C7">
        <f t="shared" si="0"/>
        <v>553.8</v>
      </c>
      <c r="D7">
        <v>0</v>
      </c>
      <c r="E7">
        <v>0</v>
      </c>
    </row>
    <row r="8" spans="1:5" ht="16.5" customHeight="1">
      <c r="A8">
        <v>4</v>
      </c>
      <c r="B8">
        <v>49.1</v>
      </c>
      <c r="C8">
        <f t="shared" si="0"/>
        <v>196.4</v>
      </c>
      <c r="D8">
        <v>4.76</v>
      </c>
      <c r="E8">
        <v>0</v>
      </c>
    </row>
    <row r="9" spans="1:5" ht="16.5" customHeight="1">
      <c r="A9">
        <v>3</v>
      </c>
      <c r="B9" s="34">
        <v>251</v>
      </c>
      <c r="C9" s="34">
        <f t="shared" si="0"/>
        <v>753</v>
      </c>
      <c r="D9">
        <v>0</v>
      </c>
      <c r="E9">
        <v>0</v>
      </c>
    </row>
    <row r="10" spans="1:5" ht="16.5" customHeight="1">
      <c r="A10">
        <v>2</v>
      </c>
      <c r="B10" s="34">
        <v>33</v>
      </c>
      <c r="C10" s="34">
        <f t="shared" si="0"/>
        <v>66</v>
      </c>
      <c r="D10">
        <v>0</v>
      </c>
      <c r="E10">
        <v>0</v>
      </c>
    </row>
    <row r="11" spans="1:5" ht="16.5" customHeight="1">
      <c r="A11" t="s">
        <v>38</v>
      </c>
      <c r="B11">
        <f>SUM(B3:B10)</f>
        <v>501.04999999999995</v>
      </c>
      <c r="C11" s="29">
        <f>SUM(C3:C10)</f>
        <v>2361.4</v>
      </c>
      <c r="D11">
        <f>SUM(D3:D10)</f>
        <v>30.97</v>
      </c>
      <c r="E11">
        <f>SUM(E3:E10)</f>
        <v>278.94</v>
      </c>
    </row>
    <row r="12" spans="1:5" ht="42.75" customHeight="1">
      <c r="A12" t="s">
        <v>114</v>
      </c>
      <c r="E12" s="42">
        <f>E11/C11</f>
        <v>0.11812484119590073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</sheetData>
  <mergeCells count="1">
    <mergeCell ref="A1:E1"/>
  </mergeCells>
  <printOptions gridLines="1"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8">
      <selection activeCell="F14" sqref="F14"/>
    </sheetView>
  </sheetViews>
  <sheetFormatPr defaultColWidth="9.140625" defaultRowHeight="12.75"/>
  <cols>
    <col min="1" max="1" width="43.00390625" style="0" customWidth="1"/>
    <col min="2" max="2" width="18.140625" style="0" customWidth="1"/>
    <col min="3" max="3" width="4.00390625" style="0" customWidth="1"/>
    <col min="5" max="5" width="9.57421875" style="0" customWidth="1"/>
    <col min="6" max="6" width="16.8515625" style="0" customWidth="1"/>
  </cols>
  <sheetData>
    <row r="1" spans="1:4" ht="39" customHeight="1">
      <c r="A1" s="103" t="s">
        <v>24</v>
      </c>
      <c r="B1" s="103"/>
      <c r="C1" s="103"/>
      <c r="D1" s="103"/>
    </row>
    <row r="2" spans="1:4" ht="29.25" customHeight="1">
      <c r="A2" s="103" t="s">
        <v>115</v>
      </c>
      <c r="B2" s="103"/>
      <c r="C2" s="103"/>
      <c r="D2" s="103"/>
    </row>
    <row r="3" spans="1:4" ht="27.75" customHeight="1">
      <c r="A3" t="s">
        <v>116</v>
      </c>
      <c r="C3" s="35"/>
      <c r="D3" s="36">
        <f>use!C6</f>
        <v>0.14968405450384856</v>
      </c>
    </row>
    <row r="4" spans="1:6" ht="27.75" customHeight="1">
      <c r="A4" t="s">
        <v>117</v>
      </c>
      <c r="C4" s="35"/>
      <c r="D4" s="37">
        <f>use!C5</f>
        <v>0.15989572498439775</v>
      </c>
      <c r="F4" s="36"/>
    </row>
    <row r="5" spans="1:4" ht="27.75" customHeight="1">
      <c r="A5" t="s">
        <v>118</v>
      </c>
      <c r="C5" s="38"/>
      <c r="D5" s="36">
        <f>D3+D4</f>
        <v>0.30957977948824633</v>
      </c>
    </row>
    <row r="6" spans="1:5" ht="27.75" customHeight="1">
      <c r="A6" t="s">
        <v>125</v>
      </c>
      <c r="B6" s="39" t="s">
        <v>126</v>
      </c>
      <c r="D6">
        <v>1.4484</v>
      </c>
      <c r="E6" s="36"/>
    </row>
    <row r="7" spans="1:4" ht="27.75" customHeight="1">
      <c r="A7" t="s">
        <v>119</v>
      </c>
      <c r="B7" s="39" t="s">
        <v>127</v>
      </c>
      <c r="D7" s="36">
        <v>0.1181</v>
      </c>
    </row>
    <row r="8" spans="1:4" ht="27.75" customHeight="1">
      <c r="A8" t="s">
        <v>131</v>
      </c>
      <c r="B8" s="39" t="s">
        <v>128</v>
      </c>
      <c r="D8" s="36">
        <f>SUM(0.1497*0.1181)</f>
        <v>0.01767957</v>
      </c>
    </row>
    <row r="9" spans="1:4" ht="27.75" customHeight="1">
      <c r="A9" t="s">
        <v>120</v>
      </c>
      <c r="B9" s="39" t="s">
        <v>129</v>
      </c>
      <c r="D9" s="36">
        <v>0.1776</v>
      </c>
    </row>
    <row r="10" spans="1:5" ht="27.75" customHeight="1">
      <c r="A10" t="s">
        <v>218</v>
      </c>
      <c r="B10" s="39" t="s">
        <v>130</v>
      </c>
      <c r="D10">
        <v>1.2159</v>
      </c>
      <c r="E10" s="36"/>
    </row>
    <row r="11" spans="1:5" ht="27.75" customHeight="1">
      <c r="A11" t="s">
        <v>121</v>
      </c>
      <c r="B11" s="77">
        <f>use!B4</f>
        <v>97490</v>
      </c>
      <c r="C11" s="103" t="s">
        <v>122</v>
      </c>
      <c r="D11" s="40">
        <f>D10</f>
        <v>1.2159</v>
      </c>
      <c r="E11" s="36"/>
    </row>
    <row r="12" spans="2:6" ht="27.75" customHeight="1">
      <c r="B12" s="3">
        <v>512287.1</v>
      </c>
      <c r="C12" s="103"/>
      <c r="D12">
        <f>D6</f>
        <v>1.4484</v>
      </c>
      <c r="E12" s="36">
        <f>SUM(B11/B12)*(D11/D12)</f>
        <v>0.15975556398278876</v>
      </c>
      <c r="F12" s="36"/>
    </row>
    <row r="13" spans="1:6" ht="27.75" customHeight="1">
      <c r="A13" t="s">
        <v>123</v>
      </c>
      <c r="B13" s="78">
        <f>B11</f>
        <v>97490</v>
      </c>
      <c r="F13" s="36"/>
    </row>
    <row r="14" spans="1:5" ht="27.75" customHeight="1">
      <c r="A14" s="41"/>
      <c r="B14" s="2">
        <f>B12</f>
        <v>512287.1</v>
      </c>
      <c r="C14" s="14" t="s">
        <v>122</v>
      </c>
      <c r="D14" s="36">
        <f>D7</f>
        <v>0.1181</v>
      </c>
      <c r="E14" s="42">
        <f>SUM(B13/B14)*D14</f>
        <v>0.02247483686393821</v>
      </c>
    </row>
    <row r="15" spans="1:6" ht="27.75" customHeight="1">
      <c r="A15" t="s">
        <v>207</v>
      </c>
      <c r="B15" s="77">
        <f>B13</f>
        <v>97490</v>
      </c>
      <c r="F15" s="42"/>
    </row>
    <row r="16" spans="2:6" ht="18" customHeight="1">
      <c r="B16" s="3">
        <f>B14</f>
        <v>512287.1</v>
      </c>
      <c r="E16" s="36">
        <f>B15/B16</f>
        <v>0.19030344507991712</v>
      </c>
      <c r="F16" s="42"/>
    </row>
  </sheetData>
  <mergeCells count="3">
    <mergeCell ref="A2:D2"/>
    <mergeCell ref="C11:C12"/>
    <mergeCell ref="A1:D1"/>
  </mergeCells>
  <printOptions gridLines="1" horizontalCentered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1" sqref="A11"/>
    </sheetView>
  </sheetViews>
  <sheetFormatPr defaultColWidth="9.140625" defaultRowHeight="12.75"/>
  <cols>
    <col min="1" max="1" width="34.421875" style="1" customWidth="1"/>
    <col min="2" max="2" width="13.8515625" style="1" bestFit="1" customWidth="1"/>
    <col min="3" max="3" width="10.28125" style="1" bestFit="1" customWidth="1"/>
    <col min="4" max="4" width="12.8515625" style="1" bestFit="1" customWidth="1"/>
    <col min="5" max="16384" width="9.140625" style="1" customWidth="1"/>
  </cols>
  <sheetData>
    <row r="1" spans="1:2" ht="41.25" customHeight="1">
      <c r="A1" s="101" t="s">
        <v>42</v>
      </c>
      <c r="B1" s="101"/>
    </row>
    <row r="2" spans="1:3" ht="41.25" customHeight="1">
      <c r="A2" s="44"/>
      <c r="B2" s="44"/>
      <c r="C2" s="3"/>
    </row>
    <row r="3" spans="1:3" ht="27" customHeight="1">
      <c r="A3" s="5" t="s">
        <v>238</v>
      </c>
      <c r="B3" s="22">
        <v>2868614</v>
      </c>
      <c r="C3" s="3"/>
    </row>
    <row r="4" spans="1:2" ht="19.5" customHeight="1">
      <c r="A4" s="5" t="s">
        <v>163</v>
      </c>
      <c r="B4" s="18">
        <v>75026</v>
      </c>
    </row>
    <row r="5" spans="1:4" ht="19.5" customHeight="1">
      <c r="A5" s="5" t="s">
        <v>164</v>
      </c>
      <c r="B5" s="18">
        <v>25984</v>
      </c>
      <c r="D5" s="46"/>
    </row>
    <row r="6" spans="1:2" ht="19.5" customHeight="1">
      <c r="A6" s="5" t="s">
        <v>166</v>
      </c>
      <c r="B6" s="18">
        <v>111787</v>
      </c>
    </row>
    <row r="7" spans="1:2" ht="19.5" customHeight="1">
      <c r="A7" s="5" t="s">
        <v>173</v>
      </c>
      <c r="B7" s="18">
        <v>90000</v>
      </c>
    </row>
    <row r="8" spans="1:6" ht="25.5" customHeight="1">
      <c r="A8" s="5" t="s">
        <v>165</v>
      </c>
      <c r="B8" s="47">
        <f>SUM(B3:B7)</f>
        <v>3171411</v>
      </c>
      <c r="F8" s="13"/>
    </row>
    <row r="9" spans="1:7" ht="19.5" customHeight="1">
      <c r="A9" s="18"/>
      <c r="B9" s="18"/>
      <c r="G9" s="13"/>
    </row>
    <row r="10" spans="1:5" ht="19.5" customHeight="1">
      <c r="A10" s="5"/>
      <c r="B10"/>
      <c r="D10" s="13"/>
      <c r="E10" s="13"/>
    </row>
    <row r="11" spans="1:2" ht="19.5" customHeight="1">
      <c r="A11" s="18"/>
      <c r="B11"/>
    </row>
    <row r="12" spans="1:2" ht="19.5" customHeight="1">
      <c r="A12" s="5"/>
      <c r="B12"/>
    </row>
    <row r="13" spans="2:4" ht="12.75">
      <c r="B13"/>
      <c r="C13" s="13"/>
      <c r="D13" s="13"/>
    </row>
    <row r="14" spans="1:3" ht="12.75">
      <c r="A14" s="3"/>
      <c r="B14"/>
      <c r="C14" s="13"/>
    </row>
    <row r="15" ht="12.75">
      <c r="D15" s="13"/>
    </row>
  </sheetData>
  <mergeCells count="1"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5"/>
  <sheetViews>
    <sheetView workbookViewId="0" topLeftCell="A16">
      <selection activeCell="A30" sqref="A30"/>
    </sheetView>
  </sheetViews>
  <sheetFormatPr defaultColWidth="9.140625" defaultRowHeight="12.75"/>
  <cols>
    <col min="1" max="1" width="16.57421875" style="8" customWidth="1"/>
    <col min="2" max="2" width="10.00390625" style="6" customWidth="1"/>
    <col min="3" max="3" width="15.28125" style="6" customWidth="1"/>
    <col min="4" max="4" width="13.28125" style="6" customWidth="1"/>
    <col min="5" max="5" width="11.57421875" style="6" customWidth="1"/>
    <col min="6" max="6" width="11.421875" style="6" customWidth="1"/>
    <col min="7" max="7" width="11.28125" style="6" customWidth="1"/>
    <col min="8" max="8" width="11.7109375" style="6" customWidth="1"/>
    <col min="9" max="9" width="10.421875" style="6" customWidth="1"/>
    <col min="10" max="10" width="10.8515625" style="6" customWidth="1"/>
    <col min="11" max="11" width="6.00390625" style="6" customWidth="1"/>
    <col min="12" max="12" width="9.57421875" style="6" customWidth="1"/>
    <col min="13" max="13" width="6.57421875" style="6" customWidth="1"/>
    <col min="14" max="16384" width="9.140625" style="8" customWidth="1"/>
  </cols>
  <sheetData>
    <row r="1" spans="1:9" ht="14.25" customHeight="1">
      <c r="A1" s="104" t="s">
        <v>24</v>
      </c>
      <c r="B1" s="104"/>
      <c r="C1" s="104"/>
      <c r="D1" s="104"/>
      <c r="E1" s="104"/>
      <c r="F1" s="104"/>
      <c r="G1" s="104"/>
      <c r="H1" s="104"/>
      <c r="I1" s="104"/>
    </row>
    <row r="2" spans="1:9" ht="12.75" customHeight="1">
      <c r="A2" s="104" t="s">
        <v>25</v>
      </c>
      <c r="B2" s="104"/>
      <c r="C2" s="104"/>
      <c r="D2" s="104"/>
      <c r="E2" s="104"/>
      <c r="F2" s="104"/>
      <c r="G2" s="104"/>
      <c r="H2" s="104"/>
      <c r="I2" s="104"/>
    </row>
    <row r="3" spans="1:9" ht="18" customHeight="1">
      <c r="A3" s="105" t="s">
        <v>37</v>
      </c>
      <c r="B3" s="105"/>
      <c r="C3" s="105"/>
      <c r="D3" s="105"/>
      <c r="E3" s="105"/>
      <c r="F3" s="105"/>
      <c r="G3" s="105"/>
      <c r="H3" s="105"/>
      <c r="I3" s="105"/>
    </row>
    <row r="4" spans="4:9" ht="20.25" customHeight="1">
      <c r="D4" s="6">
        <v>1500</v>
      </c>
      <c r="E4" s="6">
        <v>3500</v>
      </c>
      <c r="F4" s="6">
        <v>5000</v>
      </c>
      <c r="G4" s="6">
        <v>10000</v>
      </c>
      <c r="H4" s="6">
        <v>40000</v>
      </c>
      <c r="I4" s="6">
        <v>50000</v>
      </c>
    </row>
    <row r="5" spans="1:4" ht="15" customHeight="1">
      <c r="A5" s="8" t="s">
        <v>29</v>
      </c>
      <c r="B5" s="6">
        <f>13796+700+116</f>
        <v>14612</v>
      </c>
      <c r="C5" s="6">
        <f>7909935+311365+33025</f>
        <v>8254325</v>
      </c>
      <c r="D5" s="6">
        <f>C5</f>
        <v>8254325</v>
      </c>
    </row>
    <row r="6" spans="1:5" ht="15" customHeight="1">
      <c r="A6" s="8" t="s">
        <v>30</v>
      </c>
      <c r="B6" s="6">
        <f>35544+422+49</f>
        <v>36015</v>
      </c>
      <c r="C6" s="6">
        <f>113862235+1610465+122745</f>
        <v>115595445</v>
      </c>
      <c r="D6" s="6">
        <f>B5:B6*D4</f>
        <v>54022500</v>
      </c>
      <c r="E6" s="6">
        <f>C6-D6</f>
        <v>61572945</v>
      </c>
    </row>
    <row r="7" spans="1:6" ht="15" customHeight="1">
      <c r="A7" s="8" t="s">
        <v>31</v>
      </c>
      <c r="B7" s="6">
        <f>18641+354+15</f>
        <v>19010</v>
      </c>
      <c r="C7" s="6">
        <f>125887020+2522310+111050</f>
        <v>128520380</v>
      </c>
      <c r="D7" s="6">
        <f>B7*D4</f>
        <v>28515000</v>
      </c>
      <c r="E7" s="6">
        <f>B7*E4</f>
        <v>66535000</v>
      </c>
      <c r="F7" s="6">
        <f>C7-D7-E7</f>
        <v>33470380</v>
      </c>
    </row>
    <row r="8" spans="1:7" ht="15" customHeight="1">
      <c r="A8" s="8" t="s">
        <v>28</v>
      </c>
      <c r="B8" s="6">
        <f>3967+117+39</f>
        <v>4123</v>
      </c>
      <c r="C8" s="6">
        <f>52381470+1667850+552400</f>
        <v>54601720</v>
      </c>
      <c r="D8" s="6">
        <f>B8*D4</f>
        <v>6184500</v>
      </c>
      <c r="E8" s="6">
        <f>B8*E4</f>
        <v>14430500</v>
      </c>
      <c r="F8" s="6">
        <f>B8*F4</f>
        <v>20615000</v>
      </c>
      <c r="G8" s="6">
        <f>C8-D8-E8-F8</f>
        <v>13371720</v>
      </c>
    </row>
    <row r="9" spans="1:8" ht="15" customHeight="1">
      <c r="A9" s="8" t="s">
        <v>27</v>
      </c>
      <c r="B9" s="6">
        <f>1157+84+35</f>
        <v>1276</v>
      </c>
      <c r="C9" s="6">
        <f>32949480+2931780+1105170</f>
        <v>36986430</v>
      </c>
      <c r="D9" s="6">
        <f>B9*D4</f>
        <v>1914000</v>
      </c>
      <c r="E9" s="6">
        <f>B9*E4</f>
        <v>4466000</v>
      </c>
      <c r="F9" s="6">
        <f>B9*F4</f>
        <v>6380000</v>
      </c>
      <c r="G9" s="6">
        <f>B9*G4</f>
        <v>12760000</v>
      </c>
      <c r="H9" s="6">
        <f>C9-D9-E9-F9-G9</f>
        <v>11466430</v>
      </c>
    </row>
    <row r="10" spans="1:9" ht="15" customHeight="1">
      <c r="A10" s="8" t="s">
        <v>26</v>
      </c>
      <c r="B10" s="6">
        <f>327+131+39</f>
        <v>497</v>
      </c>
      <c r="C10" s="6">
        <f>89744220-18905451</f>
        <v>70838769</v>
      </c>
      <c r="D10" s="6">
        <f>B10*D4</f>
        <v>745500</v>
      </c>
      <c r="E10" s="6">
        <f>B10*E4</f>
        <v>1739500</v>
      </c>
      <c r="F10" s="6">
        <f>B10*F4</f>
        <v>2485000</v>
      </c>
      <c r="G10" s="6">
        <f>B10*G4</f>
        <v>4970000</v>
      </c>
      <c r="H10" s="6">
        <v>14910000</v>
      </c>
      <c r="I10" s="6">
        <f>C10-D10-E10-F10-G10-H10</f>
        <v>45988769</v>
      </c>
    </row>
    <row r="11" spans="1:9" ht="15" customHeight="1">
      <c r="A11" s="8" t="s">
        <v>39</v>
      </c>
      <c r="B11" s="6">
        <f aca="true" t="shared" si="0" ref="B11:I11">SUM(B5:B10)</f>
        <v>75533</v>
      </c>
      <c r="C11" s="6">
        <f t="shared" si="0"/>
        <v>414797069</v>
      </c>
      <c r="D11" s="6">
        <f t="shared" si="0"/>
        <v>99635825</v>
      </c>
      <c r="E11" s="6">
        <f t="shared" si="0"/>
        <v>148743945</v>
      </c>
      <c r="F11" s="6">
        <f t="shared" si="0"/>
        <v>62950380</v>
      </c>
      <c r="G11" s="6">
        <f t="shared" si="0"/>
        <v>31101720</v>
      </c>
      <c r="H11" s="6">
        <f t="shared" si="0"/>
        <v>26376430</v>
      </c>
      <c r="I11" s="6">
        <f t="shared" si="0"/>
        <v>45988769</v>
      </c>
    </row>
    <row r="12" ht="15" customHeight="1">
      <c r="A12" s="8" t="s">
        <v>36</v>
      </c>
    </row>
    <row r="13" ht="15" customHeight="1">
      <c r="A13" s="8" t="s">
        <v>38</v>
      </c>
    </row>
    <row r="14" spans="1:9" ht="14.25" customHeight="1">
      <c r="A14" s="104" t="s">
        <v>40</v>
      </c>
      <c r="B14" s="104"/>
      <c r="C14" s="104"/>
      <c r="D14" s="104"/>
      <c r="E14" s="104"/>
      <c r="F14" s="104"/>
      <c r="G14" s="104"/>
      <c r="H14" s="104"/>
      <c r="I14" s="104"/>
    </row>
    <row r="15" spans="2:5" ht="24.75" customHeight="1">
      <c r="B15" s="6" t="s">
        <v>32</v>
      </c>
      <c r="C15" s="6" t="s">
        <v>33</v>
      </c>
      <c r="D15" s="6" t="s">
        <v>34</v>
      </c>
      <c r="E15" s="6" t="s">
        <v>35</v>
      </c>
    </row>
    <row r="16" spans="1:7" ht="15" customHeight="1">
      <c r="A16" s="8" t="s">
        <v>29</v>
      </c>
      <c r="B16" s="6">
        <f>13796+700+116</f>
        <v>14612</v>
      </c>
      <c r="C16" s="6">
        <f>D11</f>
        <v>99635825</v>
      </c>
      <c r="D16" s="12">
        <v>16</v>
      </c>
      <c r="E16" s="11">
        <f>B22*D16</f>
        <v>1208528</v>
      </c>
      <c r="G16" s="10"/>
    </row>
    <row r="17" spans="1:7" ht="15" customHeight="1">
      <c r="A17" s="8" t="s">
        <v>30</v>
      </c>
      <c r="B17" s="6">
        <f>35544+422+49</f>
        <v>36015</v>
      </c>
      <c r="C17" s="6">
        <f>E11</f>
        <v>148743945</v>
      </c>
      <c r="D17" s="10">
        <v>5.75</v>
      </c>
      <c r="E17" s="6">
        <f>SUM(C17*D17)/1000</f>
        <v>855277.68375</v>
      </c>
      <c r="G17" s="10"/>
    </row>
    <row r="18" spans="1:7" ht="15" customHeight="1">
      <c r="A18" s="8" t="s">
        <v>31</v>
      </c>
      <c r="B18" s="6">
        <f>18641+354+15</f>
        <v>19010</v>
      </c>
      <c r="C18" s="6">
        <f>F11</f>
        <v>62950380</v>
      </c>
      <c r="D18" s="10">
        <v>5.25</v>
      </c>
      <c r="E18" s="6">
        <f>SUM(C18*D18)/1000</f>
        <v>330489.495</v>
      </c>
      <c r="G18" s="10"/>
    </row>
    <row r="19" spans="1:5" ht="15" customHeight="1">
      <c r="A19" s="8" t="s">
        <v>28</v>
      </c>
      <c r="B19" s="6">
        <f>3967+117+39</f>
        <v>4123</v>
      </c>
      <c r="C19" s="6">
        <f>G11</f>
        <v>31101720</v>
      </c>
      <c r="D19" s="10">
        <v>4.25</v>
      </c>
      <c r="E19" s="6">
        <f>SUM(C19*D19)/1000</f>
        <v>132182.31</v>
      </c>
    </row>
    <row r="20" spans="1:8" ht="15" customHeight="1">
      <c r="A20" s="8" t="s">
        <v>27</v>
      </c>
      <c r="B20" s="6">
        <f>1157+84+35</f>
        <v>1276</v>
      </c>
      <c r="C20" s="6">
        <f>H11</f>
        <v>26376430</v>
      </c>
      <c r="D20" s="10">
        <v>3.25</v>
      </c>
      <c r="E20" s="6">
        <f>SUM(C20*D20)/1000</f>
        <v>85723.3975</v>
      </c>
      <c r="H20" s="10"/>
    </row>
    <row r="21" spans="1:5" ht="15" customHeight="1">
      <c r="A21" s="8" t="s">
        <v>26</v>
      </c>
      <c r="B21" s="6">
        <f>327+131+39</f>
        <v>497</v>
      </c>
      <c r="C21" s="6">
        <f>I11</f>
        <v>45988769</v>
      </c>
      <c r="D21" s="10">
        <v>2.2</v>
      </c>
      <c r="E21" s="6">
        <f>SUM(C21*D21)/1000</f>
        <v>101175.2918</v>
      </c>
    </row>
    <row r="22" spans="1:8" ht="15" customHeight="1">
      <c r="A22" s="8" t="s">
        <v>222</v>
      </c>
      <c r="B22" s="6">
        <f>SUM(B16:B21)</f>
        <v>75533</v>
      </c>
      <c r="C22" s="6">
        <f>SUM(C16:C21)</f>
        <v>414797069</v>
      </c>
      <c r="D22" s="10"/>
      <c r="E22" s="11">
        <f>SUM(E16:E21)</f>
        <v>2713376.17805</v>
      </c>
      <c r="H22" s="10"/>
    </row>
    <row r="23" spans="1:5" ht="15" customHeight="1">
      <c r="A23" s="8" t="s">
        <v>36</v>
      </c>
      <c r="C23" s="6">
        <v>97490450</v>
      </c>
      <c r="D23" s="10">
        <v>2.2</v>
      </c>
      <c r="E23" s="11">
        <f>SUM(C23*D23)/1000</f>
        <v>214478.99000000002</v>
      </c>
    </row>
    <row r="24" spans="1:5" ht="15.75" customHeight="1">
      <c r="A24" s="8" t="s">
        <v>41</v>
      </c>
      <c r="D24" s="10"/>
      <c r="E24" s="11">
        <f>E22+E23</f>
        <v>2927855.1680500004</v>
      </c>
    </row>
    <row r="25" spans="1:5" ht="15" customHeight="1">
      <c r="A25" s="99" t="s">
        <v>261</v>
      </c>
      <c r="D25" s="10"/>
      <c r="E25" s="6">
        <f>-48341</f>
        <v>-48341</v>
      </c>
    </row>
    <row r="26" spans="1:5" ht="15" customHeight="1">
      <c r="A26" s="99" t="s">
        <v>257</v>
      </c>
      <c r="D26" s="10"/>
      <c r="E26" s="6">
        <f>-10900</f>
        <v>-10900</v>
      </c>
    </row>
    <row r="27" spans="1:5" ht="15" customHeight="1">
      <c r="A27" s="93" t="s">
        <v>256</v>
      </c>
      <c r="D27" s="10"/>
      <c r="E27" s="11">
        <f>E24+E25+E26</f>
        <v>2868614.1680500004</v>
      </c>
    </row>
    <row r="28" spans="1:4" ht="15" customHeight="1">
      <c r="A28" s="8" t="s">
        <v>264</v>
      </c>
      <c r="D28" s="10"/>
    </row>
    <row r="29" spans="1:13" ht="15" customHeight="1">
      <c r="A29" s="8" t="s">
        <v>262</v>
      </c>
      <c r="L29" s="6">
        <v>320970</v>
      </c>
      <c r="M29" s="6">
        <v>5</v>
      </c>
    </row>
    <row r="30" spans="1:13" ht="15" customHeight="1">
      <c r="A30" s="8" t="s">
        <v>265</v>
      </c>
      <c r="L30" s="6">
        <v>545980</v>
      </c>
      <c r="M30" s="6">
        <v>6</v>
      </c>
    </row>
    <row r="31" spans="12:13" ht="15" customHeight="1">
      <c r="L31" s="6">
        <v>498520</v>
      </c>
      <c r="M31" s="6">
        <v>5</v>
      </c>
    </row>
    <row r="32" spans="12:13" ht="15" customHeight="1">
      <c r="L32" s="6">
        <v>282360</v>
      </c>
      <c r="M32" s="6">
        <v>8</v>
      </c>
    </row>
    <row r="33" spans="12:13" ht="15" customHeight="1">
      <c r="L33" s="6">
        <v>401450</v>
      </c>
      <c r="M33" s="6">
        <v>6</v>
      </c>
    </row>
    <row r="34" spans="12:13" ht="15" customHeight="1">
      <c r="L34" s="6">
        <v>351610</v>
      </c>
      <c r="M34" s="6">
        <v>5</v>
      </c>
    </row>
    <row r="35" spans="12:13" ht="15" customHeight="1">
      <c r="L35" s="6">
        <v>478070</v>
      </c>
      <c r="M35" s="6">
        <v>8</v>
      </c>
    </row>
    <row r="36" spans="12:13" ht="15" customHeight="1">
      <c r="L36" s="6">
        <v>301350</v>
      </c>
      <c r="M36" s="6">
        <v>1</v>
      </c>
    </row>
    <row r="37" spans="12:13" ht="15" customHeight="1">
      <c r="L37" s="6">
        <v>307960</v>
      </c>
      <c r="M37" s="6">
        <v>6</v>
      </c>
    </row>
    <row r="38" spans="12:13" ht="15" customHeight="1">
      <c r="L38" s="6">
        <v>500510</v>
      </c>
      <c r="M38" s="6">
        <v>2</v>
      </c>
    </row>
    <row r="39" spans="12:13" ht="11.25">
      <c r="L39" s="6">
        <v>253680</v>
      </c>
      <c r="M39" s="6">
        <v>5</v>
      </c>
    </row>
    <row r="40" spans="12:13" ht="11.25">
      <c r="L40" s="6">
        <v>385550</v>
      </c>
      <c r="M40" s="6">
        <v>1</v>
      </c>
    </row>
    <row r="41" spans="12:13" ht="11.25">
      <c r="L41" s="6">
        <v>196390</v>
      </c>
      <c r="M41" s="6">
        <v>3</v>
      </c>
    </row>
    <row r="42" spans="12:13" ht="11.25">
      <c r="L42" s="6">
        <v>331690</v>
      </c>
      <c r="M42" s="6">
        <v>3</v>
      </c>
    </row>
    <row r="43" spans="12:13" ht="11.25">
      <c r="L43" s="6">
        <v>472930</v>
      </c>
      <c r="M43" s="6">
        <v>3</v>
      </c>
    </row>
    <row r="44" spans="12:13" ht="11.25">
      <c r="L44" s="6">
        <v>548840</v>
      </c>
      <c r="M44" s="6">
        <v>6</v>
      </c>
    </row>
    <row r="45" spans="12:13" ht="11.25">
      <c r="L45" s="6">
        <v>278070</v>
      </c>
      <c r="M45" s="6">
        <v>3</v>
      </c>
    </row>
    <row r="46" spans="12:13" ht="11.25">
      <c r="L46" s="6">
        <v>70200</v>
      </c>
      <c r="M46" s="6">
        <v>1</v>
      </c>
    </row>
    <row r="47" spans="12:13" ht="11.25">
      <c r="L47" s="6">
        <v>357080</v>
      </c>
      <c r="M47" s="6">
        <v>1</v>
      </c>
    </row>
    <row r="48" spans="12:13" ht="11.25">
      <c r="L48" s="6">
        <v>435370</v>
      </c>
      <c r="M48" s="6">
        <v>1</v>
      </c>
    </row>
    <row r="49" spans="12:13" ht="11.25">
      <c r="L49" s="6">
        <v>367970</v>
      </c>
      <c r="M49" s="6">
        <v>1</v>
      </c>
    </row>
    <row r="50" spans="12:13" ht="11.25">
      <c r="L50" s="6">
        <v>149180</v>
      </c>
      <c r="M50" s="6">
        <v>1</v>
      </c>
    </row>
    <row r="51" spans="12:13" ht="11.25">
      <c r="L51" s="6">
        <v>151580</v>
      </c>
      <c r="M51" s="6">
        <v>2</v>
      </c>
    </row>
    <row r="52" spans="12:13" ht="11.25">
      <c r="L52" s="6">
        <v>382140</v>
      </c>
      <c r="M52" s="6">
        <v>1</v>
      </c>
    </row>
    <row r="53" spans="12:13" ht="11.25">
      <c r="L53" s="6">
        <v>155720</v>
      </c>
      <c r="M53" s="6">
        <v>1</v>
      </c>
    </row>
    <row r="54" spans="12:13" ht="11.25">
      <c r="L54" s="6">
        <v>78020</v>
      </c>
      <c r="M54" s="6">
        <v>1</v>
      </c>
    </row>
    <row r="55" spans="12:13" ht="11.25">
      <c r="L55" s="6">
        <v>79190</v>
      </c>
      <c r="M55" s="6">
        <v>4</v>
      </c>
    </row>
    <row r="56" spans="12:13" ht="11.25">
      <c r="L56" s="6">
        <v>241900</v>
      </c>
      <c r="M56" s="6">
        <v>1</v>
      </c>
    </row>
    <row r="57" spans="12:13" ht="11.25">
      <c r="L57" s="6">
        <v>569940</v>
      </c>
      <c r="M57" s="6">
        <v>2</v>
      </c>
    </row>
    <row r="58" spans="12:13" ht="11.25">
      <c r="L58" s="6">
        <v>247270</v>
      </c>
      <c r="M58" s="6">
        <v>1</v>
      </c>
    </row>
    <row r="59" spans="12:13" ht="11.25">
      <c r="L59" s="6">
        <v>584140</v>
      </c>
      <c r="M59" s="6">
        <v>1</v>
      </c>
    </row>
    <row r="60" spans="12:13" ht="11.25">
      <c r="L60" s="6">
        <v>254190</v>
      </c>
      <c r="M60" s="6">
        <v>1</v>
      </c>
    </row>
    <row r="61" spans="12:13" ht="11.25">
      <c r="L61" s="6">
        <v>170870</v>
      </c>
      <c r="M61" s="6">
        <v>1</v>
      </c>
    </row>
    <row r="62" spans="12:13" ht="11.25">
      <c r="L62" s="6">
        <v>525710</v>
      </c>
      <c r="M62" s="6">
        <v>5</v>
      </c>
    </row>
    <row r="63" spans="12:13" ht="11.25">
      <c r="L63" s="6">
        <v>177830</v>
      </c>
      <c r="M63" s="6">
        <v>6</v>
      </c>
    </row>
    <row r="64" spans="12:13" ht="11.25">
      <c r="L64" s="6">
        <v>268960</v>
      </c>
      <c r="M64" s="6">
        <v>9</v>
      </c>
    </row>
    <row r="65" spans="12:13" ht="11.25">
      <c r="L65" s="6">
        <v>90260</v>
      </c>
      <c r="M65" s="6">
        <v>7</v>
      </c>
    </row>
    <row r="66" spans="12:13" ht="11.25">
      <c r="L66" s="6">
        <v>91700</v>
      </c>
      <c r="M66" s="6">
        <v>8</v>
      </c>
    </row>
    <row r="67" spans="12:13" ht="11.25">
      <c r="L67" s="6">
        <v>369170</v>
      </c>
      <c r="M67" s="6">
        <v>5</v>
      </c>
    </row>
    <row r="68" spans="12:13" ht="11.25">
      <c r="L68" s="6">
        <v>93930</v>
      </c>
      <c r="M68" s="6">
        <v>4</v>
      </c>
    </row>
    <row r="69" spans="12:13" ht="11.25">
      <c r="L69" s="6">
        <v>377530</v>
      </c>
      <c r="M69" s="6">
        <v>3</v>
      </c>
    </row>
    <row r="70" spans="12:13" ht="11.25">
      <c r="L70" s="6">
        <v>95840</v>
      </c>
      <c r="M70" s="6">
        <v>7</v>
      </c>
    </row>
    <row r="71" spans="12:13" ht="11.25">
      <c r="L71" s="6">
        <v>192740</v>
      </c>
      <c r="M71" s="6">
        <v>4</v>
      </c>
    </row>
    <row r="72" spans="12:13" ht="11.25">
      <c r="L72" s="6">
        <v>97260</v>
      </c>
      <c r="M72" s="6">
        <v>5</v>
      </c>
    </row>
    <row r="73" spans="12:13" ht="11.25">
      <c r="L73" s="6">
        <v>394270</v>
      </c>
      <c r="M73" s="6">
        <v>5</v>
      </c>
    </row>
    <row r="74" spans="12:13" ht="11.25">
      <c r="L74" s="6">
        <v>99700</v>
      </c>
      <c r="M74" s="6">
        <v>2</v>
      </c>
    </row>
    <row r="75" spans="12:13" ht="11.25">
      <c r="L75" s="6">
        <v>302140</v>
      </c>
      <c r="M75" s="6">
        <v>2</v>
      </c>
    </row>
    <row r="76" spans="12:13" ht="11.25">
      <c r="L76" s="6">
        <v>203650</v>
      </c>
      <c r="M76" s="6">
        <v>1</v>
      </c>
    </row>
    <row r="77" spans="12:13" ht="11.25">
      <c r="L77" s="6">
        <v>102800</v>
      </c>
      <c r="M77" s="6">
        <v>7</v>
      </c>
    </row>
    <row r="78" spans="12:13" ht="11.25">
      <c r="L78" s="6">
        <v>103770</v>
      </c>
      <c r="M78" s="6">
        <v>7</v>
      </c>
    </row>
    <row r="79" spans="12:13" ht="11.25">
      <c r="L79" s="6">
        <v>316930</v>
      </c>
      <c r="M79" s="6">
        <v>2</v>
      </c>
    </row>
    <row r="80" spans="12:13" ht="11.25">
      <c r="L80" s="6">
        <v>106300</v>
      </c>
      <c r="M80" s="6">
        <v>2</v>
      </c>
    </row>
    <row r="81" spans="12:13" ht="11.25">
      <c r="L81" s="6">
        <v>429470</v>
      </c>
      <c r="M81" s="6">
        <v>1</v>
      </c>
    </row>
    <row r="82" spans="12:13" ht="11.25">
      <c r="L82" s="6">
        <v>111720</v>
      </c>
      <c r="M82" s="6">
        <v>4</v>
      </c>
    </row>
    <row r="83" spans="12:13" ht="11.25">
      <c r="L83" s="6">
        <v>227310</v>
      </c>
      <c r="M83" s="6">
        <v>4</v>
      </c>
    </row>
    <row r="84" spans="12:13" ht="11.25">
      <c r="L84" s="6">
        <v>458760</v>
      </c>
      <c r="M84" s="6">
        <v>2</v>
      </c>
    </row>
    <row r="85" spans="12:13" ht="11.25">
      <c r="L85" s="6">
        <v>231030</v>
      </c>
      <c r="M85" s="6">
        <v>4</v>
      </c>
    </row>
    <row r="86" spans="12:13" ht="11.25">
      <c r="L86" s="6">
        <v>117960</v>
      </c>
      <c r="M86" s="6">
        <v>3</v>
      </c>
    </row>
    <row r="87" spans="12:13" ht="11.25">
      <c r="L87" s="6">
        <v>118420</v>
      </c>
      <c r="M87" s="6">
        <v>1</v>
      </c>
    </row>
    <row r="88" spans="12:13" ht="11.25">
      <c r="L88" s="6">
        <v>241310</v>
      </c>
      <c r="M88" s="6">
        <v>3</v>
      </c>
    </row>
    <row r="89" spans="12:13" ht="11.25">
      <c r="L89" s="6">
        <v>245290</v>
      </c>
      <c r="M89" s="6">
        <v>4</v>
      </c>
    </row>
    <row r="90" spans="12:13" ht="11.25">
      <c r="L90" s="6">
        <v>123800</v>
      </c>
      <c r="M90" s="6">
        <v>2</v>
      </c>
    </row>
    <row r="91" spans="12:13" ht="11.25">
      <c r="L91" s="6">
        <v>124830</v>
      </c>
      <c r="M91" s="6">
        <v>2</v>
      </c>
    </row>
    <row r="92" spans="12:13" ht="11.25">
      <c r="L92" s="6">
        <v>125770</v>
      </c>
      <c r="M92" s="6">
        <v>1</v>
      </c>
    </row>
    <row r="93" spans="12:13" ht="11.25">
      <c r="L93" s="6">
        <v>126350</v>
      </c>
      <c r="M93" s="6">
        <v>2</v>
      </c>
    </row>
    <row r="94" spans="12:13" ht="11.25">
      <c r="L94" s="6">
        <v>129010</v>
      </c>
      <c r="M94" s="6">
        <v>1</v>
      </c>
    </row>
    <row r="95" spans="12:13" ht="11.25">
      <c r="L95" s="6">
        <v>133250</v>
      </c>
      <c r="M95" s="6">
        <v>1</v>
      </c>
    </row>
    <row r="96" spans="12:13" ht="11.25">
      <c r="L96" s="6">
        <v>135730</v>
      </c>
      <c r="M96" s="6">
        <v>1</v>
      </c>
    </row>
    <row r="97" spans="12:13" ht="11.25">
      <c r="L97" s="6">
        <v>136750</v>
      </c>
      <c r="M97" s="6">
        <v>1</v>
      </c>
    </row>
    <row r="98" spans="12:13" ht="11.25">
      <c r="L98" s="6">
        <v>275240</v>
      </c>
      <c r="M98" s="6">
        <v>14</v>
      </c>
    </row>
    <row r="99" spans="12:13" ht="11.25">
      <c r="L99" s="6">
        <v>142390</v>
      </c>
      <c r="M99" s="6">
        <v>7</v>
      </c>
    </row>
    <row r="100" spans="12:13" ht="11.25">
      <c r="L100" s="6">
        <v>147330</v>
      </c>
      <c r="M100" s="6">
        <v>6</v>
      </c>
    </row>
    <row r="101" spans="12:13" ht="11.25">
      <c r="L101" s="6">
        <v>148040</v>
      </c>
      <c r="M101" s="6">
        <v>9</v>
      </c>
    </row>
    <row r="102" spans="12:13" ht="11.25">
      <c r="L102" s="6">
        <v>149700</v>
      </c>
      <c r="M102" s="6">
        <v>28</v>
      </c>
    </row>
    <row r="103" spans="12:13" ht="11.25">
      <c r="L103" s="6">
        <v>150260</v>
      </c>
      <c r="M103" s="6">
        <v>4</v>
      </c>
    </row>
    <row r="104" ht="11.25">
      <c r="L104" s="6">
        <v>154840</v>
      </c>
    </row>
    <row r="105" ht="11.25">
      <c r="L105" s="6">
        <v>156940</v>
      </c>
    </row>
    <row r="106" ht="11.25">
      <c r="L106" s="6">
        <v>157510</v>
      </c>
    </row>
    <row r="107" ht="11.25">
      <c r="L107" s="6">
        <v>158060</v>
      </c>
    </row>
    <row r="108" ht="11.25">
      <c r="L108" s="6">
        <v>160960</v>
      </c>
    </row>
    <row r="109" ht="11.25">
      <c r="L109" s="6">
        <v>162990</v>
      </c>
    </row>
    <row r="110" ht="11.25">
      <c r="L110" s="6">
        <v>167960</v>
      </c>
    </row>
    <row r="111" ht="11.25">
      <c r="L111" s="6">
        <v>171940</v>
      </c>
    </row>
    <row r="112" ht="11.25">
      <c r="L112" s="6">
        <v>173070</v>
      </c>
    </row>
    <row r="113" ht="11.25">
      <c r="L113" s="6">
        <v>175940</v>
      </c>
    </row>
    <row r="114" ht="11.25">
      <c r="L114" s="6">
        <v>180610</v>
      </c>
    </row>
    <row r="115" ht="11.25">
      <c r="L115" s="6">
        <v>182170</v>
      </c>
    </row>
    <row r="116" ht="11.25">
      <c r="L116" s="6">
        <v>185010</v>
      </c>
    </row>
    <row r="117" ht="11.25">
      <c r="L117" s="6">
        <v>194900</v>
      </c>
    </row>
    <row r="118" ht="11.25">
      <c r="L118" s="6">
        <v>198130</v>
      </c>
    </row>
    <row r="119" ht="11.25">
      <c r="L119" s="6">
        <v>200440</v>
      </c>
    </row>
    <row r="120" ht="11.25">
      <c r="L120" s="6">
        <v>212330</v>
      </c>
    </row>
    <row r="121" ht="11.25">
      <c r="L121" s="6">
        <v>213170</v>
      </c>
    </row>
    <row r="122" ht="11.25">
      <c r="L122" s="6">
        <v>216820</v>
      </c>
    </row>
    <row r="123" ht="11.25">
      <c r="L123" s="6">
        <v>226270</v>
      </c>
    </row>
    <row r="124" ht="11.25">
      <c r="L124" s="6">
        <v>696450</v>
      </c>
    </row>
    <row r="125" ht="11.25">
      <c r="L125" s="6">
        <v>236870</v>
      </c>
    </row>
    <row r="126" ht="11.25">
      <c r="L126" s="6">
        <v>238940</v>
      </c>
    </row>
    <row r="127" ht="11.25">
      <c r="L127" s="6">
        <v>239520</v>
      </c>
    </row>
    <row r="128" ht="11.25">
      <c r="L128" s="6">
        <v>240460</v>
      </c>
    </row>
    <row r="129" ht="11.25">
      <c r="L129" s="6">
        <v>252400</v>
      </c>
    </row>
    <row r="130" ht="11.25">
      <c r="L130" s="6">
        <v>257000</v>
      </c>
    </row>
    <row r="131" ht="11.25">
      <c r="L131" s="6">
        <v>269970</v>
      </c>
    </row>
    <row r="132" ht="11.25">
      <c r="L132" s="6">
        <v>275130</v>
      </c>
    </row>
    <row r="133" ht="11.25">
      <c r="L133" s="6">
        <v>277910</v>
      </c>
    </row>
    <row r="134" ht="11.25">
      <c r="L134" s="6">
        <v>1692900</v>
      </c>
    </row>
    <row r="135" ht="11.25">
      <c r="L135" s="6">
        <v>288360</v>
      </c>
    </row>
    <row r="136" ht="11.25">
      <c r="L136" s="6">
        <v>322360</v>
      </c>
    </row>
    <row r="137" ht="11.25">
      <c r="L137" s="6">
        <v>365900</v>
      </c>
    </row>
    <row r="138" ht="11.25">
      <c r="L138" s="6">
        <v>368210</v>
      </c>
    </row>
    <row r="140" ht="11.25">
      <c r="L140" s="6">
        <v>383870</v>
      </c>
    </row>
    <row r="141" ht="11.25">
      <c r="L141" s="6">
        <v>397120</v>
      </c>
    </row>
    <row r="142" ht="11.25">
      <c r="L142" s="6">
        <v>417670</v>
      </c>
    </row>
    <row r="143" ht="11.25">
      <c r="L143" s="6">
        <v>419040</v>
      </c>
    </row>
    <row r="144" ht="11.25">
      <c r="L144" s="6">
        <v>846370</v>
      </c>
    </row>
    <row r="145" ht="11.25">
      <c r="L145" s="6">
        <v>443840</v>
      </c>
    </row>
    <row r="146" ht="11.25">
      <c r="L146" s="6">
        <v>472400</v>
      </c>
    </row>
    <row r="147" ht="11.25">
      <c r="L147" s="6">
        <v>483000</v>
      </c>
    </row>
    <row r="148" ht="11.25">
      <c r="L148" s="6">
        <v>489140</v>
      </c>
    </row>
    <row r="149" ht="11.25">
      <c r="L149" s="6">
        <v>506730</v>
      </c>
    </row>
    <row r="150" ht="11.25">
      <c r="L150" s="6">
        <v>523810</v>
      </c>
    </row>
    <row r="151" ht="11.25">
      <c r="L151" s="6">
        <v>540030</v>
      </c>
    </row>
    <row r="152" ht="11.25">
      <c r="L152" s="6">
        <v>677520</v>
      </c>
    </row>
    <row r="153" ht="11.25">
      <c r="L153" s="6">
        <v>976460</v>
      </c>
    </row>
    <row r="154" spans="12:14" ht="11.25">
      <c r="L154" s="6">
        <v>21179480</v>
      </c>
      <c r="N154" s="7" t="e">
        <f>#REF!-#REF!</f>
        <v>#REF!</v>
      </c>
    </row>
    <row r="155" spans="2:13" ht="11.25">
      <c r="B155" s="6">
        <f aca="true" t="shared" si="1" ref="B155:M155">SUM(B29:B154)</f>
        <v>0</v>
      </c>
      <c r="C155" s="6">
        <f t="shared" si="1"/>
        <v>0</v>
      </c>
      <c r="D155" s="6">
        <f t="shared" si="1"/>
        <v>0</v>
      </c>
      <c r="E155" s="6">
        <f t="shared" si="1"/>
        <v>0</v>
      </c>
      <c r="F155" s="6">
        <f t="shared" si="1"/>
        <v>0</v>
      </c>
      <c r="G155" s="6">
        <f t="shared" si="1"/>
        <v>0</v>
      </c>
      <c r="H155" s="6">
        <f t="shared" si="1"/>
        <v>0</v>
      </c>
      <c r="I155" s="6">
        <f t="shared" si="1"/>
        <v>0</v>
      </c>
      <c r="J155" s="6">
        <f t="shared" si="1"/>
        <v>0</v>
      </c>
      <c r="K155" s="6">
        <f t="shared" si="1"/>
        <v>0</v>
      </c>
      <c r="L155" s="6">
        <f t="shared" si="1"/>
        <v>57419820</v>
      </c>
      <c r="M155" s="6">
        <f t="shared" si="1"/>
        <v>293</v>
      </c>
    </row>
    <row r="156" ht="11.25">
      <c r="N156" s="8">
        <f>6310-6267</f>
        <v>43</v>
      </c>
    </row>
    <row r="157" spans="2:5" ht="11.25">
      <c r="B157" s="6" t="s">
        <v>21</v>
      </c>
      <c r="D157" s="6">
        <f>B155+D155+F155+H155+J155+L155</f>
        <v>57419820</v>
      </c>
      <c r="E157" s="6">
        <f>E155+G155+I155+K155+M155+C155</f>
        <v>293</v>
      </c>
    </row>
    <row r="159" spans="4:5" ht="11.25">
      <c r="D159" s="6">
        <f>391883110-D157</f>
        <v>334463290</v>
      </c>
      <c r="E159" s="6">
        <f>73431-E157</f>
        <v>73138</v>
      </c>
    </row>
    <row r="161" spans="2:12" ht="11.25">
      <c r="B161" s="6">
        <v>1500</v>
      </c>
      <c r="D161" s="6" t="s">
        <v>17</v>
      </c>
      <c r="F161" s="6" t="s">
        <v>18</v>
      </c>
      <c r="H161" s="6" t="s">
        <v>19</v>
      </c>
      <c r="J161" s="6" t="s">
        <v>20</v>
      </c>
      <c r="L161" s="6">
        <v>50001</v>
      </c>
    </row>
    <row r="164" ht="11.25">
      <c r="B164" s="9" t="s">
        <v>22</v>
      </c>
    </row>
    <row r="165" spans="2:13" ht="11.25">
      <c r="B165" s="6">
        <v>134040</v>
      </c>
      <c r="C165" s="6">
        <v>450</v>
      </c>
      <c r="D165" s="6">
        <f>354650/2</f>
        <v>177325</v>
      </c>
      <c r="F165" s="6">
        <v>433700</v>
      </c>
      <c r="G165" s="6">
        <v>79</v>
      </c>
      <c r="H165" s="6">
        <v>188810</v>
      </c>
      <c r="I165" s="6">
        <v>18</v>
      </c>
      <c r="J165" s="6">
        <v>122600</v>
      </c>
      <c r="K165" s="6">
        <v>6</v>
      </c>
      <c r="L165" s="6">
        <v>101030</v>
      </c>
      <c r="M165" s="6">
        <v>2</v>
      </c>
    </row>
    <row r="166" spans="2:13" ht="11.25">
      <c r="B166" s="6">
        <f>354650/2</f>
        <v>177325</v>
      </c>
      <c r="C166" s="6">
        <v>250</v>
      </c>
      <c r="D166" s="6">
        <v>393750</v>
      </c>
      <c r="E166" s="6">
        <v>157</v>
      </c>
      <c r="F166" s="6">
        <v>651900</v>
      </c>
      <c r="G166" s="6">
        <v>100</v>
      </c>
      <c r="H166" s="6">
        <v>214710</v>
      </c>
      <c r="I166" s="6">
        <v>17</v>
      </c>
      <c r="J166" s="6">
        <v>113450</v>
      </c>
      <c r="K166" s="6">
        <v>5</v>
      </c>
      <c r="L166" s="6">
        <v>103960</v>
      </c>
      <c r="M166" s="6">
        <v>2</v>
      </c>
    </row>
    <row r="167" spans="2:13" ht="11.25">
      <c r="B167" s="10"/>
      <c r="D167" s="6">
        <v>501490</v>
      </c>
      <c r="E167" s="6">
        <v>144</v>
      </c>
      <c r="F167" s="6">
        <v>626530</v>
      </c>
      <c r="G167" s="6">
        <v>84</v>
      </c>
      <c r="H167" s="6">
        <v>231180</v>
      </c>
      <c r="I167" s="6">
        <v>16</v>
      </c>
      <c r="J167" s="6">
        <v>24700</v>
      </c>
      <c r="K167" s="6">
        <v>1</v>
      </c>
      <c r="L167" s="6">
        <v>107850</v>
      </c>
      <c r="M167" s="6">
        <v>4</v>
      </c>
    </row>
    <row r="168" spans="3:13" ht="11.25">
      <c r="C168" s="10"/>
      <c r="D168" s="6">
        <v>537900</v>
      </c>
      <c r="E168" s="6">
        <v>121</v>
      </c>
      <c r="F168" s="6">
        <v>438580</v>
      </c>
      <c r="G168" s="6">
        <v>52</v>
      </c>
      <c r="H168" s="6">
        <v>164320</v>
      </c>
      <c r="I168" s="6">
        <v>10</v>
      </c>
      <c r="J168" s="6">
        <v>79080</v>
      </c>
      <c r="K168" s="6">
        <v>3</v>
      </c>
      <c r="L168" s="6">
        <v>226920</v>
      </c>
      <c r="M168" s="6">
        <v>4</v>
      </c>
    </row>
    <row r="169" spans="3:13" ht="11.25">
      <c r="C169" s="10"/>
      <c r="F169" s="6">
        <v>371600</v>
      </c>
      <c r="G169" s="6">
        <v>39</v>
      </c>
      <c r="H169" s="6">
        <v>130150</v>
      </c>
      <c r="I169" s="6">
        <v>7</v>
      </c>
      <c r="J169" s="6">
        <v>184290</v>
      </c>
      <c r="K169" s="6">
        <v>6</v>
      </c>
      <c r="L169" s="6">
        <v>242410</v>
      </c>
      <c r="M169" s="6">
        <v>1</v>
      </c>
    </row>
    <row r="170" spans="8:13" ht="11.25">
      <c r="H170" s="6">
        <v>137240</v>
      </c>
      <c r="I170" s="6">
        <v>12</v>
      </c>
      <c r="J170" s="6">
        <v>96470</v>
      </c>
      <c r="K170" s="6">
        <v>3</v>
      </c>
      <c r="L170" s="6">
        <v>64000</v>
      </c>
      <c r="M170" s="6">
        <v>5</v>
      </c>
    </row>
    <row r="171" spans="8:13" ht="11.25">
      <c r="H171" s="6">
        <v>149400</v>
      </c>
      <c r="I171" s="6">
        <v>11</v>
      </c>
      <c r="J171" s="6">
        <v>138040</v>
      </c>
      <c r="K171" s="6">
        <v>4</v>
      </c>
      <c r="L171" s="6">
        <v>262980</v>
      </c>
      <c r="M171" s="6">
        <v>2</v>
      </c>
    </row>
    <row r="172" spans="8:13" ht="11.25">
      <c r="H172" s="6">
        <v>124750</v>
      </c>
      <c r="I172" s="6">
        <v>8</v>
      </c>
      <c r="J172" s="6">
        <v>73350</v>
      </c>
      <c r="K172" s="6">
        <v>2</v>
      </c>
      <c r="L172" s="6">
        <v>109840</v>
      </c>
      <c r="M172" s="6">
        <v>1</v>
      </c>
    </row>
    <row r="173" spans="8:13" ht="11.25">
      <c r="H173" s="6">
        <v>210200</v>
      </c>
      <c r="I173" s="6">
        <v>12</v>
      </c>
      <c r="J173" s="6">
        <v>153920</v>
      </c>
      <c r="K173" s="6">
        <v>4</v>
      </c>
      <c r="L173" s="6">
        <v>57400</v>
      </c>
      <c r="M173" s="6">
        <v>1</v>
      </c>
    </row>
    <row r="174" spans="8:13" ht="11.25">
      <c r="H174" s="6">
        <v>117090</v>
      </c>
      <c r="I174" s="6">
        <v>6</v>
      </c>
      <c r="J174" s="6">
        <v>124410</v>
      </c>
      <c r="K174" s="6">
        <v>3</v>
      </c>
      <c r="L174" s="6">
        <v>61250</v>
      </c>
      <c r="M174" s="6">
        <v>1</v>
      </c>
    </row>
    <row r="175" spans="10:13" ht="11.25">
      <c r="J175" s="6">
        <v>130630</v>
      </c>
      <c r="K175" s="6">
        <v>3</v>
      </c>
      <c r="L175" s="6">
        <v>64130</v>
      </c>
      <c r="M175" s="6">
        <v>1</v>
      </c>
    </row>
    <row r="176" spans="10:13" ht="11.25">
      <c r="J176" s="6">
        <v>227850</v>
      </c>
      <c r="K176" s="6">
        <v>5</v>
      </c>
      <c r="L176" s="6">
        <v>66000</v>
      </c>
      <c r="M176" s="6">
        <v>2</v>
      </c>
    </row>
    <row r="177" spans="10:13" ht="11.25">
      <c r="J177" s="6">
        <v>143640</v>
      </c>
      <c r="K177" s="6">
        <v>3</v>
      </c>
      <c r="L177" s="6">
        <v>135140</v>
      </c>
      <c r="M177" s="6">
        <v>1</v>
      </c>
    </row>
    <row r="178" spans="10:13" ht="11.25">
      <c r="J178" s="6">
        <v>199500</v>
      </c>
      <c r="K178" s="6">
        <v>4</v>
      </c>
      <c r="L178" s="6">
        <v>71000</v>
      </c>
      <c r="M178" s="6">
        <v>2</v>
      </c>
    </row>
    <row r="179" spans="10:13" ht="11.25">
      <c r="J179" s="6">
        <v>85110</v>
      </c>
      <c r="K179" s="6">
        <v>4</v>
      </c>
      <c r="L179" s="6">
        <v>148000</v>
      </c>
      <c r="M179" s="6">
        <v>1</v>
      </c>
    </row>
    <row r="180" spans="10:13" ht="11.25">
      <c r="J180" s="6">
        <v>46230</v>
      </c>
      <c r="K180" s="6">
        <v>2</v>
      </c>
      <c r="L180" s="6">
        <v>75200</v>
      </c>
      <c r="M180" s="6">
        <v>1</v>
      </c>
    </row>
    <row r="181" spans="10:13" ht="11.25">
      <c r="J181" s="6">
        <v>51500</v>
      </c>
      <c r="K181" s="6">
        <v>2</v>
      </c>
      <c r="L181" s="6">
        <v>81140</v>
      </c>
      <c r="M181" s="6">
        <v>1</v>
      </c>
    </row>
    <row r="182" spans="10:13" ht="11.25">
      <c r="J182" s="6">
        <v>58000</v>
      </c>
      <c r="K182" s="6">
        <v>2</v>
      </c>
      <c r="L182" s="6">
        <v>88300</v>
      </c>
      <c r="M182" s="6">
        <v>2</v>
      </c>
    </row>
    <row r="183" spans="10:13" ht="11.25">
      <c r="J183" s="6">
        <v>93900</v>
      </c>
      <c r="K183" s="6">
        <v>3</v>
      </c>
      <c r="L183" s="6">
        <v>188770</v>
      </c>
      <c r="M183" s="6">
        <v>1</v>
      </c>
    </row>
    <row r="184" spans="10:13" ht="11.25">
      <c r="J184" s="6">
        <v>100730</v>
      </c>
      <c r="K184" s="6">
        <v>3</v>
      </c>
      <c r="L184" s="6">
        <v>99000</v>
      </c>
      <c r="M184" s="6">
        <v>1</v>
      </c>
    </row>
    <row r="185" spans="10:13" ht="11.25">
      <c r="J185" s="6">
        <v>35490</v>
      </c>
      <c r="K185" s="6">
        <v>1</v>
      </c>
      <c r="L185" s="6">
        <v>100600</v>
      </c>
      <c r="M185" s="6">
        <v>1</v>
      </c>
    </row>
    <row r="186" spans="10:13" ht="11.25">
      <c r="J186" s="6">
        <v>75700</v>
      </c>
      <c r="K186" s="6">
        <v>2</v>
      </c>
      <c r="L186" s="6">
        <v>104800</v>
      </c>
      <c r="M186" s="6">
        <v>1</v>
      </c>
    </row>
    <row r="187" spans="10:13" ht="11.25">
      <c r="J187" s="6">
        <v>80000</v>
      </c>
      <c r="K187" s="6">
        <v>2</v>
      </c>
      <c r="L187" s="6">
        <v>106500</v>
      </c>
      <c r="M187" s="6">
        <v>1</v>
      </c>
    </row>
    <row r="188" spans="10:13" ht="11.25">
      <c r="J188" s="6">
        <v>127790</v>
      </c>
      <c r="K188" s="6">
        <v>3</v>
      </c>
      <c r="L188" s="6">
        <v>109690</v>
      </c>
      <c r="M188" s="6">
        <v>1</v>
      </c>
    </row>
    <row r="189" spans="10:13" ht="11.25">
      <c r="J189" s="6">
        <v>222000</v>
      </c>
      <c r="K189" s="6">
        <v>5</v>
      </c>
      <c r="L189" s="6">
        <v>114000</v>
      </c>
      <c r="M189" s="6">
        <v>2</v>
      </c>
    </row>
    <row r="190" spans="10:13" ht="11.25">
      <c r="J190" s="6">
        <v>46590</v>
      </c>
      <c r="K190" s="6">
        <v>1</v>
      </c>
      <c r="L190" s="6">
        <v>231020</v>
      </c>
      <c r="M190" s="6">
        <v>1</v>
      </c>
    </row>
    <row r="191" spans="10:13" ht="11.25">
      <c r="J191" s="6">
        <v>96810</v>
      </c>
      <c r="K191" s="6">
        <v>2</v>
      </c>
      <c r="L191" s="6">
        <v>124000</v>
      </c>
      <c r="M191" s="6">
        <v>2</v>
      </c>
    </row>
    <row r="192" spans="12:13" ht="11.25">
      <c r="L192" s="6">
        <v>253210</v>
      </c>
      <c r="M192" s="6">
        <v>1</v>
      </c>
    </row>
    <row r="193" spans="12:13" ht="11.25">
      <c r="L193" s="6">
        <v>134900</v>
      </c>
      <c r="M193" s="6">
        <v>1</v>
      </c>
    </row>
    <row r="194" spans="12:13" ht="11.25">
      <c r="L194" s="6">
        <v>140300</v>
      </c>
      <c r="M194" s="6">
        <v>1</v>
      </c>
    </row>
    <row r="195" spans="12:13" ht="11.25">
      <c r="L195" s="6">
        <v>144400</v>
      </c>
      <c r="M195" s="6">
        <v>1</v>
      </c>
    </row>
    <row r="196" spans="12:13" ht="11.25">
      <c r="L196" s="6">
        <v>148400</v>
      </c>
      <c r="M196" s="6">
        <v>1</v>
      </c>
    </row>
    <row r="197" spans="12:13" ht="11.25">
      <c r="L197" s="6">
        <v>152500</v>
      </c>
      <c r="M197" s="6">
        <v>1</v>
      </c>
    </row>
    <row r="198" spans="12:13" ht="11.25">
      <c r="L198" s="6">
        <v>159700</v>
      </c>
      <c r="M198" s="6">
        <v>1</v>
      </c>
    </row>
    <row r="199" spans="12:13" ht="11.25">
      <c r="L199" s="6">
        <v>166900</v>
      </c>
      <c r="M199" s="6">
        <v>2</v>
      </c>
    </row>
    <row r="200" spans="12:13" ht="11.25">
      <c r="L200" s="6">
        <v>346500</v>
      </c>
      <c r="M200" s="6">
        <v>1</v>
      </c>
    </row>
    <row r="201" spans="12:13" ht="11.25">
      <c r="L201" s="6">
        <v>178120</v>
      </c>
      <c r="M201" s="6">
        <v>1</v>
      </c>
    </row>
    <row r="202" spans="12:13" ht="11.25">
      <c r="L202" s="6">
        <v>189300</v>
      </c>
      <c r="M202" s="6">
        <v>1</v>
      </c>
    </row>
    <row r="203" spans="12:13" ht="11.25">
      <c r="L203" s="6">
        <v>202700</v>
      </c>
      <c r="M203" s="6">
        <v>1</v>
      </c>
    </row>
    <row r="204" spans="12:13" ht="11.25">
      <c r="L204" s="6">
        <v>212500</v>
      </c>
      <c r="M204" s="6">
        <v>1</v>
      </c>
    </row>
    <row r="205" spans="12:13" ht="11.25">
      <c r="L205" s="6">
        <v>222600</v>
      </c>
      <c r="M205" s="6">
        <v>1</v>
      </c>
    </row>
    <row r="206" spans="12:13" ht="11.25">
      <c r="L206" s="6">
        <v>224100</v>
      </c>
      <c r="M206" s="6">
        <v>1</v>
      </c>
    </row>
    <row r="207" spans="12:13" ht="11.25">
      <c r="L207" s="6">
        <v>232000</v>
      </c>
      <c r="M207" s="6">
        <v>1</v>
      </c>
    </row>
    <row r="208" spans="12:13" ht="11.25">
      <c r="L208" s="6">
        <v>233660</v>
      </c>
      <c r="M208" s="6">
        <v>2</v>
      </c>
    </row>
    <row r="209" spans="12:13" ht="11.25">
      <c r="L209" s="6">
        <v>487840</v>
      </c>
      <c r="M209" s="6">
        <v>1</v>
      </c>
    </row>
    <row r="210" spans="12:13" ht="11.25">
      <c r="L210" s="6">
        <v>251920</v>
      </c>
      <c r="M210" s="6">
        <v>1</v>
      </c>
    </row>
    <row r="211" spans="12:13" ht="11.25">
      <c r="L211" s="6">
        <v>304000</v>
      </c>
      <c r="M211" s="6">
        <v>1</v>
      </c>
    </row>
    <row r="212" spans="12:13" ht="11.25">
      <c r="L212" s="6">
        <v>316700</v>
      </c>
      <c r="M212" s="6">
        <v>1</v>
      </c>
    </row>
    <row r="213" spans="12:13" ht="11.25">
      <c r="L213" s="6">
        <v>356600</v>
      </c>
      <c r="M213" s="6">
        <v>1</v>
      </c>
    </row>
    <row r="214" spans="12:13" ht="11.25">
      <c r="L214" s="6">
        <v>361800</v>
      </c>
      <c r="M214" s="6">
        <v>1</v>
      </c>
    </row>
    <row r="215" spans="12:13" ht="11.25">
      <c r="L215" s="6">
        <v>410700</v>
      </c>
      <c r="M215" s="6">
        <v>1</v>
      </c>
    </row>
    <row r="216" spans="12:13" ht="11.25">
      <c r="L216" s="6">
        <v>444200</v>
      </c>
      <c r="M216" s="6">
        <v>1</v>
      </c>
    </row>
    <row r="217" spans="12:13" ht="11.25">
      <c r="L217" s="6">
        <v>485400</v>
      </c>
      <c r="M217" s="6">
        <v>1</v>
      </c>
    </row>
    <row r="218" spans="12:13" ht="11.25">
      <c r="L218" s="6">
        <v>558000</v>
      </c>
      <c r="M218" s="6">
        <v>1</v>
      </c>
    </row>
    <row r="219" spans="12:13" ht="11.25">
      <c r="L219" s="6">
        <v>771100</v>
      </c>
      <c r="M219" s="6">
        <v>1</v>
      </c>
    </row>
    <row r="220" spans="12:13" ht="11.25">
      <c r="L220" s="6">
        <v>959900</v>
      </c>
      <c r="M220" s="6">
        <v>4</v>
      </c>
    </row>
    <row r="221" spans="12:13" ht="11.25">
      <c r="L221" s="6">
        <v>267060</v>
      </c>
      <c r="M221" s="6">
        <v>3</v>
      </c>
    </row>
    <row r="222" spans="12:13" ht="11.25">
      <c r="L222" s="6">
        <v>208200</v>
      </c>
      <c r="M222" s="6">
        <v>1</v>
      </c>
    </row>
    <row r="223" spans="12:13" ht="11.25">
      <c r="L223" s="6">
        <v>71300</v>
      </c>
      <c r="M223" s="6">
        <v>2</v>
      </c>
    </row>
    <row r="224" spans="12:13" ht="11.25">
      <c r="L224" s="6">
        <v>149370</v>
      </c>
      <c r="M224" s="6">
        <v>1</v>
      </c>
    </row>
    <row r="225" spans="12:13" ht="11.25">
      <c r="L225" s="6">
        <v>79500</v>
      </c>
      <c r="M225" s="6">
        <v>2</v>
      </c>
    </row>
    <row r="226" spans="12:13" ht="11.25">
      <c r="L226" s="6">
        <v>165180</v>
      </c>
      <c r="M226" s="6">
        <v>1</v>
      </c>
    </row>
    <row r="227" spans="12:13" ht="11.25">
      <c r="L227" s="6">
        <v>89630</v>
      </c>
      <c r="M227" s="6">
        <v>1</v>
      </c>
    </row>
    <row r="228" spans="12:13" ht="11.25">
      <c r="L228" s="6">
        <v>97750</v>
      </c>
      <c r="M228" s="6">
        <v>1</v>
      </c>
    </row>
    <row r="229" spans="12:13" ht="11.25">
      <c r="L229" s="6">
        <v>100000</v>
      </c>
      <c r="M229" s="6">
        <v>1</v>
      </c>
    </row>
    <row r="230" spans="12:13" ht="11.25">
      <c r="L230" s="6">
        <v>102000</v>
      </c>
      <c r="M230" s="6">
        <v>2</v>
      </c>
    </row>
    <row r="231" spans="12:13" ht="11.25">
      <c r="L231" s="6">
        <v>211300</v>
      </c>
      <c r="M231" s="6">
        <v>1</v>
      </c>
    </row>
    <row r="232" spans="12:13" ht="11.25">
      <c r="L232" s="6">
        <v>108800</v>
      </c>
      <c r="M232" s="6">
        <v>1</v>
      </c>
    </row>
    <row r="233" spans="12:13" ht="11.25">
      <c r="L233" s="6">
        <v>112100</v>
      </c>
      <c r="M233" s="6">
        <v>1</v>
      </c>
    </row>
    <row r="234" spans="12:13" ht="11.25">
      <c r="L234" s="6">
        <v>114700</v>
      </c>
      <c r="M234" s="6">
        <v>1</v>
      </c>
    </row>
    <row r="235" spans="12:13" ht="11.25">
      <c r="L235" s="6">
        <v>118490</v>
      </c>
      <c r="M235" s="6">
        <v>1</v>
      </c>
    </row>
    <row r="236" spans="12:13" ht="11.25">
      <c r="L236" s="6">
        <v>125000</v>
      </c>
      <c r="M236" s="6">
        <v>1</v>
      </c>
    </row>
    <row r="237" spans="12:13" ht="11.25">
      <c r="L237" s="6">
        <v>132100</v>
      </c>
      <c r="M237" s="6">
        <v>2</v>
      </c>
    </row>
    <row r="238" spans="12:13" ht="11.25">
      <c r="L238" s="6">
        <v>271500</v>
      </c>
      <c r="M238" s="6">
        <v>1</v>
      </c>
    </row>
    <row r="239" spans="12:13" ht="11.25">
      <c r="L239" s="6">
        <v>142150</v>
      </c>
      <c r="M239" s="6">
        <v>1</v>
      </c>
    </row>
    <row r="240" spans="12:13" ht="11.25">
      <c r="L240" s="6">
        <v>146000</v>
      </c>
      <c r="M240" s="6">
        <v>1</v>
      </c>
    </row>
    <row r="241" spans="12:13" ht="11.25">
      <c r="L241" s="6">
        <v>151100</v>
      </c>
      <c r="M241" s="6">
        <v>1</v>
      </c>
    </row>
    <row r="242" spans="12:13" ht="11.25">
      <c r="L242" s="6">
        <v>158100</v>
      </c>
      <c r="M242" s="6">
        <v>1</v>
      </c>
    </row>
    <row r="243" spans="12:13" ht="11.25">
      <c r="L243" s="6">
        <v>161000</v>
      </c>
      <c r="M243" s="6">
        <v>2</v>
      </c>
    </row>
    <row r="244" spans="12:13" ht="11.25">
      <c r="L244" s="6">
        <v>342340</v>
      </c>
      <c r="M244" s="6">
        <v>1</v>
      </c>
    </row>
    <row r="245" spans="12:13" ht="11.25">
      <c r="L245" s="6">
        <v>177200</v>
      </c>
      <c r="M245" s="6">
        <v>1</v>
      </c>
    </row>
    <row r="246" spans="12:13" ht="11.25">
      <c r="L246" s="6">
        <v>180590</v>
      </c>
      <c r="M246" s="6">
        <v>1</v>
      </c>
    </row>
    <row r="247" spans="12:13" ht="11.25">
      <c r="L247" s="6">
        <v>201800</v>
      </c>
      <c r="M247" s="6">
        <v>1</v>
      </c>
    </row>
    <row r="248" spans="12:13" ht="11.25">
      <c r="L248" s="6">
        <v>209200</v>
      </c>
      <c r="M248" s="6">
        <v>1</v>
      </c>
    </row>
    <row r="249" spans="12:13" ht="11.25">
      <c r="L249" s="6">
        <v>214900</v>
      </c>
      <c r="M249" s="6">
        <v>1</v>
      </c>
    </row>
    <row r="250" spans="12:13" ht="11.25">
      <c r="L250" s="6">
        <v>223200</v>
      </c>
      <c r="M250" s="6">
        <v>1</v>
      </c>
    </row>
    <row r="251" spans="12:13" ht="11.25">
      <c r="L251" s="6">
        <v>229000</v>
      </c>
      <c r="M251" s="6">
        <v>1</v>
      </c>
    </row>
    <row r="252" spans="12:13" ht="11.25">
      <c r="L252" s="6">
        <v>232600</v>
      </c>
      <c r="M252" s="6">
        <v>1</v>
      </c>
    </row>
    <row r="253" spans="12:13" ht="11.25">
      <c r="L253" s="6">
        <v>243000</v>
      </c>
      <c r="M253" s="6">
        <v>1</v>
      </c>
    </row>
    <row r="254" spans="12:13" ht="11.25">
      <c r="L254" s="6">
        <v>245200</v>
      </c>
      <c r="M254" s="6">
        <v>1</v>
      </c>
    </row>
    <row r="255" spans="12:13" ht="11.25">
      <c r="L255" s="6">
        <v>252200</v>
      </c>
      <c r="M255" s="6">
        <v>1</v>
      </c>
    </row>
    <row r="256" spans="12:13" ht="11.25">
      <c r="L256" s="6">
        <v>308800</v>
      </c>
      <c r="M256" s="6">
        <v>1</v>
      </c>
    </row>
    <row r="257" spans="12:13" ht="11.25">
      <c r="L257" s="6">
        <v>339010</v>
      </c>
      <c r="M257" s="6">
        <v>1</v>
      </c>
    </row>
    <row r="258" spans="12:13" ht="11.25">
      <c r="L258" s="6">
        <v>357100</v>
      </c>
      <c r="M258" s="6">
        <v>1</v>
      </c>
    </row>
    <row r="259" spans="12:13" ht="11.25">
      <c r="L259" s="6">
        <v>363000</v>
      </c>
      <c r="M259" s="6">
        <v>1</v>
      </c>
    </row>
    <row r="260" spans="12:13" ht="11.25">
      <c r="L260" s="6">
        <v>437500</v>
      </c>
      <c r="M260" s="6">
        <v>1</v>
      </c>
    </row>
    <row r="261" spans="12:13" ht="11.25">
      <c r="L261" s="6">
        <v>478460</v>
      </c>
      <c r="M261" s="6">
        <v>1</v>
      </c>
    </row>
    <row r="262" spans="12:13" ht="11.25">
      <c r="L262" s="6">
        <v>492000</v>
      </c>
      <c r="M262" s="6">
        <v>1</v>
      </c>
    </row>
    <row r="263" spans="12:13" ht="11.25">
      <c r="L263" s="6">
        <v>754000</v>
      </c>
      <c r="M263" s="6">
        <v>1</v>
      </c>
    </row>
    <row r="264" spans="12:13" ht="11.25">
      <c r="L264" s="6">
        <v>893000</v>
      </c>
      <c r="M264" s="6">
        <v>1</v>
      </c>
    </row>
    <row r="265" spans="12:13" ht="11.25">
      <c r="L265" s="6">
        <v>1162540</v>
      </c>
      <c r="M265" s="6">
        <v>1</v>
      </c>
    </row>
    <row r="267" spans="2:13" ht="11.25">
      <c r="B267" s="6">
        <f>SUM(B165:B266)</f>
        <v>311365</v>
      </c>
      <c r="C267" s="6">
        <f aca="true" t="shared" si="2" ref="C267:M267">SUM(C165:C266)</f>
        <v>700</v>
      </c>
      <c r="D267" s="6">
        <f t="shared" si="2"/>
        <v>1610465</v>
      </c>
      <c r="E267" s="6">
        <f t="shared" si="2"/>
        <v>422</v>
      </c>
      <c r="F267" s="6">
        <f t="shared" si="2"/>
        <v>2522310</v>
      </c>
      <c r="G267" s="6">
        <f t="shared" si="2"/>
        <v>354</v>
      </c>
      <c r="H267" s="6">
        <f t="shared" si="2"/>
        <v>1667850</v>
      </c>
      <c r="I267" s="6">
        <f t="shared" si="2"/>
        <v>117</v>
      </c>
      <c r="J267" s="6">
        <f t="shared" si="2"/>
        <v>2931780</v>
      </c>
      <c r="K267" s="6">
        <f t="shared" si="2"/>
        <v>84</v>
      </c>
      <c r="L267" s="6">
        <f t="shared" si="2"/>
        <v>23913850</v>
      </c>
      <c r="M267" s="6">
        <f t="shared" si="2"/>
        <v>131</v>
      </c>
    </row>
    <row r="268" ht="11.25">
      <c r="B268" s="6">
        <f>B267+D267+F267+H267+J267+L267</f>
        <v>32957620</v>
      </c>
    </row>
    <row r="271" ht="11.25">
      <c r="B271" s="6" t="s">
        <v>23</v>
      </c>
    </row>
    <row r="272" ht="11.25">
      <c r="G272" s="10"/>
    </row>
    <row r="273" spans="2:13" ht="11.25">
      <c r="B273" s="6">
        <v>3140</v>
      </c>
      <c r="C273" s="6">
        <v>95</v>
      </c>
      <c r="E273" s="6">
        <v>21</v>
      </c>
      <c r="F273" s="6">
        <v>21040</v>
      </c>
      <c r="G273" s="6">
        <v>4</v>
      </c>
      <c r="H273" s="6">
        <v>52670</v>
      </c>
      <c r="I273" s="6">
        <v>5</v>
      </c>
      <c r="J273" s="6">
        <v>62350</v>
      </c>
      <c r="K273" s="6">
        <v>3</v>
      </c>
      <c r="L273" s="6">
        <v>54000</v>
      </c>
      <c r="M273" s="6">
        <v>16</v>
      </c>
    </row>
    <row r="274" spans="2:13" ht="11.25">
      <c r="B274" s="6">
        <f>59770/2</f>
        <v>29885</v>
      </c>
      <c r="C274" s="6">
        <f>41/2</f>
        <v>20.5</v>
      </c>
      <c r="D274" s="6">
        <v>29885</v>
      </c>
      <c r="E274" s="6">
        <v>14</v>
      </c>
      <c r="F274" s="6">
        <v>12770</v>
      </c>
      <c r="G274" s="6">
        <v>3</v>
      </c>
      <c r="H274" s="6">
        <v>56740</v>
      </c>
      <c r="I274" s="6">
        <v>7</v>
      </c>
      <c r="J274" s="6">
        <v>45300</v>
      </c>
      <c r="K274" s="6">
        <v>2</v>
      </c>
      <c r="L274" s="6">
        <v>58100</v>
      </c>
      <c r="M274" s="6">
        <v>23</v>
      </c>
    </row>
    <row r="275" spans="4:12" ht="11.25">
      <c r="D275" s="6">
        <v>34980</v>
      </c>
      <c r="E275" s="6">
        <v>5</v>
      </c>
      <c r="F275" s="6">
        <v>22420</v>
      </c>
      <c r="G275" s="6">
        <v>3</v>
      </c>
      <c r="H275" s="6">
        <v>86080</v>
      </c>
      <c r="I275" s="6">
        <v>3</v>
      </c>
      <c r="J275" s="6">
        <v>108600</v>
      </c>
      <c r="K275" s="6">
        <v>5</v>
      </c>
      <c r="L275" s="6">
        <v>66500</v>
      </c>
    </row>
    <row r="276" spans="4:12" ht="11.25">
      <c r="D276" s="6">
        <v>17030</v>
      </c>
      <c r="E276" s="6">
        <v>9</v>
      </c>
      <c r="F276" s="6">
        <v>26360</v>
      </c>
      <c r="G276" s="6">
        <v>2</v>
      </c>
      <c r="H276" s="6">
        <v>68080</v>
      </c>
      <c r="I276" s="6">
        <v>2</v>
      </c>
      <c r="J276" s="6">
        <v>23200</v>
      </c>
      <c r="K276" s="6">
        <v>1</v>
      </c>
      <c r="L276" s="6">
        <v>71460</v>
      </c>
    </row>
    <row r="277" spans="4:12" ht="11.25">
      <c r="D277" s="6">
        <v>40850</v>
      </c>
      <c r="F277" s="6">
        <v>28460</v>
      </c>
      <c r="G277" s="6">
        <v>3</v>
      </c>
      <c r="H277" s="6">
        <v>43800</v>
      </c>
      <c r="I277" s="6">
        <v>2</v>
      </c>
      <c r="J277" s="6">
        <v>123390</v>
      </c>
      <c r="K277" s="6">
        <v>5</v>
      </c>
      <c r="L277" s="6">
        <v>87500</v>
      </c>
    </row>
    <row r="278" spans="8:12" ht="11.25">
      <c r="H278" s="6">
        <v>62300</v>
      </c>
      <c r="I278" s="6">
        <v>5</v>
      </c>
      <c r="J278" s="6">
        <v>27800</v>
      </c>
      <c r="K278" s="6">
        <v>1</v>
      </c>
      <c r="L278" s="6">
        <v>95400</v>
      </c>
    </row>
    <row r="279" spans="8:12" ht="11.25">
      <c r="H279" s="6">
        <v>32720</v>
      </c>
      <c r="I279" s="6">
        <v>5</v>
      </c>
      <c r="J279" s="6">
        <v>31500</v>
      </c>
      <c r="K279" s="6">
        <v>1</v>
      </c>
      <c r="L279" s="6">
        <v>103800</v>
      </c>
    </row>
    <row r="280" spans="8:12" ht="11.25">
      <c r="H280" s="6">
        <v>35300</v>
      </c>
      <c r="I280" s="6">
        <v>4</v>
      </c>
      <c r="J280" s="6">
        <v>34070</v>
      </c>
      <c r="K280" s="6">
        <v>1</v>
      </c>
      <c r="L280" s="6">
        <v>111910</v>
      </c>
    </row>
    <row r="281" spans="8:12" ht="11.25">
      <c r="H281" s="6">
        <v>37230</v>
      </c>
      <c r="I281" s="6">
        <v>2</v>
      </c>
      <c r="J281" s="6">
        <v>37530</v>
      </c>
      <c r="K281" s="6">
        <v>1</v>
      </c>
      <c r="L281" s="6">
        <v>131800</v>
      </c>
    </row>
    <row r="282" spans="8:12" ht="11.25">
      <c r="H282" s="6">
        <v>77480</v>
      </c>
      <c r="I282" s="6">
        <v>4</v>
      </c>
      <c r="J282" s="6">
        <v>39300</v>
      </c>
      <c r="K282" s="6">
        <v>1</v>
      </c>
      <c r="L282" s="6">
        <v>156800</v>
      </c>
    </row>
    <row r="283" spans="10:12" ht="11.25">
      <c r="J283" s="6">
        <v>137700</v>
      </c>
      <c r="K283" s="6">
        <v>3</v>
      </c>
      <c r="L283" s="6">
        <v>182090</v>
      </c>
    </row>
    <row r="284" spans="10:12" ht="11.25">
      <c r="J284" s="6">
        <v>148700</v>
      </c>
      <c r="K284" s="6">
        <v>3</v>
      </c>
      <c r="L284" s="6">
        <v>384430</v>
      </c>
    </row>
    <row r="285" spans="10:12" ht="11.25">
      <c r="J285" s="6">
        <v>47040</v>
      </c>
      <c r="K285" s="6">
        <v>1</v>
      </c>
      <c r="L285" s="6">
        <v>452790</v>
      </c>
    </row>
    <row r="286" spans="10:12" ht="11.25">
      <c r="J286" s="6">
        <v>44700</v>
      </c>
      <c r="K286" s="6">
        <v>1</v>
      </c>
      <c r="L286" s="6">
        <v>671850</v>
      </c>
    </row>
    <row r="287" spans="10:12" ht="11.25">
      <c r="J287" s="6">
        <v>39000</v>
      </c>
      <c r="K287" s="6">
        <v>2</v>
      </c>
      <c r="L287" s="6">
        <v>1173440</v>
      </c>
    </row>
    <row r="288" spans="10:12" ht="11.25">
      <c r="J288" s="6">
        <v>35090</v>
      </c>
      <c r="K288" s="6">
        <v>1</v>
      </c>
      <c r="L288" s="6">
        <v>57900</v>
      </c>
    </row>
    <row r="289" spans="10:12" ht="11.25">
      <c r="J289" s="6">
        <v>65530</v>
      </c>
      <c r="K289" s="6">
        <v>1</v>
      </c>
      <c r="L289" s="6">
        <v>61590</v>
      </c>
    </row>
    <row r="290" spans="10:12" ht="11.25">
      <c r="J290" s="6">
        <v>28500</v>
      </c>
      <c r="K290" s="6">
        <v>1</v>
      </c>
      <c r="L290" s="6">
        <v>70300</v>
      </c>
    </row>
    <row r="291" spans="10:12" ht="11.25">
      <c r="J291" s="6">
        <v>25870</v>
      </c>
      <c r="K291" s="6">
        <v>1</v>
      </c>
      <c r="L291" s="6">
        <v>82100</v>
      </c>
    </row>
    <row r="292" ht="11.25">
      <c r="L292" s="6">
        <v>179170</v>
      </c>
    </row>
    <row r="293" ht="11.25">
      <c r="L293" s="6">
        <v>195200</v>
      </c>
    </row>
    <row r="294" ht="11.25">
      <c r="L294" s="6">
        <v>110400</v>
      </c>
    </row>
    <row r="295" ht="11.25">
      <c r="L295" s="6">
        <v>120780</v>
      </c>
    </row>
    <row r="296" ht="11.25">
      <c r="L296" s="6">
        <v>134600</v>
      </c>
    </row>
    <row r="297" ht="11.25">
      <c r="L297" s="6">
        <v>177820</v>
      </c>
    </row>
    <row r="298" ht="11.25">
      <c r="L298" s="6">
        <v>188900</v>
      </c>
    </row>
    <row r="299" ht="11.25">
      <c r="L299" s="6">
        <v>422220</v>
      </c>
    </row>
    <row r="300" ht="11.25">
      <c r="L300" s="6">
        <v>619130</v>
      </c>
    </row>
    <row r="301" ht="11.25">
      <c r="L301" s="6">
        <v>695060</v>
      </c>
    </row>
    <row r="302" spans="2:13" ht="11.25">
      <c r="B302" s="6">
        <f>SUM(B273:B301)</f>
        <v>33025</v>
      </c>
      <c r="C302" s="6">
        <f>SUM(C273:C301)</f>
        <v>115.5</v>
      </c>
      <c r="D302" s="6">
        <f>SUM(D273:D301)</f>
        <v>122745</v>
      </c>
      <c r="E302" s="6">
        <f aca="true" t="shared" si="3" ref="E302:M302">SUM(E273:E301)</f>
        <v>49</v>
      </c>
      <c r="F302" s="6">
        <f t="shared" si="3"/>
        <v>111050</v>
      </c>
      <c r="G302" s="6">
        <f t="shared" si="3"/>
        <v>15</v>
      </c>
      <c r="H302" s="6">
        <f t="shared" si="3"/>
        <v>552400</v>
      </c>
      <c r="I302" s="6">
        <f t="shared" si="3"/>
        <v>39</v>
      </c>
      <c r="J302" s="6">
        <f t="shared" si="3"/>
        <v>1105170</v>
      </c>
      <c r="K302" s="6">
        <f t="shared" si="3"/>
        <v>35</v>
      </c>
      <c r="L302" s="6">
        <f t="shared" si="3"/>
        <v>6917040</v>
      </c>
      <c r="M302" s="6">
        <f t="shared" si="3"/>
        <v>39</v>
      </c>
    </row>
    <row r="304" ht="11.25">
      <c r="C304" s="6">
        <f>B302+D302+F302+H302+J302+L302</f>
        <v>8841430</v>
      </c>
    </row>
    <row r="305" ht="11.25">
      <c r="C305" s="6">
        <f>C302+E302+G302+I302+K302+M302</f>
        <v>292.5</v>
      </c>
    </row>
  </sheetData>
  <mergeCells count="4">
    <mergeCell ref="A14:I14"/>
    <mergeCell ref="A1:I1"/>
    <mergeCell ref="A2:I2"/>
    <mergeCell ref="A3:I3"/>
  </mergeCells>
  <printOptions gridLines="1" horizontalCentered="1"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4">
      <selection activeCell="B8" sqref="B8"/>
    </sheetView>
  </sheetViews>
  <sheetFormatPr defaultColWidth="9.140625" defaultRowHeight="12.75"/>
  <cols>
    <col min="1" max="1" width="27.8515625" style="0" customWidth="1"/>
    <col min="2" max="2" width="26.28125" style="1" customWidth="1"/>
    <col min="4" max="4" width="10.28125" style="0" bestFit="1" customWidth="1"/>
  </cols>
  <sheetData>
    <row r="1" spans="1:2" ht="48" customHeight="1">
      <c r="A1" s="103" t="s">
        <v>24</v>
      </c>
      <c r="B1" s="103"/>
    </row>
    <row r="2" spans="1:2" ht="40.5" customHeight="1">
      <c r="A2" s="103" t="s">
        <v>102</v>
      </c>
      <c r="B2" s="103"/>
    </row>
    <row r="3" spans="1:2" ht="53.25" customHeight="1">
      <c r="A3" t="s">
        <v>95</v>
      </c>
      <c r="B3" s="31">
        <v>2005373</v>
      </c>
    </row>
    <row r="4" spans="1:2" ht="67.5" customHeight="1">
      <c r="A4" t="s">
        <v>96</v>
      </c>
      <c r="B4" s="31">
        <v>2858695</v>
      </c>
    </row>
    <row r="5" spans="1:4" ht="21" customHeight="1">
      <c r="A5" s="28" t="s">
        <v>97</v>
      </c>
      <c r="D5" s="2"/>
    </row>
    <row r="6" spans="1:2" ht="18" customHeight="1">
      <c r="A6" t="s">
        <v>94</v>
      </c>
      <c r="B6" s="1">
        <f>-807322</f>
        <v>-807322</v>
      </c>
    </row>
    <row r="7" spans="1:2" ht="18" customHeight="1">
      <c r="A7" t="s">
        <v>98</v>
      </c>
      <c r="B7" s="30">
        <f>-555</f>
        <v>-555</v>
      </c>
    </row>
    <row r="8" spans="1:2" ht="18" customHeight="1">
      <c r="A8" t="s">
        <v>14</v>
      </c>
      <c r="B8" s="1">
        <f>-51229</f>
        <v>-51229</v>
      </c>
    </row>
    <row r="9" spans="1:2" ht="18" customHeight="1">
      <c r="A9" t="s">
        <v>99</v>
      </c>
      <c r="B9" s="1">
        <f>-5116</f>
        <v>-5116</v>
      </c>
    </row>
    <row r="10" ht="18" customHeight="1">
      <c r="A10" s="28" t="s">
        <v>100</v>
      </c>
    </row>
    <row r="11" spans="1:2" ht="18" customHeight="1">
      <c r="A11" t="s">
        <v>10</v>
      </c>
      <c r="B11" s="1">
        <v>10900</v>
      </c>
    </row>
    <row r="12" spans="1:2" ht="28.5" customHeight="1">
      <c r="A12" t="s">
        <v>101</v>
      </c>
      <c r="B12" s="31">
        <f>SUM(B4:B11)</f>
        <v>2005373</v>
      </c>
    </row>
  </sheetData>
  <mergeCells count="2">
    <mergeCell ref="A1:B1"/>
    <mergeCell ref="A2:B2"/>
  </mergeCells>
  <printOptions gridLines="1" horizontalCentered="1"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4">
      <selection activeCell="E38" sqref="E38"/>
    </sheetView>
  </sheetViews>
  <sheetFormatPr defaultColWidth="9.140625" defaultRowHeight="21.75" customHeight="1"/>
  <cols>
    <col min="1" max="1" width="30.421875" style="0" customWidth="1"/>
    <col min="2" max="2" width="14.57421875" style="1" customWidth="1"/>
    <col min="3" max="3" width="16.8515625" style="1" customWidth="1"/>
    <col min="4" max="4" width="15.57421875" style="1" customWidth="1"/>
    <col min="5" max="5" width="11.140625" style="0" customWidth="1"/>
    <col min="6" max="6" width="11.28125" style="0" bestFit="1" customWidth="1"/>
  </cols>
  <sheetData>
    <row r="1" spans="1:4" ht="21.75" customHeight="1">
      <c r="A1" s="103" t="s">
        <v>183</v>
      </c>
      <c r="B1" s="103"/>
      <c r="C1" s="103"/>
      <c r="D1" s="103"/>
    </row>
    <row r="2" spans="1:4" ht="28.5" customHeight="1">
      <c r="A2" s="103" t="s">
        <v>184</v>
      </c>
      <c r="B2" s="103"/>
      <c r="C2" s="103"/>
      <c r="D2" s="103"/>
    </row>
    <row r="3" spans="1:8" ht="32.25" customHeight="1">
      <c r="A3" t="s">
        <v>0</v>
      </c>
      <c r="B3" s="50" t="s">
        <v>96</v>
      </c>
      <c r="C3" s="51" t="s">
        <v>138</v>
      </c>
      <c r="D3" s="51" t="s">
        <v>13</v>
      </c>
      <c r="H3">
        <f>2858695-807322</f>
        <v>2051373</v>
      </c>
    </row>
    <row r="4" spans="1:8" ht="19.5" customHeight="1">
      <c r="A4" s="3" t="s">
        <v>1</v>
      </c>
      <c r="B4" s="56">
        <v>655754</v>
      </c>
      <c r="C4" s="56">
        <f>D4-B4</f>
        <v>29906</v>
      </c>
      <c r="D4" s="56">
        <v>685660</v>
      </c>
      <c r="H4">
        <f>25080+9375+3715+1909+94482+2941+2910</f>
        <v>140412</v>
      </c>
    </row>
    <row r="5" spans="1:4" ht="19.5" customHeight="1">
      <c r="A5" s="3" t="s">
        <v>90</v>
      </c>
      <c r="B5" s="27">
        <v>26100</v>
      </c>
      <c r="C5" s="1">
        <f>D5-B5</f>
        <v>0</v>
      </c>
      <c r="D5" s="27">
        <v>26100</v>
      </c>
    </row>
    <row r="6" spans="1:4" ht="19.5" customHeight="1">
      <c r="A6" s="4" t="s">
        <v>2</v>
      </c>
      <c r="B6" s="1">
        <v>205664</v>
      </c>
      <c r="D6" s="27">
        <f>B6</f>
        <v>205664</v>
      </c>
    </row>
    <row r="7" spans="1:6" ht="19.5" customHeight="1">
      <c r="A7" s="49" t="s">
        <v>3</v>
      </c>
      <c r="B7" s="1">
        <v>388350</v>
      </c>
      <c r="C7" s="1">
        <f>D7-B7</f>
        <v>36650</v>
      </c>
      <c r="D7" s="27">
        <v>425000</v>
      </c>
      <c r="F7" s="2"/>
    </row>
    <row r="8" spans="1:4" ht="19.5" customHeight="1">
      <c r="A8" t="s">
        <v>4</v>
      </c>
      <c r="B8" s="1">
        <v>61718</v>
      </c>
      <c r="D8" s="27">
        <f>B8</f>
        <v>61718</v>
      </c>
    </row>
    <row r="9" spans="1:4" ht="19.5" customHeight="1">
      <c r="A9" t="s">
        <v>5</v>
      </c>
      <c r="D9" s="27"/>
    </row>
    <row r="10" spans="1:4" ht="19.5" customHeight="1">
      <c r="A10" s="28" t="s">
        <v>15</v>
      </c>
      <c r="B10" s="1">
        <v>11260</v>
      </c>
      <c r="D10" s="27">
        <f>B10</f>
        <v>11260</v>
      </c>
    </row>
    <row r="11" spans="1:4" ht="19.5" customHeight="1">
      <c r="A11" s="28" t="s">
        <v>186</v>
      </c>
      <c r="B11" s="1">
        <v>19454</v>
      </c>
      <c r="D11" s="27">
        <f>B11</f>
        <v>19454</v>
      </c>
    </row>
    <row r="12" spans="1:4" ht="19.5" customHeight="1">
      <c r="A12" s="28" t="s">
        <v>132</v>
      </c>
      <c r="B12" s="1">
        <v>28804</v>
      </c>
      <c r="D12" s="27">
        <f>B12</f>
        <v>28804</v>
      </c>
    </row>
    <row r="13" spans="1:5" ht="19.5" customHeight="1">
      <c r="A13" s="28" t="s">
        <v>133</v>
      </c>
      <c r="B13" s="1">
        <v>118436</v>
      </c>
      <c r="C13" s="1">
        <v>-50000</v>
      </c>
      <c r="D13" s="27">
        <f>B13+C13</f>
        <v>68436</v>
      </c>
      <c r="E13" s="4" t="s">
        <v>135</v>
      </c>
    </row>
    <row r="14" spans="1:4" ht="19.5" customHeight="1">
      <c r="A14" s="28" t="s">
        <v>16</v>
      </c>
      <c r="B14" s="1">
        <v>5883</v>
      </c>
      <c r="D14" s="27">
        <f aca="true" t="shared" si="0" ref="D14:D19">B14</f>
        <v>5883</v>
      </c>
    </row>
    <row r="15" spans="1:4" ht="19.5" customHeight="1">
      <c r="A15" s="28" t="s">
        <v>134</v>
      </c>
      <c r="B15" s="1">
        <v>21592</v>
      </c>
      <c r="D15" s="27">
        <f t="shared" si="0"/>
        <v>21592</v>
      </c>
    </row>
    <row r="16" spans="1:6" ht="19.5" customHeight="1">
      <c r="A16" s="28" t="s">
        <v>136</v>
      </c>
      <c r="B16" s="1">
        <v>14014</v>
      </c>
      <c r="D16" s="27">
        <f t="shared" si="0"/>
        <v>14014</v>
      </c>
      <c r="E16" s="2"/>
      <c r="F16" s="2"/>
    </row>
    <row r="17" spans="1:4" ht="19.5" customHeight="1">
      <c r="A17" s="28" t="s">
        <v>210</v>
      </c>
      <c r="B17" s="1">
        <v>84250</v>
      </c>
      <c r="D17" s="27">
        <f t="shared" si="0"/>
        <v>84250</v>
      </c>
    </row>
    <row r="18" spans="1:4" ht="19.5" customHeight="1">
      <c r="A18" t="s">
        <v>137</v>
      </c>
      <c r="B18" s="1">
        <v>22825</v>
      </c>
      <c r="D18" s="27">
        <f t="shared" si="0"/>
        <v>22825</v>
      </c>
    </row>
    <row r="19" spans="1:4" ht="19.5" customHeight="1">
      <c r="A19" t="s">
        <v>188</v>
      </c>
      <c r="B19" s="1">
        <v>10205</v>
      </c>
      <c r="D19" s="27">
        <f t="shared" si="0"/>
        <v>10205</v>
      </c>
    </row>
    <row r="20" spans="1:4" ht="19.5" customHeight="1">
      <c r="A20" t="s">
        <v>187</v>
      </c>
      <c r="B20" s="1">
        <v>31402</v>
      </c>
      <c r="D20" s="27">
        <f aca="true" t="shared" si="1" ref="D20:D30">B20</f>
        <v>31402</v>
      </c>
    </row>
    <row r="21" spans="1:4" ht="19.5" customHeight="1">
      <c r="A21" t="s">
        <v>181</v>
      </c>
      <c r="B21" s="1">
        <v>55862</v>
      </c>
      <c r="D21" s="27">
        <f t="shared" si="1"/>
        <v>55862</v>
      </c>
    </row>
    <row r="22" spans="1:4" ht="19.5" customHeight="1">
      <c r="A22" t="s">
        <v>182</v>
      </c>
      <c r="B22" s="1">
        <v>97482</v>
      </c>
      <c r="D22" s="27">
        <f t="shared" si="1"/>
        <v>97482</v>
      </c>
    </row>
    <row r="23" spans="1:4" ht="19.5" customHeight="1">
      <c r="A23" t="s">
        <v>189</v>
      </c>
      <c r="B23" s="1">
        <v>31610</v>
      </c>
      <c r="D23" s="27">
        <f t="shared" si="1"/>
        <v>31610</v>
      </c>
    </row>
    <row r="24" spans="1:4" ht="19.5" customHeight="1">
      <c r="A24" t="s">
        <v>6</v>
      </c>
      <c r="B24" s="1">
        <v>27628</v>
      </c>
      <c r="D24" s="27">
        <f t="shared" si="1"/>
        <v>27628</v>
      </c>
    </row>
    <row r="25" spans="1:4" ht="19.5" customHeight="1">
      <c r="A25" t="s">
        <v>7</v>
      </c>
      <c r="B25" s="1">
        <v>4103</v>
      </c>
      <c r="D25" s="27">
        <f t="shared" si="1"/>
        <v>4103</v>
      </c>
    </row>
    <row r="26" spans="1:4" ht="19.5" customHeight="1">
      <c r="A26" t="s">
        <v>8</v>
      </c>
      <c r="B26" s="1">
        <v>16312</v>
      </c>
      <c r="D26" s="27">
        <f t="shared" si="1"/>
        <v>16312</v>
      </c>
    </row>
    <row r="27" spans="1:4" ht="19.5" customHeight="1">
      <c r="A27" t="s">
        <v>9</v>
      </c>
      <c r="B27" s="1">
        <v>16364</v>
      </c>
      <c r="D27" s="27">
        <f t="shared" si="1"/>
        <v>16364</v>
      </c>
    </row>
    <row r="28" spans="1:4" ht="19.5" customHeight="1">
      <c r="A28" t="s">
        <v>12</v>
      </c>
      <c r="B28" s="1">
        <v>6413</v>
      </c>
      <c r="D28" s="27">
        <f t="shared" si="1"/>
        <v>6413</v>
      </c>
    </row>
    <row r="29" spans="1:4" ht="19.5" customHeight="1">
      <c r="A29" t="s">
        <v>10</v>
      </c>
      <c r="B29" s="1">
        <v>10900</v>
      </c>
      <c r="D29" s="27">
        <f t="shared" si="1"/>
        <v>10900</v>
      </c>
    </row>
    <row r="30" spans="1:4" ht="19.5" customHeight="1">
      <c r="A30" t="s">
        <v>11</v>
      </c>
      <c r="B30" s="1">
        <v>32940</v>
      </c>
      <c r="D30" s="27">
        <f t="shared" si="1"/>
        <v>32940</v>
      </c>
    </row>
    <row r="31" spans="1:5" ht="39.75" customHeight="1">
      <c r="A31" s="4" t="s">
        <v>185</v>
      </c>
      <c r="B31" s="56">
        <f>SUM(B4:B30)</f>
        <v>2005325</v>
      </c>
      <c r="C31" s="56">
        <f>SUM(C4:C30)</f>
        <v>16556</v>
      </c>
      <c r="D31" s="56">
        <f>SUM(D4:D30)</f>
        <v>2021881</v>
      </c>
      <c r="E31" s="2"/>
    </row>
    <row r="32" spans="1:5" ht="39.75" customHeight="1">
      <c r="A32" t="s">
        <v>91</v>
      </c>
      <c r="B32" s="1">
        <v>6300</v>
      </c>
      <c r="D32" s="1">
        <f>B32</f>
        <v>6300</v>
      </c>
      <c r="E32" s="2"/>
    </row>
    <row r="33" spans="1:5" ht="19.5" customHeight="1">
      <c r="A33" t="s">
        <v>93</v>
      </c>
      <c r="B33" s="1">
        <v>52985</v>
      </c>
      <c r="D33" s="1">
        <f>B33</f>
        <v>52985</v>
      </c>
      <c r="E33" s="2"/>
    </row>
    <row r="34" spans="1:6" ht="19.5" customHeight="1">
      <c r="A34" t="s">
        <v>167</v>
      </c>
      <c r="B34" s="1">
        <v>882299</v>
      </c>
      <c r="C34" s="1">
        <f>B34-D34</f>
        <v>0</v>
      </c>
      <c r="D34" s="1">
        <f>B34</f>
        <v>882299</v>
      </c>
      <c r="E34" s="2"/>
      <c r="F34" s="2"/>
    </row>
    <row r="35" spans="1:6" ht="19.5" customHeight="1">
      <c r="A35" t="s">
        <v>168</v>
      </c>
      <c r="B35" s="1">
        <v>491037</v>
      </c>
      <c r="D35" s="1">
        <f>B35</f>
        <v>491037</v>
      </c>
      <c r="E35" s="2"/>
      <c r="F35" s="1"/>
    </row>
    <row r="36" spans="1:6" ht="19.5" customHeight="1">
      <c r="A36" t="s">
        <v>213</v>
      </c>
      <c r="B36" s="1">
        <v>7453</v>
      </c>
      <c r="D36" s="1">
        <f>B36</f>
        <v>7453</v>
      </c>
      <c r="E36" s="2"/>
      <c r="F36" s="1"/>
    </row>
    <row r="37" spans="1:6" ht="19.5" customHeight="1">
      <c r="A37" t="s">
        <v>94</v>
      </c>
      <c r="C37" s="1">
        <v>300500</v>
      </c>
      <c r="D37" s="1">
        <f>C37</f>
        <v>300500</v>
      </c>
      <c r="E37" s="2"/>
      <c r="F37" s="1"/>
    </row>
    <row r="38" spans="1:6" ht="34.5" customHeight="1">
      <c r="A38" t="s">
        <v>190</v>
      </c>
      <c r="B38" s="56">
        <f>SUM(B31:B36)</f>
        <v>3445399</v>
      </c>
      <c r="C38" s="56">
        <f>SUM(C31:C37)</f>
        <v>317056</v>
      </c>
      <c r="D38" s="56">
        <f>SUM(D31:D37)</f>
        <v>3762455</v>
      </c>
      <c r="E38" s="1"/>
      <c r="F38" s="57"/>
    </row>
    <row r="39" spans="1:4" ht="34.5" customHeight="1">
      <c r="A39" t="s">
        <v>43</v>
      </c>
      <c r="D39" s="1">
        <f>Income!B8</f>
        <v>3171411</v>
      </c>
    </row>
    <row r="40" spans="1:6" ht="34.5" customHeight="1">
      <c r="A40" t="s">
        <v>191</v>
      </c>
      <c r="B40" s="3"/>
      <c r="C40" s="13"/>
      <c r="D40" s="56">
        <f>D38-D39</f>
        <v>591044</v>
      </c>
      <c r="F40" s="2"/>
    </row>
    <row r="41" spans="3:4" ht="21.75" customHeight="1">
      <c r="C41" s="13"/>
      <c r="D41" s="13"/>
    </row>
    <row r="42" ht="21.75" customHeight="1">
      <c r="E42" s="1"/>
    </row>
    <row r="43" ht="21.75" customHeight="1">
      <c r="E43" s="48"/>
    </row>
    <row r="51" ht="21.75" customHeight="1">
      <c r="E51" s="2">
        <f>D51-B51</f>
        <v>0</v>
      </c>
    </row>
    <row r="53" ht="21.75" customHeight="1">
      <c r="E53" t="s">
        <v>92</v>
      </c>
    </row>
  </sheetData>
  <mergeCells count="2">
    <mergeCell ref="A1:D1"/>
    <mergeCell ref="A2:D2"/>
  </mergeCells>
  <printOptions gridLines="1" horizontalCentered="1"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&amp; Elovitz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Carryn Lee</dc:creator>
  <cp:keywords/>
  <dc:description/>
  <cp:lastModifiedBy>tom.green</cp:lastModifiedBy>
  <cp:lastPrinted>2010-01-26T18:22:16Z</cp:lastPrinted>
  <dcterms:created xsi:type="dcterms:W3CDTF">2009-06-07T19:21:42Z</dcterms:created>
  <dcterms:modified xsi:type="dcterms:W3CDTF">2010-01-29T18:43:29Z</dcterms:modified>
  <cp:category/>
  <cp:version/>
  <cp:contentType/>
  <cp:contentStatus/>
</cp:coreProperties>
</file>