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0" yWindow="65521" windowWidth="11565" windowHeight="11640" tabRatio="782" firstSheet="5" activeTab="11"/>
  </bookViews>
  <sheets>
    <sheet name="Earnings" sheetId="1" r:id="rId1"/>
    <sheet name="$perShare" sheetId="2" r:id="rId2"/>
    <sheet name="DATA" sheetId="3" r:id="rId3"/>
    <sheet name="Sch2G" sheetId="4" r:id="rId4"/>
    <sheet name="Sch3,p3" sheetId="5" r:id="rId5"/>
    <sheet name="Sch3,p4" sheetId="6" r:id="rId6"/>
    <sheet name="Sch4p2" sheetId="7" r:id="rId7"/>
    <sheet name="Sch5p2" sheetId="8" r:id="rId8"/>
    <sheet name="Sch7p2" sheetId="9" r:id="rId9"/>
    <sheet name="Sch9p2" sheetId="10" r:id="rId10"/>
    <sheet name="Sch10,p3" sheetId="11" r:id="rId11"/>
    <sheet name="Sch10p4" sheetId="12" r:id="rId12"/>
  </sheets>
  <definedNames>
    <definedName name="_xlnm.Print_Area" localSheetId="10">'Sch10,p3'!$A$1:$K$29</definedName>
    <definedName name="_xlnm.Print_Area" localSheetId="11">'Sch10p4'!$A$1:$K$29</definedName>
    <definedName name="_xlnm.Print_Area" localSheetId="3">'Sch2G'!$A$1:$K$167</definedName>
    <definedName name="_xlnm.Print_Area" localSheetId="4">'Sch3,p3'!$A$1:$L$33</definedName>
    <definedName name="_xlnm.Print_Area" localSheetId="5">'Sch3,p4'!$A$1:$M$26</definedName>
    <definedName name="_xlnm.Print_Area" localSheetId="6">'Sch4p2'!$A$1:$E$30</definedName>
    <definedName name="_xlnm.Print_Area" localSheetId="7">'Sch5p2'!$A$1:$E$28</definedName>
    <definedName name="_xlnm.Print_Area" localSheetId="8">'Sch7p2'!$A$1:$E$36</definedName>
    <definedName name="_xlnm.Print_Area" localSheetId="9">'Sch9p2'!$A$1:$G$35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<sst xmlns="http://schemas.openxmlformats.org/spreadsheetml/2006/main" count="935" uniqueCount="205">
  <si>
    <t>CAPM COST OF EQUITY CAPITAL</t>
  </si>
  <si>
    <t>k</t>
  </si>
  <si>
    <t xml:space="preserve">EQUITY </t>
  </si>
  <si>
    <t>Zack's average earnings growth = 6.4%.</t>
  </si>
  <si>
    <t xml:space="preserve">ATG-4,0%, GAS-6.5%, NI-2.5%, NWN-6.8%, PNY-7.6%, SJI-8.0%, SWX-8.0%, WGL-7.5%, CPK-6.8%, </t>
  </si>
  <si>
    <t>*</t>
  </si>
  <si>
    <t>DCF GROWTH RATES</t>
  </si>
  <si>
    <t>br</t>
  </si>
  <si>
    <t>6 Mos Ago</t>
  </si>
  <si>
    <t>Industry</t>
  </si>
  <si>
    <r>
      <t xml:space="preserve">†† Mid-point long- and short-term market risk premium from Brealey, R., Meyers, S., Allen, F., </t>
    </r>
    <r>
      <rPr>
        <u val="single"/>
        <sz val="10"/>
        <rFont val="Times"/>
        <family val="0"/>
      </rPr>
      <t>Principles</t>
    </r>
  </si>
  <si>
    <r>
      <t>of Corporate Finance</t>
    </r>
    <r>
      <rPr>
        <sz val="10"/>
        <rFont val="Times"/>
        <family val="0"/>
      </rPr>
      <t>, 8th Edition, McGraw-Hill, Irwin, Boston MA, 2006, pp. 149, 154, 222.</t>
    </r>
  </si>
  <si>
    <t>[3]=[1]/[2]</t>
  </si>
  <si>
    <t>[4]</t>
  </si>
  <si>
    <t>[5]</t>
  </si>
  <si>
    <t>COST OF EQUITY</t>
  </si>
  <si>
    <t>[rf]*</t>
  </si>
  <si>
    <t>[rm - rf]†</t>
  </si>
  <si>
    <t>PROJECTED M.E.P.R.</t>
  </si>
  <si>
    <t>INCR?</t>
  </si>
  <si>
    <t>6.50% (arithmetic mean)</t>
  </si>
  <si>
    <t>MEAN</t>
  </si>
  <si>
    <t>AGL Resources</t>
  </si>
  <si>
    <t>NICOR</t>
  </si>
  <si>
    <t>NiSource</t>
  </si>
  <si>
    <t>Northwest Natrual Gas</t>
  </si>
  <si>
    <t>Piedmont Natural Gas</t>
  </si>
  <si>
    <t>South Jersey Industries</t>
  </si>
  <si>
    <t>Southwest Gas</t>
  </si>
  <si>
    <t>WGL Holdings</t>
  </si>
  <si>
    <t>Chesapeake Utilities Corp.</t>
  </si>
  <si>
    <t>Percent Gas</t>
  </si>
  <si>
    <t>Eq Ratio</t>
  </si>
  <si>
    <t>ATG</t>
  </si>
  <si>
    <t>GAS</t>
  </si>
  <si>
    <t>NI</t>
  </si>
  <si>
    <t>NWN</t>
  </si>
  <si>
    <t>PNY</t>
  </si>
  <si>
    <t>SJI</t>
  </si>
  <si>
    <t>SWX</t>
  </si>
  <si>
    <t>WGL</t>
  </si>
  <si>
    <t>CPK</t>
  </si>
  <si>
    <t>KENTUCKY-AMERICAN WATER COMPANY</t>
  </si>
  <si>
    <t>12/8/08-1/27/09</t>
  </si>
  <si>
    <t>2004-2006</t>
  </si>
  <si>
    <t xml:space="preserve">Market </t>
  </si>
  <si>
    <t>Price</t>
  </si>
  <si>
    <t>Earnings-Price</t>
  </si>
  <si>
    <t>Ratio</t>
  </si>
  <si>
    <t>k=</t>
  </si>
  <si>
    <t>(1-</t>
  </si>
  <si>
    <t>)/</t>
  </si>
  <si>
    <t>MARKET-TO-BOOK</t>
  </si>
  <si>
    <t>ROE(decimal)</t>
  </si>
  <si>
    <t>BVPS</t>
  </si>
  <si>
    <t>SHARES OUTST</t>
  </si>
  <si>
    <t>EARN GROWTH</t>
  </si>
  <si>
    <t>5-yr Compound Hist.</t>
  </si>
  <si>
    <t>AVERAGES</t>
  </si>
  <si>
    <t>&amp; VL</t>
  </si>
  <si>
    <t>AVGS.</t>
  </si>
  <si>
    <t>Schedule 5</t>
  </si>
  <si>
    <t>Note: Equity returns and retention ratios based on Value Line three- to five-year projections.</t>
  </si>
  <si>
    <t>Page 6 of 6</t>
  </si>
  <si>
    <t>CURRENT M.E.P.R.</t>
  </si>
  <si>
    <t>sel &amp; opin</t>
  </si>
  <si>
    <t>T-Bill</t>
  </si>
  <si>
    <t xml:space="preserve"> T-Bonds</t>
  </si>
  <si>
    <t>AVERAGE</t>
  </si>
  <si>
    <t>DCF COST OF EQUITY CAPITAL</t>
  </si>
  <si>
    <t>SHARE</t>
  </si>
  <si>
    <t>RATIO</t>
  </si>
  <si>
    <t>Page 4 of 5</t>
  </si>
  <si>
    <t>Page 5 of 5</t>
  </si>
  <si>
    <t>Data from Value Line Ratings and Reports, March 28, May 9, May 30, 2008.</t>
  </si>
  <si>
    <t>UTILITES</t>
  </si>
  <si>
    <t>Volume</t>
  </si>
  <si>
    <t>DIVIDEND YIELD</t>
  </si>
  <si>
    <t>GROWTH RATE</t>
  </si>
  <si>
    <t>DCF COST OF</t>
  </si>
  <si>
    <t>DIV GROWTH</t>
  </si>
  <si>
    <t>Current</t>
  </si>
  <si>
    <t>Projected</t>
  </si>
  <si>
    <t>MARKET</t>
  </si>
  <si>
    <t>CURRENT</t>
  </si>
  <si>
    <t>5YR HIST</t>
  </si>
  <si>
    <t>BETA (VL)</t>
  </si>
  <si>
    <t>k = R.O.E.(1-b)/(M/B) + g</t>
  </si>
  <si>
    <t>PRICE</t>
  </si>
  <si>
    <t>(Per Share)</t>
  </si>
  <si>
    <t>(Per share)</t>
  </si>
  <si>
    <t>DCF GROWTH RATE PARAMETERS</t>
  </si>
  <si>
    <t>COMPANY</t>
  </si>
  <si>
    <t xml:space="preserve">INTERNAL </t>
  </si>
  <si>
    <t>GROWTH</t>
  </si>
  <si>
    <t>BV GROWTH</t>
  </si>
  <si>
    <t>PROJ 5-YR EPS</t>
  </si>
  <si>
    <t>High</t>
  </si>
  <si>
    <t>Low</t>
  </si>
  <si>
    <t>Close</t>
  </si>
  <si>
    <t>g*= expected growth in number of shares outstanding</t>
  </si>
  <si>
    <t>2.81% + 3.58%/3.80%/7.47%</t>
  </si>
  <si>
    <t>[2008]</t>
  </si>
  <si>
    <t>6.58%/6.68%/7.66%</t>
  </si>
  <si>
    <t>Data from Value Line Ratings &amp; Reports, December 12, 2008.</t>
  </si>
  <si>
    <t>Schedule 2</t>
  </si>
  <si>
    <t>Page 4 of 6</t>
  </si>
  <si>
    <t>Page 5 of 6</t>
  </si>
  <si>
    <t>Schedule 3</t>
  </si>
  <si>
    <t>Page 3 of 4</t>
  </si>
  <si>
    <t>Page 4 of 4</t>
  </si>
  <si>
    <t>*Current T-Bill &amp; T-Bond yields, six-week average yield from Value Line Selection &amp; Opinion (12/19/08-1/23/09)</t>
  </si>
  <si>
    <t>Value Line Projected</t>
  </si>
  <si>
    <t>Value Line Historic</t>
  </si>
  <si>
    <t>BAA-RATED</t>
  </si>
  <si>
    <t>y</t>
  </si>
  <si>
    <t>5 YR Hist BxR</t>
  </si>
  <si>
    <t>3/5 Yr Proj BxR</t>
  </si>
  <si>
    <t>GAS DISTRIBUTION UTILITIES</t>
  </si>
  <si>
    <t>GAS DISTRIBUTIION UTILITIES</t>
  </si>
  <si>
    <t>n.a</t>
  </si>
  <si>
    <t>Note: Equity returns and retention ratios based on Value Line current year projections.</t>
  </si>
  <si>
    <t>5YR PROJ</t>
  </si>
  <si>
    <t>TICKER</t>
  </si>
  <si>
    <t>T-BONDS</t>
  </si>
  <si>
    <t>5.00% (geometric mean)</t>
  </si>
  <si>
    <t>k = rf + B (rm - rf)</t>
  </si>
  <si>
    <t>"g"</t>
  </si>
  <si>
    <t>Average</t>
  </si>
  <si>
    <t>value line</t>
  </si>
  <si>
    <t>30-year</t>
  </si>
  <si>
    <t>DCF</t>
  </si>
  <si>
    <t>Growth</t>
  </si>
  <si>
    <t>Schedule 6</t>
  </si>
  <si>
    <t>Schedule 10</t>
  </si>
  <si>
    <t>No. analysts</t>
  </si>
  <si>
    <t>5-year Growth</t>
  </si>
  <si>
    <t>Zack's</t>
  </si>
  <si>
    <t>Data from Value Line Ratings &amp; Reports March 1 and March 29, 2002.</t>
  </si>
  <si>
    <t>Industry Average 2008 P/E=11.7</t>
  </si>
  <si>
    <t>+</t>
  </si>
  <si>
    <t>DIVIDEND</t>
  </si>
  <si>
    <t>EPS</t>
  </si>
  <si>
    <t>DPS</t>
  </si>
  <si>
    <t>Page 2 of 2</t>
  </si>
  <si>
    <t>[2011-2013]</t>
  </si>
  <si>
    <t>average beta</t>
  </si>
  <si>
    <t>[rm - rf]††</t>
  </si>
  <si>
    <t>†Geometric and arithmetric market risk premiums from Morningstar 2007 SBBI Yearbook, p. 28.</t>
  </si>
  <si>
    <t>GROWTH RATE COMPARISON</t>
  </si>
  <si>
    <t>sv=g*(1-(1/(M/B)))</t>
  </si>
  <si>
    <t>(</t>
  </si>
  <si>
    <t>(1/</t>
  </si>
  <si>
    <t>)))</t>
  </si>
  <si>
    <t>ELECTRIC UTILITIES</t>
  </si>
  <si>
    <t>IBES</t>
  </si>
  <si>
    <t>2009 Earnings</t>
  </si>
  <si>
    <t>2011-2013</t>
  </si>
  <si>
    <t>[1]</t>
  </si>
  <si>
    <t>[2]</t>
  </si>
  <si>
    <t>RETURN</t>
  </si>
  <si>
    <t>n</t>
  </si>
  <si>
    <t>Schedule 4</t>
  </si>
  <si>
    <t xml:space="preserve">Value Line </t>
  </si>
  <si>
    <t xml:space="preserve">Year-ahead </t>
  </si>
  <si>
    <t>MARKET-TO-BOOK RATIO ANALYSIS</t>
  </si>
  <si>
    <t>P/E</t>
  </si>
  <si>
    <t>Date</t>
  </si>
  <si>
    <t>Open</t>
  </si>
  <si>
    <t>=</t>
  </si>
  <si>
    <t>g</t>
  </si>
  <si>
    <t>Average Market-to-Book Ratio</t>
  </si>
  <si>
    <t>average</t>
  </si>
  <si>
    <t>Exhbit_(SGH-1)</t>
  </si>
  <si>
    <t>STOCK PRICE, DIVIDENDS, YIELDS</t>
  </si>
  <si>
    <t>AVG. STOCK PRICE</t>
  </si>
  <si>
    <t>ANNUALIZED</t>
  </si>
  <si>
    <t>YIELD</t>
  </si>
  <si>
    <t>(PER SHARE)</t>
  </si>
  <si>
    <t>Dividend Yield</t>
  </si>
  <si>
    <t>STANDARD DEVIATION</t>
  </si>
  <si>
    <t>R.O.E.</t>
  </si>
  <si>
    <t xml:space="preserve"> AVERAGE</t>
  </si>
  <si>
    <t>($/SHARE)</t>
  </si>
  <si>
    <t>(MILLIONS)</t>
  </si>
  <si>
    <t>AVERAGE GROWTH</t>
  </si>
  <si>
    <t>-</t>
  </si>
  <si>
    <t>EQUITY CAPITAL</t>
  </si>
  <si>
    <t>n/a</t>
  </si>
  <si>
    <t>* Dividend increased by (1+g), derived on Schedule 5.</t>
  </si>
  <si>
    <t>Exhibit_(SGH-1)</t>
  </si>
  <si>
    <t>BOOK VALUE</t>
  </si>
  <si>
    <t>SHARES OUTST.</t>
  </si>
  <si>
    <t xml:space="preserve">Zack's growth rates: </t>
  </si>
  <si>
    <t>MEDIAN</t>
  </si>
  <si>
    <t>Exhibit__(SGH-1)</t>
  </si>
  <si>
    <t>NAME/</t>
  </si>
  <si>
    <t>MODIFIED EARNINGS-PRICE RATIO ANALYSIS</t>
  </si>
  <si>
    <t>MAXIMUM</t>
  </si>
  <si>
    <t>MINIMUM</t>
  </si>
  <si>
    <t>EXTERNAL</t>
  </si>
  <si>
    <t>RETENTION</t>
  </si>
  <si>
    <t>2.81% + 0.72 (5.00%/5.30%/6.50%)</t>
  </si>
  <si>
    <t>Schedule 9</t>
  </si>
  <si>
    <t>Schedule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</si>
</sst>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%"/>
    <numFmt numFmtId="165" formatCode="0.0000"/>
    <numFmt numFmtId="166" formatCode="0.000000000000000%"/>
    <numFmt numFmtId="167" formatCode="0.0000%"/>
    <numFmt numFmtId="168" formatCode="0.00000%"/>
    <numFmt numFmtId="169" formatCode="0.0000000000000000%"/>
    <numFmt numFmtId="170" formatCode="0.000%"/>
    <numFmt numFmtId="171" formatCode="0.000"/>
    <numFmt numFmtId="172" formatCode="0.0"/>
    <numFmt numFmtId="173" formatCode="0.0%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"/>
      <family val="0"/>
    </font>
    <font>
      <b/>
      <sz val="10"/>
      <name val="Times"/>
      <family val="0"/>
    </font>
    <font>
      <u val="single"/>
      <sz val="10"/>
      <name val="Times"/>
      <family val="0"/>
    </font>
    <font>
      <sz val="10"/>
      <color indexed="12"/>
      <name val="Times"/>
      <family val="0"/>
    </font>
    <font>
      <sz val="10"/>
      <color indexed="8"/>
      <name val="Times"/>
      <family val="0"/>
    </font>
    <font>
      <sz val="9"/>
      <name val="Courier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10"/>
      <name val="Times"/>
      <family val="0"/>
    </font>
    <font>
      <sz val="9"/>
      <name val="Helv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/>
    </xf>
    <xf numFmtId="10" fontId="4" fillId="0" borderId="5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/>
    </xf>
    <xf numFmtId="10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10" fontId="4" fillId="0" borderId="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Fill="1" applyAlignment="1" applyProtection="1">
      <alignment horizontal="center"/>
      <protection locked="0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1" fontId="15" fillId="0" borderId="0" xfId="0" applyNumberFormat="1" applyFont="1" applyFill="1" applyBorder="1" applyAlignment="1" quotePrefix="1">
      <alignment horizontal="center"/>
    </xf>
    <xf numFmtId="1" fontId="15" fillId="0" borderId="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workbookViewId="0" topLeftCell="A1">
      <selection activeCell="A35" sqref="A35:IV35"/>
    </sheetView>
  </sheetViews>
  <sheetFormatPr defaultColWidth="9.00390625" defaultRowHeight="12"/>
  <cols>
    <col min="1" max="4" width="11.375" style="0" customWidth="1"/>
    <col min="5" max="5" width="14.25390625" style="0" customWidth="1"/>
    <col min="6" max="16384" width="11.375" style="0" customWidth="1"/>
  </cols>
  <sheetData>
    <row r="2" spans="2:10" ht="12">
      <c r="B2" t="s">
        <v>155</v>
      </c>
      <c r="H2" t="s">
        <v>9</v>
      </c>
      <c r="I2">
        <v>0.0712</v>
      </c>
      <c r="J2">
        <v>0.0818</v>
      </c>
    </row>
    <row r="3" ht="12">
      <c r="B3" s="64">
        <v>38366</v>
      </c>
    </row>
    <row r="4" ht="12">
      <c r="I4" t="s">
        <v>21</v>
      </c>
    </row>
    <row r="5" spans="5:10" ht="12">
      <c r="E5" t="s">
        <v>156</v>
      </c>
      <c r="F5" t="s">
        <v>97</v>
      </c>
      <c r="G5" t="s">
        <v>98</v>
      </c>
      <c r="H5" t="s">
        <v>135</v>
      </c>
      <c r="I5" t="s">
        <v>136</v>
      </c>
      <c r="J5" t="s">
        <v>8</v>
      </c>
    </row>
    <row r="6" spans="2:10" ht="12.75">
      <c r="B6" s="1" t="s">
        <v>22</v>
      </c>
      <c r="D6" s="1" t="s">
        <v>33</v>
      </c>
      <c r="E6">
        <v>2.78</v>
      </c>
      <c r="F6">
        <v>0.045</v>
      </c>
      <c r="G6">
        <v>0.04</v>
      </c>
      <c r="H6">
        <v>2</v>
      </c>
      <c r="I6">
        <v>0.0425</v>
      </c>
      <c r="J6">
        <v>0.045</v>
      </c>
    </row>
    <row r="7" spans="2:10" ht="12.75">
      <c r="B7" s="1" t="s">
        <v>23</v>
      </c>
      <c r="D7" s="1" t="s">
        <v>34</v>
      </c>
      <c r="E7">
        <v>2.52</v>
      </c>
      <c r="F7">
        <v>0.03</v>
      </c>
      <c r="G7">
        <v>0.027</v>
      </c>
      <c r="H7">
        <v>2</v>
      </c>
      <c r="I7">
        <v>0.0285</v>
      </c>
      <c r="J7">
        <v>0.04</v>
      </c>
    </row>
    <row r="8" spans="2:9" ht="12.75">
      <c r="B8" s="1" t="s">
        <v>24</v>
      </c>
      <c r="D8" s="1" t="s">
        <v>35</v>
      </c>
      <c r="E8">
        <v>1.2</v>
      </c>
      <c r="F8">
        <v>0.04</v>
      </c>
      <c r="G8">
        <v>-0.04</v>
      </c>
      <c r="H8">
        <v>5</v>
      </c>
      <c r="I8">
        <v>0.016</v>
      </c>
    </row>
    <row r="9" spans="2:10" ht="12.75">
      <c r="B9" s="68" t="s">
        <v>25</v>
      </c>
      <c r="D9" s="1" t="s">
        <v>36</v>
      </c>
      <c r="E9">
        <v>2.72</v>
      </c>
      <c r="F9">
        <v>0.06</v>
      </c>
      <c r="G9">
        <v>0.035</v>
      </c>
      <c r="H9">
        <v>2</v>
      </c>
      <c r="I9">
        <v>0.0475</v>
      </c>
      <c r="J9">
        <v>0.0483</v>
      </c>
    </row>
    <row r="10" spans="2:10" ht="12.75">
      <c r="B10" s="1" t="s">
        <v>26</v>
      </c>
      <c r="D10" s="1" t="s">
        <v>37</v>
      </c>
      <c r="E10">
        <v>1.72</v>
      </c>
      <c r="F10">
        <v>0.1</v>
      </c>
      <c r="G10">
        <v>0.05</v>
      </c>
      <c r="H10">
        <v>3</v>
      </c>
      <c r="I10">
        <v>0.0713</v>
      </c>
      <c r="J10">
        <v>0.056</v>
      </c>
    </row>
    <row r="11" spans="2:10" ht="12.75">
      <c r="B11" s="1" t="s">
        <v>27</v>
      </c>
      <c r="D11" s="1" t="s">
        <v>38</v>
      </c>
      <c r="E11">
        <v>2.4</v>
      </c>
      <c r="F11">
        <v>0.08</v>
      </c>
      <c r="G11">
        <v>0.07</v>
      </c>
      <c r="H11">
        <v>2</v>
      </c>
      <c r="I11">
        <v>0.075</v>
      </c>
      <c r="J11">
        <v>0.066</v>
      </c>
    </row>
    <row r="12" spans="2:10" ht="12.75">
      <c r="B12" s="1" t="s">
        <v>28</v>
      </c>
      <c r="D12" s="1" t="s">
        <v>39</v>
      </c>
      <c r="E12">
        <v>2.18</v>
      </c>
      <c r="F12">
        <v>0.06</v>
      </c>
      <c r="G12">
        <v>0.06</v>
      </c>
      <c r="H12">
        <v>2</v>
      </c>
      <c r="I12">
        <v>0.06</v>
      </c>
      <c r="J12">
        <v>0.06</v>
      </c>
    </row>
    <row r="13" spans="2:10" ht="12.75">
      <c r="B13" s="1" t="s">
        <v>29</v>
      </c>
      <c r="D13" s="1" t="s">
        <v>40</v>
      </c>
      <c r="E13">
        <v>2.38</v>
      </c>
      <c r="F13">
        <v>0.04</v>
      </c>
      <c r="G13">
        <v>0.04</v>
      </c>
      <c r="H13">
        <v>1</v>
      </c>
      <c r="I13">
        <v>0.04</v>
      </c>
      <c r="J13">
        <v>0.055</v>
      </c>
    </row>
    <row r="14" spans="2:10" ht="12.75">
      <c r="B14" s="1" t="s">
        <v>30</v>
      </c>
      <c r="D14" s="1" t="s">
        <v>41</v>
      </c>
      <c r="E14">
        <v>2.14</v>
      </c>
      <c r="F14">
        <v>0.06</v>
      </c>
      <c r="G14">
        <v>0.042</v>
      </c>
      <c r="H14">
        <v>2</v>
      </c>
      <c r="I14">
        <v>0.051</v>
      </c>
      <c r="J14">
        <v>0.07</v>
      </c>
    </row>
    <row r="15" spans="2:4" ht="12.75">
      <c r="B15" s="49"/>
      <c r="D15" s="3"/>
    </row>
    <row r="16" spans="2:10" ht="12.75">
      <c r="B16" s="49"/>
      <c r="D16" s="3" t="s">
        <v>128</v>
      </c>
      <c r="E16" s="69">
        <f aca="true" t="shared" si="0" ref="E16:J16">AVERAGE(E6:E14)</f>
        <v>2.226666666666667</v>
      </c>
      <c r="F16" s="69">
        <f t="shared" si="0"/>
        <v>0.05722222222222222</v>
      </c>
      <c r="G16" s="69">
        <f t="shared" si="0"/>
        <v>0.036000000000000004</v>
      </c>
      <c r="H16" s="69">
        <f t="shared" si="0"/>
        <v>2.3333333333333335</v>
      </c>
      <c r="I16" s="69">
        <f t="shared" si="0"/>
        <v>0.04797777777777777</v>
      </c>
      <c r="J16" s="69">
        <f t="shared" si="0"/>
        <v>0.055037499999999996</v>
      </c>
    </row>
    <row r="22" ht="12">
      <c r="B22" t="s">
        <v>137</v>
      </c>
    </row>
    <row r="23" ht="12">
      <c r="B23" s="64">
        <v>38374</v>
      </c>
    </row>
    <row r="25" spans="5:7" ht="12">
      <c r="E25" t="s">
        <v>156</v>
      </c>
      <c r="F25" t="s">
        <v>136</v>
      </c>
      <c r="G25" t="s">
        <v>166</v>
      </c>
    </row>
    <row r="26" spans="2:7" ht="12.75">
      <c r="B26" s="1" t="s">
        <v>22</v>
      </c>
      <c r="D26" s="1" t="s">
        <v>33</v>
      </c>
      <c r="E26">
        <v>2.78</v>
      </c>
      <c r="F26">
        <v>0.043</v>
      </c>
      <c r="G26">
        <v>11.2</v>
      </c>
    </row>
    <row r="27" spans="2:7" ht="12.75">
      <c r="B27" s="1" t="s">
        <v>23</v>
      </c>
      <c r="D27" s="1" t="s">
        <v>34</v>
      </c>
      <c r="E27">
        <v>2.55</v>
      </c>
      <c r="F27">
        <v>0.065</v>
      </c>
      <c r="G27">
        <v>13.1</v>
      </c>
    </row>
    <row r="28" spans="2:7" ht="12.75">
      <c r="B28" s="1" t="s">
        <v>24</v>
      </c>
      <c r="D28" s="1" t="s">
        <v>35</v>
      </c>
      <c r="E28">
        <v>1.23</v>
      </c>
      <c r="F28">
        <v>0.025</v>
      </c>
      <c r="G28">
        <v>8.5</v>
      </c>
    </row>
    <row r="29" spans="2:7" ht="12.75">
      <c r="B29" s="68" t="s">
        <v>25</v>
      </c>
      <c r="D29" s="1" t="s">
        <v>36</v>
      </c>
      <c r="E29">
        <v>2.71</v>
      </c>
      <c r="F29">
        <v>0.068</v>
      </c>
      <c r="G29">
        <v>15.5</v>
      </c>
    </row>
    <row r="30" spans="2:7" ht="12.75">
      <c r="B30" s="1" t="s">
        <v>26</v>
      </c>
      <c r="D30" s="1" t="s">
        <v>37</v>
      </c>
      <c r="E30">
        <v>1.73</v>
      </c>
      <c r="F30">
        <v>0.076</v>
      </c>
      <c r="G30">
        <v>15.9</v>
      </c>
    </row>
    <row r="31" spans="2:7" ht="12.75">
      <c r="B31" s="1" t="s">
        <v>27</v>
      </c>
      <c r="D31" s="1" t="s">
        <v>38</v>
      </c>
      <c r="E31">
        <v>2.4</v>
      </c>
      <c r="F31">
        <v>0.08</v>
      </c>
      <c r="G31">
        <v>15.3</v>
      </c>
    </row>
    <row r="32" spans="2:7" ht="12.75">
      <c r="B32" s="1" t="s">
        <v>28</v>
      </c>
      <c r="D32" s="1" t="s">
        <v>39</v>
      </c>
      <c r="E32">
        <v>2.18</v>
      </c>
      <c r="F32">
        <v>0.08</v>
      </c>
      <c r="G32">
        <v>11.4</v>
      </c>
    </row>
    <row r="33" spans="2:7" ht="12.75">
      <c r="B33" s="1" t="s">
        <v>29</v>
      </c>
      <c r="D33" s="1" t="s">
        <v>40</v>
      </c>
      <c r="E33">
        <v>2.44</v>
      </c>
      <c r="F33">
        <v>0.075</v>
      </c>
      <c r="G33">
        <v>13.6</v>
      </c>
    </row>
    <row r="34" spans="2:7" ht="12.75">
      <c r="B34" s="1" t="s">
        <v>30</v>
      </c>
      <c r="D34" s="1" t="s">
        <v>41</v>
      </c>
      <c r="E34">
        <v>2.15</v>
      </c>
      <c r="F34">
        <v>0.068</v>
      </c>
      <c r="G34">
        <v>12.5</v>
      </c>
    </row>
    <row r="36" spans="4:7" ht="12.75">
      <c r="D36" s="61" t="s">
        <v>128</v>
      </c>
      <c r="E36">
        <f>AVERAGE(E26:E34)</f>
        <v>2.241111111111111</v>
      </c>
      <c r="F36" s="78">
        <f>AVERAGE(F26:F34)</f>
        <v>0.06444444444444446</v>
      </c>
      <c r="G36">
        <f>AVERAGE(G26:G34)</f>
        <v>13</v>
      </c>
    </row>
    <row r="37" ht="12">
      <c r="G37" t="s">
        <v>139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G4" sqref="G4"/>
    </sheetView>
  </sheetViews>
  <sheetFormatPr defaultColWidth="9.00390625" defaultRowHeight="12"/>
  <cols>
    <col min="1" max="1" width="11.375" style="0" customWidth="1"/>
    <col min="2" max="2" width="14.75390625" style="0" customWidth="1"/>
    <col min="3" max="3" width="11.75390625" style="0" customWidth="1"/>
    <col min="4" max="4" width="11.375" style="0" customWidth="1"/>
    <col min="5" max="5" width="8.00390625" style="0" customWidth="1"/>
    <col min="6" max="6" width="11.375" style="0" customWidth="1"/>
    <col min="7" max="7" width="12.375" style="0" customWidth="1"/>
    <col min="8" max="16384" width="11.375" style="0" customWidth="1"/>
  </cols>
  <sheetData>
    <row r="1" spans="1:7" ht="12.75">
      <c r="A1" s="3"/>
      <c r="B1" s="3"/>
      <c r="C1" s="3"/>
      <c r="D1" s="3"/>
      <c r="E1" s="3"/>
      <c r="F1" s="3"/>
      <c r="G1" s="3" t="s">
        <v>190</v>
      </c>
    </row>
    <row r="2" spans="1:7" ht="12.75">
      <c r="A2" s="3"/>
      <c r="B2" s="3"/>
      <c r="C2" s="3"/>
      <c r="D2" s="3"/>
      <c r="E2" s="3"/>
      <c r="F2" s="3"/>
      <c r="G2" s="3" t="s">
        <v>203</v>
      </c>
    </row>
    <row r="3" spans="1:7" ht="12.75">
      <c r="A3" s="3"/>
      <c r="B3" s="3"/>
      <c r="C3" s="3"/>
      <c r="D3" s="3"/>
      <c r="E3" s="3"/>
      <c r="F3" s="3"/>
      <c r="G3" s="3" t="s">
        <v>144</v>
      </c>
    </row>
    <row r="4" spans="1:7" ht="12.75">
      <c r="A4" s="3"/>
      <c r="B4" s="3"/>
      <c r="C4" s="3"/>
      <c r="D4" s="3"/>
      <c r="E4" s="3"/>
      <c r="F4" s="3"/>
      <c r="G4" s="1"/>
    </row>
    <row r="5" spans="1:7" ht="12.75">
      <c r="A5" s="3"/>
      <c r="B5" s="3"/>
      <c r="C5" s="3"/>
      <c r="D5" s="9" t="str">
        <f>DATA!A1</f>
        <v>KENTUCKY-AMERICAN WATER COMPANY</v>
      </c>
      <c r="E5" s="3"/>
      <c r="F5" s="3"/>
      <c r="G5" s="3"/>
    </row>
    <row r="6" spans="1:7" ht="12.75">
      <c r="A6" s="3"/>
      <c r="B6" s="3"/>
      <c r="C6" s="3"/>
      <c r="D6" s="9"/>
      <c r="E6" s="3"/>
      <c r="F6" s="3"/>
      <c r="G6" s="3"/>
    </row>
    <row r="7" spans="1:7" ht="12.75">
      <c r="A7" s="3"/>
      <c r="B7" s="3"/>
      <c r="C7" s="3"/>
      <c r="D7" s="9" t="s">
        <v>197</v>
      </c>
      <c r="E7" s="3"/>
      <c r="F7" s="3"/>
      <c r="G7" s="3"/>
    </row>
    <row r="8" spans="1:7" ht="12.75">
      <c r="A8" s="3"/>
      <c r="B8" s="3"/>
      <c r="C8" s="3"/>
      <c r="D8" s="3" t="s">
        <v>119</v>
      </c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C10" s="3"/>
      <c r="D10" s="3"/>
      <c r="E10" s="3"/>
      <c r="F10" s="3"/>
      <c r="G10" s="3"/>
    </row>
    <row r="11" spans="1:7" ht="12.75">
      <c r="A11" s="3"/>
      <c r="B11" s="3" t="s">
        <v>155</v>
      </c>
      <c r="C11" s="3" t="s">
        <v>45</v>
      </c>
      <c r="D11" s="3" t="s">
        <v>47</v>
      </c>
      <c r="E11" s="3"/>
      <c r="F11" s="3" t="s">
        <v>81</v>
      </c>
      <c r="G11" s="3" t="s">
        <v>82</v>
      </c>
    </row>
    <row r="12" spans="1:7" ht="12.75">
      <c r="A12" s="17" t="s">
        <v>92</v>
      </c>
      <c r="B12" s="17" t="s">
        <v>156</v>
      </c>
      <c r="C12" s="17" t="s">
        <v>46</v>
      </c>
      <c r="D12" s="17" t="s">
        <v>48</v>
      </c>
      <c r="E12" s="17"/>
      <c r="F12" s="17" t="s">
        <v>181</v>
      </c>
      <c r="G12" s="17" t="s">
        <v>181</v>
      </c>
    </row>
    <row r="13" spans="1:7" ht="12.75">
      <c r="A13" s="3"/>
      <c r="B13" s="3" t="s">
        <v>89</v>
      </c>
      <c r="C13" s="3" t="s">
        <v>90</v>
      </c>
      <c r="D13" s="3"/>
      <c r="E13" s="3"/>
      <c r="F13" s="3">
        <f>DATA!L3</f>
        <v>2009</v>
      </c>
      <c r="G13" s="3" t="str">
        <f>DATA!M3</f>
        <v>2011-2013</v>
      </c>
    </row>
    <row r="14" spans="1:7" ht="12.75">
      <c r="A14" s="3"/>
      <c r="B14" s="3" t="s">
        <v>158</v>
      </c>
      <c r="C14" s="3" t="s">
        <v>159</v>
      </c>
      <c r="D14" s="3" t="s">
        <v>12</v>
      </c>
      <c r="E14" s="3"/>
      <c r="F14" s="3" t="s">
        <v>13</v>
      </c>
      <c r="G14" s="3" t="s">
        <v>14</v>
      </c>
    </row>
    <row r="15" spans="1:7" ht="21.75" customHeight="1">
      <c r="A15" s="3" t="str">
        <f>DATA!A5</f>
        <v>ATG</v>
      </c>
      <c r="B15" s="43">
        <f>DATA!L5</f>
        <v>2.8</v>
      </c>
      <c r="C15" s="43">
        <f>DATA!B5</f>
        <v>30.21466666666667</v>
      </c>
      <c r="D15" s="6">
        <f aca="true" t="shared" si="0" ref="D15:D23">B15/C15</f>
        <v>0.09267022638012443</v>
      </c>
      <c r="E15" s="3"/>
      <c r="F15" s="6">
        <f>DATA!AB5</f>
        <v>0.125</v>
      </c>
      <c r="G15" s="6">
        <f>DATA!AC5</f>
        <v>0.135</v>
      </c>
    </row>
    <row r="16" spans="1:7" ht="21.75" customHeight="1">
      <c r="A16" s="3" t="str">
        <f>DATA!A6</f>
        <v>GAS</v>
      </c>
      <c r="B16" s="43">
        <f>DATA!AZ6</f>
        <v>2.52</v>
      </c>
      <c r="C16" s="43">
        <f>DATA!B6</f>
        <v>34.408</v>
      </c>
      <c r="D16" s="6">
        <f t="shared" si="0"/>
        <v>0.07323878167867938</v>
      </c>
      <c r="E16" s="3"/>
      <c r="F16" s="6">
        <f>DATA!AB6</f>
        <v>0.115</v>
      </c>
      <c r="G16" s="6">
        <f>DATA!AC6</f>
        <v>0.135</v>
      </c>
    </row>
    <row r="17" spans="1:7" ht="21.75" customHeight="1">
      <c r="A17" s="3" t="str">
        <f>DATA!A7</f>
        <v>NI</v>
      </c>
      <c r="B17" s="43">
        <f>DATA!AZ7</f>
        <v>1.2</v>
      </c>
      <c r="C17" s="43">
        <f>DATA!B7</f>
        <v>10.988666666666665</v>
      </c>
      <c r="D17" s="6">
        <f t="shared" si="0"/>
        <v>0.1092034217072135</v>
      </c>
      <c r="E17" s="3"/>
      <c r="F17" s="6">
        <f>DATA!AB7</f>
        <v>0.065</v>
      </c>
      <c r="G17" s="6">
        <f>DATA!AC7</f>
        <v>0.075</v>
      </c>
    </row>
    <row r="18" spans="1:7" ht="21.75" customHeight="1">
      <c r="A18" s="3" t="str">
        <f>DATA!A8</f>
        <v>NWN</v>
      </c>
      <c r="B18" s="43">
        <f>DATA!L8</f>
        <v>2.8</v>
      </c>
      <c r="C18" s="43">
        <f>DATA!B8</f>
        <v>43.47533333333333</v>
      </c>
      <c r="D18" s="6">
        <f t="shared" si="0"/>
        <v>0.06440433655866161</v>
      </c>
      <c r="E18" s="3"/>
      <c r="F18" s="6">
        <f>DATA!AB8</f>
        <v>0.115</v>
      </c>
      <c r="G18" s="6">
        <f>DATA!AC8</f>
        <v>0.11</v>
      </c>
    </row>
    <row r="19" spans="1:7" ht="21.75" customHeight="1">
      <c r="A19" s="3" t="str">
        <f>DATA!A9</f>
        <v>PNY</v>
      </c>
      <c r="B19" s="43">
        <f>DATA!AZ9</f>
        <v>1.72</v>
      </c>
      <c r="C19" s="43">
        <f>DATA!B9</f>
        <v>29.67566666666666</v>
      </c>
      <c r="D19" s="6">
        <f t="shared" si="0"/>
        <v>0.05795994473586666</v>
      </c>
      <c r="E19" s="3"/>
      <c r="F19" s="6">
        <f>DATA!AB9</f>
        <v>0.125</v>
      </c>
      <c r="G19" s="6">
        <f>DATA!AC9</f>
        <v>0.135</v>
      </c>
    </row>
    <row r="20" spans="1:7" ht="21.75" customHeight="1">
      <c r="A20" s="3" t="str">
        <f>DATA!A10</f>
        <v>SJI</v>
      </c>
      <c r="B20" s="43">
        <f>DATA!AZ10</f>
        <v>2.4</v>
      </c>
      <c r="C20" s="43">
        <f>DATA!B10</f>
        <v>37.17166666666667</v>
      </c>
      <c r="D20" s="6">
        <f t="shared" si="0"/>
        <v>0.06456530511590369</v>
      </c>
      <c r="E20" s="3"/>
      <c r="F20" s="6">
        <f>DATA!AB10</f>
        <v>0.145</v>
      </c>
      <c r="G20" s="6">
        <f>DATA!AC10</f>
        <v>0.16</v>
      </c>
    </row>
    <row r="21" spans="1:7" ht="21.75" customHeight="1">
      <c r="A21" s="3" t="str">
        <f>DATA!A11</f>
        <v>SWX</v>
      </c>
      <c r="B21" s="43">
        <f>DATA!AZ11</f>
        <v>2.18</v>
      </c>
      <c r="C21" s="43">
        <f>DATA!B11</f>
        <v>24.576666666666668</v>
      </c>
      <c r="D21" s="6">
        <f t="shared" si="0"/>
        <v>0.08870202088702021</v>
      </c>
      <c r="E21" s="3"/>
      <c r="F21" s="6">
        <f>DATA!AB11</f>
        <v>0.08</v>
      </c>
      <c r="G21" s="6">
        <f>DATA!AC11</f>
        <v>0.095</v>
      </c>
    </row>
    <row r="22" spans="1:7" ht="21.75" customHeight="1">
      <c r="A22" s="3" t="str">
        <f>DATA!A12</f>
        <v>WGL</v>
      </c>
      <c r="B22" s="43">
        <f>DATA!AZ12</f>
        <v>2.38</v>
      </c>
      <c r="C22" s="43">
        <f>DATA!B12</f>
        <v>31.78700000000001</v>
      </c>
      <c r="D22" s="6">
        <f t="shared" si="0"/>
        <v>0.0748733759083902</v>
      </c>
      <c r="E22" s="3"/>
      <c r="F22" s="6">
        <f>DATA!AB12</f>
        <v>0.115</v>
      </c>
      <c r="G22" s="6">
        <f>DATA!AC12</f>
        <v>0.105</v>
      </c>
    </row>
    <row r="23" spans="1:7" ht="21.75" customHeight="1">
      <c r="A23" s="3" t="str">
        <f>DATA!A13</f>
        <v>CPK</v>
      </c>
      <c r="B23" s="43">
        <f>DATA!AZ13</f>
        <v>2.14</v>
      </c>
      <c r="C23" s="43">
        <f>DATA!B13</f>
        <v>30.599000000000004</v>
      </c>
      <c r="D23" s="6">
        <f t="shared" si="0"/>
        <v>0.06993692604333475</v>
      </c>
      <c r="E23" s="3"/>
      <c r="F23" s="16" t="str">
        <f>DATA!AB13</f>
        <v>n/a</v>
      </c>
      <c r="G23" s="16" t="s">
        <v>188</v>
      </c>
    </row>
    <row r="24" spans="1:7" ht="21.75" customHeight="1">
      <c r="A24" s="1"/>
      <c r="B24" s="3"/>
      <c r="C24" s="3"/>
      <c r="D24" s="3"/>
      <c r="E24" s="3"/>
      <c r="F24" s="6"/>
      <c r="G24" s="6"/>
    </row>
    <row r="25" spans="1:7" ht="12.75">
      <c r="A25" s="1"/>
      <c r="B25" s="1"/>
      <c r="C25" s="44" t="s">
        <v>182</v>
      </c>
      <c r="D25" s="6">
        <f>AVERAGE(D15:D23)</f>
        <v>0.07728381544613272</v>
      </c>
      <c r="E25" s="3"/>
      <c r="F25" s="6">
        <f>AVERAGE(F15:F23)</f>
        <v>0.11062499999999999</v>
      </c>
      <c r="G25" s="6"/>
    </row>
    <row r="26" spans="1:7" ht="12.75">
      <c r="A26" s="1"/>
      <c r="B26" s="3"/>
      <c r="C26" s="3"/>
      <c r="D26" s="3"/>
      <c r="E26" s="3"/>
      <c r="F26" s="3"/>
      <c r="G26" s="3"/>
    </row>
    <row r="27" spans="1:7" ht="12.75">
      <c r="A27" s="1"/>
      <c r="B27" s="3"/>
      <c r="C27" s="44" t="s">
        <v>64</v>
      </c>
      <c r="D27" s="3"/>
      <c r="E27" s="35">
        <f>(D25+F25)/2</f>
        <v>0.09395440772306635</v>
      </c>
      <c r="F27" s="3"/>
      <c r="G27" s="3"/>
    </row>
    <row r="28" spans="1:7" ht="12.75">
      <c r="A28" s="1"/>
      <c r="B28" s="3"/>
      <c r="C28" s="3"/>
      <c r="D28" s="3"/>
      <c r="E28" s="3"/>
      <c r="F28" s="3"/>
      <c r="G28" s="3"/>
    </row>
    <row r="29" spans="1:7" ht="12.75" customHeight="1">
      <c r="A29" s="1"/>
      <c r="B29" s="3"/>
      <c r="C29" s="3"/>
      <c r="D29" s="3"/>
      <c r="E29" s="3"/>
      <c r="F29" s="3"/>
      <c r="G29" s="3"/>
    </row>
    <row r="30" spans="1:7" ht="12.75">
      <c r="A30" s="1"/>
      <c r="B30" s="3"/>
      <c r="C30" s="44" t="s">
        <v>182</v>
      </c>
      <c r="D30" s="6">
        <f>D25</f>
        <v>0.07728381544613272</v>
      </c>
      <c r="E30" s="6"/>
      <c r="F30" s="6"/>
      <c r="G30" s="6">
        <f>AVERAGE(G15:G23)</f>
        <v>0.11875000000000001</v>
      </c>
    </row>
    <row r="31" spans="1:7" ht="12.75">
      <c r="A31" s="1"/>
      <c r="B31" s="3"/>
      <c r="C31" s="3"/>
      <c r="D31" s="6"/>
      <c r="E31" s="6"/>
      <c r="F31" s="6"/>
      <c r="G31" s="6"/>
    </row>
    <row r="32" spans="1:7" ht="12.75">
      <c r="A32" s="1"/>
      <c r="B32" s="3"/>
      <c r="C32" s="44" t="s">
        <v>18</v>
      </c>
      <c r="D32" s="6"/>
      <c r="E32" s="6"/>
      <c r="F32" s="35">
        <f>(D30+G30)/2</f>
        <v>0.09801690772306637</v>
      </c>
      <c r="G32" s="6"/>
    </row>
    <row r="35" ht="12.75">
      <c r="A35" s="1"/>
    </row>
    <row r="36" ht="12.75">
      <c r="A36" s="1"/>
    </row>
  </sheetData>
  <printOptions/>
  <pageMargins left="1.01" right="0.75" top="1" bottom="1" header="0.5" footer="0.5"/>
  <pageSetup fitToHeight="1" fitToWidth="1" orientation="portrait" scale="9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F11" sqref="F11"/>
    </sheetView>
  </sheetViews>
  <sheetFormatPr defaultColWidth="9.00390625" defaultRowHeight="12"/>
  <cols>
    <col min="1" max="1" width="13.75390625" style="0" customWidth="1"/>
    <col min="2" max="2" width="11.375" style="0" customWidth="1"/>
    <col min="3" max="3" width="5.75390625" style="0" customWidth="1"/>
    <col min="4" max="4" width="3.125" style="0" customWidth="1"/>
    <col min="5" max="5" width="6.25390625" style="0" customWidth="1"/>
    <col min="6" max="6" width="2.125" style="0" customWidth="1"/>
    <col min="7" max="7" width="5.875" style="0" customWidth="1"/>
    <col min="8" max="8" width="3.125" style="0" customWidth="1"/>
    <col min="9" max="9" width="7.25390625" style="0" customWidth="1"/>
    <col min="10" max="10" width="13.875" style="0" customWidth="1"/>
    <col min="11" max="11" width="16.00390625" style="0" customWidth="1"/>
    <col min="12" max="16384" width="11.375" style="0" customWidth="1"/>
  </cols>
  <sheetData>
    <row r="1" spans="1:11" ht="12.75">
      <c r="A1" s="3"/>
      <c r="B1" s="3"/>
      <c r="C1" s="45"/>
      <c r="D1" s="3"/>
      <c r="E1" s="1"/>
      <c r="F1" s="3"/>
      <c r="G1" s="25"/>
      <c r="H1" s="3"/>
      <c r="I1" s="3"/>
      <c r="J1" s="3"/>
      <c r="K1" s="5" t="s">
        <v>190</v>
      </c>
    </row>
    <row r="2" spans="1:11" ht="12.75">
      <c r="A2" s="3"/>
      <c r="B2" s="3"/>
      <c r="C2" s="45"/>
      <c r="D2" s="3"/>
      <c r="E2" s="5"/>
      <c r="F2" s="3"/>
      <c r="G2" s="25"/>
      <c r="H2" s="3"/>
      <c r="I2" s="3"/>
      <c r="J2" s="3"/>
      <c r="K2" s="3" t="s">
        <v>134</v>
      </c>
    </row>
    <row r="3" spans="1:11" ht="12.75">
      <c r="A3" s="3"/>
      <c r="B3" s="3"/>
      <c r="C3" s="45"/>
      <c r="D3" s="3"/>
      <c r="E3" s="5"/>
      <c r="F3" s="3"/>
      <c r="G3" s="25"/>
      <c r="H3" s="3"/>
      <c r="I3" s="3"/>
      <c r="J3" s="3"/>
      <c r="K3" s="3" t="s">
        <v>109</v>
      </c>
    </row>
    <row r="4" spans="1:11" ht="12.75">
      <c r="A4" s="3"/>
      <c r="B4" s="3"/>
      <c r="C4" s="1"/>
      <c r="D4" s="3"/>
      <c r="E4" s="5"/>
      <c r="F4" s="46" t="str">
        <f>DATA!A1</f>
        <v>KENTUCKY-AMERICAN WATER COMPANY</v>
      </c>
      <c r="G4" s="25"/>
      <c r="H4" s="3"/>
      <c r="I4" s="3"/>
      <c r="J4" s="3"/>
      <c r="K4" s="3"/>
    </row>
    <row r="5" spans="1:11" ht="12.75">
      <c r="A5" s="3"/>
      <c r="B5" s="3"/>
      <c r="C5" s="1"/>
      <c r="D5" s="3"/>
      <c r="E5" s="5"/>
      <c r="F5" s="46"/>
      <c r="G5" s="25"/>
      <c r="H5" s="3"/>
      <c r="I5" s="3"/>
      <c r="J5" s="3"/>
      <c r="K5" s="3"/>
    </row>
    <row r="6" spans="1:11" ht="12.75">
      <c r="A6" s="3"/>
      <c r="B6" s="3"/>
      <c r="C6" s="1"/>
      <c r="D6" s="3"/>
      <c r="E6" s="5"/>
      <c r="F6" s="46" t="s">
        <v>165</v>
      </c>
      <c r="G6" s="25"/>
      <c r="H6" s="3"/>
      <c r="I6" s="3"/>
      <c r="J6" s="3"/>
      <c r="K6" s="3"/>
    </row>
    <row r="7" spans="1:11" ht="12.75">
      <c r="A7" s="3"/>
      <c r="B7" s="3"/>
      <c r="C7" s="45"/>
      <c r="D7" s="3"/>
      <c r="E7" s="5"/>
      <c r="F7" s="3" t="s">
        <v>119</v>
      </c>
      <c r="G7" s="25"/>
      <c r="H7" s="3"/>
      <c r="I7" s="3"/>
      <c r="J7" s="3"/>
      <c r="K7" s="3"/>
    </row>
    <row r="8" spans="1:11" ht="12.75">
      <c r="A8" s="3"/>
      <c r="B8" s="3"/>
      <c r="C8" s="45"/>
      <c r="D8" s="3"/>
      <c r="E8" s="5"/>
      <c r="F8" s="3"/>
      <c r="G8" s="25"/>
      <c r="H8" s="3"/>
      <c r="I8" s="3"/>
      <c r="J8" s="3"/>
      <c r="K8" s="3"/>
    </row>
    <row r="9" spans="1:11" ht="12.75">
      <c r="A9" s="3"/>
      <c r="B9" s="3"/>
      <c r="C9" s="1"/>
      <c r="D9" s="3"/>
      <c r="E9" s="5"/>
      <c r="F9" s="4" t="s">
        <v>87</v>
      </c>
      <c r="G9" s="25"/>
      <c r="H9" s="3"/>
      <c r="I9" s="3"/>
      <c r="J9" s="3"/>
      <c r="K9" s="3"/>
    </row>
    <row r="10" spans="1:11" ht="12.75">
      <c r="A10" s="3"/>
      <c r="B10" s="3"/>
      <c r="C10" s="45"/>
      <c r="D10" s="3"/>
      <c r="E10" s="5"/>
      <c r="F10" s="3" t="s">
        <v>102</v>
      </c>
      <c r="G10" s="25"/>
      <c r="H10" s="3"/>
      <c r="I10" s="3"/>
      <c r="J10" s="3"/>
      <c r="K10" s="3" t="s">
        <v>52</v>
      </c>
    </row>
    <row r="11" spans="1:11" ht="12.75">
      <c r="A11" s="17" t="s">
        <v>92</v>
      </c>
      <c r="B11" s="3"/>
      <c r="C11" s="45"/>
      <c r="D11" s="3"/>
      <c r="E11" s="5"/>
      <c r="F11" s="3"/>
      <c r="G11" s="25"/>
      <c r="H11" s="3"/>
      <c r="I11" s="3"/>
      <c r="J11" s="3"/>
      <c r="K11" s="17" t="s">
        <v>15</v>
      </c>
    </row>
    <row r="12" spans="1:11" ht="12.75">
      <c r="A12" s="3"/>
      <c r="B12" s="3"/>
      <c r="C12" s="45"/>
      <c r="D12" s="3"/>
      <c r="E12" s="5"/>
      <c r="F12" s="3"/>
      <c r="G12" s="25"/>
      <c r="H12" s="3"/>
      <c r="I12" s="3"/>
      <c r="J12" s="3"/>
      <c r="K12" s="3"/>
    </row>
    <row r="13" spans="1:11" ht="21.75" customHeight="1">
      <c r="A13" s="3" t="str">
        <f>DATA!A5</f>
        <v>ATG</v>
      </c>
      <c r="B13" s="44" t="s">
        <v>49</v>
      </c>
      <c r="C13" s="73">
        <f>DATA!AA5</f>
        <v>0.12</v>
      </c>
      <c r="D13" s="19" t="s">
        <v>50</v>
      </c>
      <c r="E13" s="5">
        <f>Sch2G!C21</f>
        <v>0.3777777777777779</v>
      </c>
      <c r="F13" s="19" t="s">
        <v>51</v>
      </c>
      <c r="G13" s="25">
        <f>'Sch3,p3'!I11</f>
        <v>1.3369321533923304</v>
      </c>
      <c r="H13" s="3" t="s">
        <v>140</v>
      </c>
      <c r="I13" s="6">
        <f>'Sch3,p3'!L11</f>
        <v>0.0475201888707471</v>
      </c>
      <c r="J13" s="3" t="s">
        <v>169</v>
      </c>
      <c r="K13" s="6">
        <f aca="true" t="shared" si="0" ref="K13:K21">(C13*(1-E13)/G13)+I13</f>
        <v>0.10336944530250208</v>
      </c>
    </row>
    <row r="14" spans="1:11" ht="21.75" customHeight="1">
      <c r="A14" s="3" t="str">
        <f>DATA!A6</f>
        <v>GAS</v>
      </c>
      <c r="B14" s="44" t="s">
        <v>49</v>
      </c>
      <c r="C14" s="73">
        <f>DATA!AA6</f>
        <v>0.115</v>
      </c>
      <c r="D14" s="19" t="s">
        <v>50</v>
      </c>
      <c r="E14" s="5">
        <f>Sch2G!C38</f>
        <v>0.17333333333333334</v>
      </c>
      <c r="F14" s="19" t="s">
        <v>51</v>
      </c>
      <c r="G14" s="25">
        <f>'Sch3,p3'!I12</f>
        <v>1.6582168674698796</v>
      </c>
      <c r="H14" s="3" t="s">
        <v>140</v>
      </c>
      <c r="I14" s="6">
        <f>'Sch3,p3'!L12</f>
        <v>0.0475</v>
      </c>
      <c r="J14" s="3" t="s">
        <v>169</v>
      </c>
      <c r="K14" s="6">
        <f t="shared" si="0"/>
        <v>0.10483065953654189</v>
      </c>
    </row>
    <row r="15" spans="1:11" ht="21.75" customHeight="1">
      <c r="A15" s="3" t="str">
        <f>DATA!A7</f>
        <v>NI</v>
      </c>
      <c r="B15" s="44" t="s">
        <v>49</v>
      </c>
      <c r="C15" s="73">
        <f>DATA!AA7</f>
        <v>0.065</v>
      </c>
      <c r="D15" s="19" t="s">
        <v>50</v>
      </c>
      <c r="E15" s="5">
        <f>Sch2G!C54</f>
        <v>0.264</v>
      </c>
      <c r="F15" s="19" t="s">
        <v>51</v>
      </c>
      <c r="G15" s="25">
        <f>'Sch3,p3'!I13</f>
        <v>0.5860622222222222</v>
      </c>
      <c r="H15" s="3" t="s">
        <v>140</v>
      </c>
      <c r="I15" s="6">
        <f>'Sch3,p3'!L13</f>
        <v>0.016468482679123944</v>
      </c>
      <c r="J15" s="3" t="s">
        <v>169</v>
      </c>
      <c r="K15" s="6">
        <f t="shared" si="0"/>
        <v>0.09809804040526604</v>
      </c>
    </row>
    <row r="16" spans="1:11" ht="21.75" customHeight="1">
      <c r="A16" s="3" t="str">
        <f>DATA!A8</f>
        <v>NWN</v>
      </c>
      <c r="B16" s="44" t="s">
        <v>49</v>
      </c>
      <c r="C16" s="73">
        <f>DATA!AA8</f>
        <v>0.115</v>
      </c>
      <c r="D16" s="19" t="s">
        <v>50</v>
      </c>
      <c r="E16" s="5">
        <f>Sch2G!C77</f>
        <v>0.4039215686274509</v>
      </c>
      <c r="F16" s="19" t="s">
        <v>51</v>
      </c>
      <c r="G16" s="25">
        <f>'Sch3,p3'!I14</f>
        <v>1.838280479210712</v>
      </c>
      <c r="H16" s="3" t="s">
        <v>140</v>
      </c>
      <c r="I16" s="6">
        <f>'Sch3,p3'!L14</f>
        <v>0.05592010028675264</v>
      </c>
      <c r="J16" s="3" t="s">
        <v>169</v>
      </c>
      <c r="K16" s="6">
        <f t="shared" si="0"/>
        <v>0.09320985034560955</v>
      </c>
    </row>
    <row r="17" spans="1:11" ht="21.75" customHeight="1">
      <c r="A17" s="3" t="str">
        <f>DATA!A9</f>
        <v>PNY</v>
      </c>
      <c r="B17" s="44" t="s">
        <v>49</v>
      </c>
      <c r="C17" s="73">
        <f>DATA!AA9</f>
        <v>0.125</v>
      </c>
      <c r="D17" s="19" t="s">
        <v>50</v>
      </c>
      <c r="E17" s="5">
        <f>Sch2G!C93</f>
        <v>0.3354838709677419</v>
      </c>
      <c r="F17" s="19" t="s">
        <v>51</v>
      </c>
      <c r="G17" s="25">
        <f>'Sch3,p3'!I15</f>
        <v>2.35521164021164</v>
      </c>
      <c r="H17" s="3" t="s">
        <v>140</v>
      </c>
      <c r="I17" s="6">
        <f>'Sch3,p3'!L15</f>
        <v>0.057877048535837444</v>
      </c>
      <c r="J17" s="3" t="s">
        <v>169</v>
      </c>
      <c r="K17" s="6">
        <f t="shared" si="0"/>
        <v>0.09314543576305413</v>
      </c>
    </row>
    <row r="18" spans="1:11" ht="21.75" customHeight="1">
      <c r="A18" s="3" t="str">
        <f>DATA!A10</f>
        <v>SJI</v>
      </c>
      <c r="B18" s="44" t="s">
        <v>49</v>
      </c>
      <c r="C18" s="73">
        <f>DATA!AA10</f>
        <v>0.135</v>
      </c>
      <c r="D18" s="19" t="s">
        <v>50</v>
      </c>
      <c r="E18" s="5">
        <f>Sch2G!C109</f>
        <v>0.517391304347826</v>
      </c>
      <c r="F18" s="19" t="s">
        <v>51</v>
      </c>
      <c r="G18" s="25">
        <f>'Sch3,p3'!I16</f>
        <v>2.1424591738712775</v>
      </c>
      <c r="H18" s="3" t="s">
        <v>140</v>
      </c>
      <c r="I18" s="6">
        <f>'Sch3,p3'!L16</f>
        <v>0.07566493296865892</v>
      </c>
      <c r="J18" s="3" t="s">
        <v>169</v>
      </c>
      <c r="K18" s="6">
        <f t="shared" si="0"/>
        <v>0.10607492850445155</v>
      </c>
    </row>
    <row r="19" spans="1:11" ht="21.75" customHeight="1">
      <c r="A19" s="3" t="str">
        <f>DATA!A11</f>
        <v>SWX</v>
      </c>
      <c r="B19" s="44" t="s">
        <v>49</v>
      </c>
      <c r="C19" s="73">
        <f>DATA!AA11</f>
        <v>0.075</v>
      </c>
      <c r="D19" s="19" t="s">
        <v>50</v>
      </c>
      <c r="E19" s="5">
        <f>Sch2G!C132</f>
        <v>0.48571428571428565</v>
      </c>
      <c r="F19" s="19" t="s">
        <v>51</v>
      </c>
      <c r="G19" s="25">
        <f>'Sch3,p3'!I17</f>
        <v>1.0547925608011446</v>
      </c>
      <c r="H19" s="3" t="s">
        <v>140</v>
      </c>
      <c r="I19" s="6">
        <f>'Sch3,p3'!L17</f>
        <v>0.0543181201681812</v>
      </c>
      <c r="J19" s="3" t="s">
        <v>169</v>
      </c>
      <c r="K19" s="6">
        <f t="shared" si="0"/>
        <v>0.09088590610528763</v>
      </c>
    </row>
    <row r="20" spans="1:11" ht="21.75" customHeight="1">
      <c r="A20" s="3" t="str">
        <f>DATA!A12</f>
        <v>WGL</v>
      </c>
      <c r="B20" s="44" t="s">
        <v>49</v>
      </c>
      <c r="C20" s="73">
        <f>DATA!AA12</f>
        <v>0.116</v>
      </c>
      <c r="D20" s="19" t="s">
        <v>50</v>
      </c>
      <c r="E20" s="5">
        <f>Sch2G!C148</f>
        <v>0.3905579399141631</v>
      </c>
      <c r="F20" s="19" t="s">
        <v>51</v>
      </c>
      <c r="G20" s="25">
        <f>'Sch3,p3'!I18</f>
        <v>1.5093542260208932</v>
      </c>
      <c r="H20" s="3" t="s">
        <v>140</v>
      </c>
      <c r="I20" s="6">
        <f>'Sch3,p3'!L18</f>
        <v>0.04584366250353918</v>
      </c>
      <c r="J20" s="3" t="s">
        <v>169</v>
      </c>
      <c r="K20" s="6">
        <f t="shared" si="0"/>
        <v>0.09268175905581828</v>
      </c>
    </row>
    <row r="21" spans="1:11" ht="21.75" customHeight="1">
      <c r="A21" s="3" t="str">
        <f>DATA!A13</f>
        <v>CPK</v>
      </c>
      <c r="B21" s="44" t="s">
        <v>49</v>
      </c>
      <c r="C21" s="73">
        <f>DATA!Z13</f>
        <v>0.111</v>
      </c>
      <c r="D21" s="19" t="s">
        <v>50</v>
      </c>
      <c r="E21" s="5">
        <f>Sch2G!C164</f>
        <v>0.3939393939393939</v>
      </c>
      <c r="F21" s="19" t="s">
        <v>51</v>
      </c>
      <c r="G21" s="25">
        <f>'Sch3,p3'!I19</f>
        <v>1.734637188208617</v>
      </c>
      <c r="H21" s="3" t="s">
        <v>140</v>
      </c>
      <c r="I21" s="6">
        <f>'Sch3,p3'!L19</f>
        <v>0.06058776430602308</v>
      </c>
      <c r="J21" s="3" t="s">
        <v>169</v>
      </c>
      <c r="K21" s="16">
        <f t="shared" si="0"/>
        <v>0.09936978035527008</v>
      </c>
    </row>
    <row r="22" spans="1:11" ht="21.75" customHeight="1">
      <c r="A22" s="3"/>
      <c r="B22" s="3"/>
      <c r="C22" s="45"/>
      <c r="D22" s="3"/>
      <c r="E22" s="5"/>
      <c r="F22" s="3"/>
      <c r="G22" s="25"/>
      <c r="H22" s="3"/>
      <c r="I22" s="3"/>
      <c r="J22" s="1"/>
      <c r="K22" s="1"/>
    </row>
    <row r="23" spans="1:11" ht="12.75">
      <c r="A23" s="3"/>
      <c r="B23" s="3"/>
      <c r="C23" s="45"/>
      <c r="D23" s="3"/>
      <c r="E23" s="5"/>
      <c r="F23" s="3"/>
      <c r="G23" s="25"/>
      <c r="H23" s="3"/>
      <c r="I23" s="3"/>
      <c r="J23" s="44" t="s">
        <v>68</v>
      </c>
      <c r="K23" s="35">
        <f>AVERAGE(K13:K21)</f>
        <v>0.0979628672637557</v>
      </c>
    </row>
    <row r="24" spans="1:11" ht="12.75">
      <c r="A24" s="3"/>
      <c r="B24" s="3"/>
      <c r="C24" s="45"/>
      <c r="D24" s="3"/>
      <c r="E24" s="5"/>
      <c r="F24" s="3"/>
      <c r="G24" s="25"/>
      <c r="H24" s="3"/>
      <c r="I24" s="3"/>
      <c r="J24" s="44"/>
      <c r="K24" s="35"/>
    </row>
    <row r="25" spans="1:11" ht="12.75">
      <c r="A25" s="3"/>
      <c r="B25" s="3"/>
      <c r="C25" s="45"/>
      <c r="D25" s="3"/>
      <c r="E25" s="5"/>
      <c r="F25" s="3"/>
      <c r="G25" s="25"/>
      <c r="H25" s="3"/>
      <c r="I25" s="3"/>
      <c r="J25" s="44" t="s">
        <v>180</v>
      </c>
      <c r="K25" s="35">
        <f>STDEV(K13:K21)</f>
        <v>0.0057876287223244715</v>
      </c>
    </row>
    <row r="26" spans="1:11" ht="12.75">
      <c r="A26" s="1"/>
      <c r="B26" s="3"/>
      <c r="C26" s="45"/>
      <c r="D26" s="3"/>
      <c r="E26" s="5"/>
      <c r="F26" s="3"/>
      <c r="G26" s="25"/>
      <c r="H26" s="3"/>
      <c r="I26" s="3"/>
      <c r="J26" s="3"/>
      <c r="K26" s="6"/>
    </row>
    <row r="27" spans="1:11" ht="12.75">
      <c r="A27" s="3"/>
      <c r="B27" s="3"/>
      <c r="C27" s="45"/>
      <c r="D27" s="3"/>
      <c r="E27" s="5"/>
      <c r="F27" s="3"/>
      <c r="G27" s="25"/>
      <c r="H27" s="3"/>
      <c r="I27" s="3"/>
      <c r="J27" s="3"/>
      <c r="K27" s="3"/>
    </row>
    <row r="28" spans="1:11" ht="12.75">
      <c r="A28" s="1"/>
      <c r="C28" s="45"/>
      <c r="D28" s="3"/>
      <c r="E28" s="5"/>
      <c r="F28" s="3"/>
      <c r="G28" s="25"/>
      <c r="H28" s="3"/>
      <c r="I28" s="3"/>
      <c r="J28" s="3"/>
      <c r="K28" s="3"/>
    </row>
    <row r="29" ht="12.75">
      <c r="A29" s="1" t="s">
        <v>121</v>
      </c>
    </row>
  </sheetData>
  <printOptions/>
  <pageMargins left="0.77" right="0.75" top="1" bottom="1" header="0.5" footer="0.5"/>
  <pageSetup orientation="portrait" scale="93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E40" sqref="E40"/>
    </sheetView>
  </sheetViews>
  <sheetFormatPr defaultColWidth="9.00390625" defaultRowHeight="12"/>
  <cols>
    <col min="1" max="1" width="15.25390625" style="0" customWidth="1"/>
    <col min="2" max="2" width="11.375" style="0" customWidth="1"/>
    <col min="3" max="3" width="6.00390625" style="0" customWidth="1"/>
    <col min="4" max="4" width="2.75390625" style="0" customWidth="1"/>
    <col min="5" max="5" width="6.00390625" style="0" customWidth="1"/>
    <col min="6" max="6" width="2.00390625" style="0" customWidth="1"/>
    <col min="7" max="7" width="4.375" style="0" customWidth="1"/>
    <col min="8" max="8" width="2.75390625" style="0" customWidth="1"/>
    <col min="9" max="9" width="6.75390625" style="0" customWidth="1"/>
    <col min="10" max="10" width="13.875" style="0" customWidth="1"/>
    <col min="11" max="11" width="16.25390625" style="0" customWidth="1"/>
    <col min="12" max="16384" width="11.375" style="0" customWidth="1"/>
  </cols>
  <sheetData>
    <row r="1" spans="1:11" ht="12.75">
      <c r="A1" s="3"/>
      <c r="B1" s="3"/>
      <c r="C1" s="45"/>
      <c r="D1" s="3"/>
      <c r="E1" s="1"/>
      <c r="F1" s="3"/>
      <c r="G1" s="25"/>
      <c r="H1" s="3"/>
      <c r="I1" s="3"/>
      <c r="J1" s="3"/>
      <c r="K1" s="5" t="s">
        <v>190</v>
      </c>
    </row>
    <row r="2" spans="1:11" ht="12.75">
      <c r="A2" s="3"/>
      <c r="B2" s="3"/>
      <c r="C2" s="45"/>
      <c r="D2" s="3"/>
      <c r="E2" s="5"/>
      <c r="F2" s="3"/>
      <c r="G2" s="25"/>
      <c r="H2" s="3"/>
      <c r="I2" s="3"/>
      <c r="J2" s="3"/>
      <c r="K2" s="3" t="s">
        <v>134</v>
      </c>
    </row>
    <row r="3" spans="1:11" ht="12.75">
      <c r="A3" s="3"/>
      <c r="B3" s="3"/>
      <c r="C3" s="45"/>
      <c r="D3" s="3"/>
      <c r="E3" s="5"/>
      <c r="F3" s="3"/>
      <c r="G3" s="25"/>
      <c r="H3" s="3"/>
      <c r="I3" s="3"/>
      <c r="J3" s="3"/>
      <c r="K3" s="3" t="s">
        <v>110</v>
      </c>
    </row>
    <row r="4" spans="1:11" ht="12.75">
      <c r="A4" s="3"/>
      <c r="B4" s="3"/>
      <c r="C4" s="1"/>
      <c r="D4" s="3"/>
      <c r="E4" s="5"/>
      <c r="F4" s="46" t="str">
        <f>DATA!A1</f>
        <v>KENTUCKY-AMERICAN WATER COMPANY</v>
      </c>
      <c r="G4" s="25"/>
      <c r="H4" s="3"/>
      <c r="I4" s="3"/>
      <c r="J4" s="3"/>
      <c r="K4" s="3"/>
    </row>
    <row r="5" spans="1:11" ht="12.75">
      <c r="A5" s="3"/>
      <c r="B5" s="3"/>
      <c r="C5" s="1"/>
      <c r="D5" s="3"/>
      <c r="E5" s="5"/>
      <c r="F5" s="46"/>
      <c r="G5" s="25"/>
      <c r="H5" s="3"/>
      <c r="I5" s="3"/>
      <c r="J5" s="3"/>
      <c r="K5" s="3"/>
    </row>
    <row r="6" spans="1:11" ht="12.75">
      <c r="A6" s="3"/>
      <c r="B6" s="3"/>
      <c r="C6" s="1"/>
      <c r="D6" s="3"/>
      <c r="E6" s="5"/>
      <c r="F6" s="46" t="s">
        <v>165</v>
      </c>
      <c r="G6" s="25"/>
      <c r="H6" s="3"/>
      <c r="I6" s="3"/>
      <c r="J6" s="3"/>
      <c r="K6" s="3"/>
    </row>
    <row r="7" spans="1:11" ht="12.75">
      <c r="A7" s="3"/>
      <c r="B7" s="3"/>
      <c r="C7" s="45"/>
      <c r="D7" s="3"/>
      <c r="E7" s="5"/>
      <c r="F7" s="3" t="s">
        <v>119</v>
      </c>
      <c r="G7" s="25"/>
      <c r="H7" s="3"/>
      <c r="I7" s="3"/>
      <c r="J7" s="3"/>
      <c r="K7" s="3"/>
    </row>
    <row r="8" spans="1:11" ht="12.75">
      <c r="A8" s="3"/>
      <c r="B8" s="3"/>
      <c r="C8" s="45"/>
      <c r="D8" s="3"/>
      <c r="E8" s="5"/>
      <c r="F8" s="3"/>
      <c r="G8" s="25"/>
      <c r="H8" s="3"/>
      <c r="I8" s="3"/>
      <c r="J8" s="3"/>
      <c r="K8" s="3"/>
    </row>
    <row r="9" spans="1:11" ht="12.75">
      <c r="A9" s="3"/>
      <c r="B9" s="3"/>
      <c r="C9" s="1"/>
      <c r="D9" s="3"/>
      <c r="E9" s="5"/>
      <c r="F9" s="4" t="s">
        <v>87</v>
      </c>
      <c r="G9" s="25"/>
      <c r="H9" s="3"/>
      <c r="I9" s="3"/>
      <c r="J9" s="3"/>
      <c r="K9" s="3"/>
    </row>
    <row r="10" spans="1:11" ht="12.75">
      <c r="A10" s="3"/>
      <c r="B10" s="3"/>
      <c r="C10" s="45"/>
      <c r="D10" s="3"/>
      <c r="E10" s="5"/>
      <c r="F10" s="3" t="s">
        <v>145</v>
      </c>
      <c r="G10" s="25"/>
      <c r="H10" s="3"/>
      <c r="I10" s="3"/>
      <c r="J10" s="3"/>
      <c r="K10" s="3" t="s">
        <v>52</v>
      </c>
    </row>
    <row r="11" spans="1:11" ht="12.75">
      <c r="A11" s="17" t="s">
        <v>92</v>
      </c>
      <c r="B11" s="3"/>
      <c r="C11" s="45"/>
      <c r="D11" s="3"/>
      <c r="E11" s="5"/>
      <c r="F11" s="3"/>
      <c r="G11" s="25"/>
      <c r="H11" s="3"/>
      <c r="I11" s="3"/>
      <c r="J11" s="3"/>
      <c r="K11" s="17" t="s">
        <v>15</v>
      </c>
    </row>
    <row r="12" spans="1:11" ht="12.75">
      <c r="A12" s="3"/>
      <c r="B12" s="3"/>
      <c r="C12" s="45"/>
      <c r="D12" s="3"/>
      <c r="E12" s="5"/>
      <c r="F12" s="3"/>
      <c r="G12" s="25"/>
      <c r="H12" s="3"/>
      <c r="I12" s="3"/>
      <c r="J12" s="3"/>
      <c r="K12" s="3"/>
    </row>
    <row r="13" spans="1:11" ht="21.75" customHeight="1">
      <c r="A13" s="3" t="str">
        <f>DATA!A5</f>
        <v>ATG</v>
      </c>
      <c r="B13" s="44" t="s">
        <v>49</v>
      </c>
      <c r="C13" s="73">
        <f>DATA!AC5</f>
        <v>0.135</v>
      </c>
      <c r="D13" s="19" t="s">
        <v>50</v>
      </c>
      <c r="E13" s="5">
        <f>Sch2G!C23</f>
        <v>0.41587301587301584</v>
      </c>
      <c r="F13" s="19" t="s">
        <v>51</v>
      </c>
      <c r="G13" s="25">
        <f>'Sch3,p3'!I11</f>
        <v>1.3369321533923304</v>
      </c>
      <c r="H13" s="3" t="s">
        <v>140</v>
      </c>
      <c r="I13" s="6">
        <f>'Sch3,p3'!L11</f>
        <v>0.0475201888707471</v>
      </c>
      <c r="J13" s="3" t="s">
        <v>169</v>
      </c>
      <c r="K13" s="6">
        <f aca="true" t="shared" si="0" ref="K13:K20">(C13*(1-E13)/G13)+I13</f>
        <v>0.10650384234714141</v>
      </c>
    </row>
    <row r="14" spans="1:11" ht="21.75" customHeight="1">
      <c r="A14" s="3" t="str">
        <f>DATA!A6</f>
        <v>GAS</v>
      </c>
      <c r="B14" s="44" t="s">
        <v>49</v>
      </c>
      <c r="C14" s="73">
        <f>DATA!AC6</f>
        <v>0.135</v>
      </c>
      <c r="D14" s="19" t="s">
        <v>50</v>
      </c>
      <c r="E14" s="5">
        <f>Sch2G!C40</f>
        <v>0.4608695652173913</v>
      </c>
      <c r="F14" s="19" t="s">
        <v>51</v>
      </c>
      <c r="G14" s="25">
        <f>'Sch3,p3'!I12</f>
        <v>1.6582168674698796</v>
      </c>
      <c r="H14" s="3" t="s">
        <v>140</v>
      </c>
      <c r="I14" s="6">
        <f>'Sch3,p3'!L12</f>
        <v>0.0475</v>
      </c>
      <c r="J14" s="3" t="s">
        <v>169</v>
      </c>
      <c r="K14" s="6">
        <f t="shared" si="0"/>
        <v>0.09139209283988556</v>
      </c>
    </row>
    <row r="15" spans="1:11" ht="21.75" customHeight="1">
      <c r="A15" s="3" t="str">
        <f>DATA!A7</f>
        <v>NI</v>
      </c>
      <c r="B15" s="44" t="s">
        <v>49</v>
      </c>
      <c r="C15" s="73">
        <f>DATA!AC7</f>
        <v>0.075</v>
      </c>
      <c r="D15" s="19" t="s">
        <v>50</v>
      </c>
      <c r="E15" s="5">
        <f>Sch2G!C56</f>
        <v>0.3866666666666666</v>
      </c>
      <c r="F15" s="19" t="s">
        <v>51</v>
      </c>
      <c r="G15" s="25">
        <f>'Sch3,p3'!I13</f>
        <v>0.5860622222222222</v>
      </c>
      <c r="H15" s="3" t="s">
        <v>140</v>
      </c>
      <c r="I15" s="6">
        <f>'Sch3,p3'!L13</f>
        <v>0.016468482679123944</v>
      </c>
      <c r="J15" s="3" t="s">
        <v>169</v>
      </c>
      <c r="K15" s="6">
        <f t="shared" si="0"/>
        <v>0.09495844203118366</v>
      </c>
    </row>
    <row r="16" spans="1:11" ht="21.75" customHeight="1">
      <c r="A16" s="3" t="str">
        <f>DATA!A8</f>
        <v>NWN</v>
      </c>
      <c r="B16" s="44" t="s">
        <v>49</v>
      </c>
      <c r="C16" s="73">
        <f>DATA!AC8</f>
        <v>0.11</v>
      </c>
      <c r="D16" s="19" t="s">
        <v>50</v>
      </c>
      <c r="E16" s="5">
        <f>Sch2G!C79</f>
        <v>0.4388059701492538</v>
      </c>
      <c r="F16" s="19" t="s">
        <v>51</v>
      </c>
      <c r="G16" s="25">
        <f>'Sch3,p3'!I14</f>
        <v>1.838280479210712</v>
      </c>
      <c r="H16" s="3" t="s">
        <v>140</v>
      </c>
      <c r="I16" s="6">
        <f>'Sch3,p3'!L14</f>
        <v>0.05592010028675264</v>
      </c>
      <c r="J16" s="3" t="s">
        <v>169</v>
      </c>
      <c r="K16" s="6">
        <f t="shared" si="0"/>
        <v>0.08950112558822741</v>
      </c>
    </row>
    <row r="17" spans="1:11" ht="21.75" customHeight="1">
      <c r="A17" s="3" t="str">
        <f>DATA!A9</f>
        <v>PNY</v>
      </c>
      <c r="B17" s="44" t="s">
        <v>49</v>
      </c>
      <c r="C17" s="73">
        <f>DATA!AC9</f>
        <v>0.135</v>
      </c>
      <c r="D17" s="19" t="s">
        <v>50</v>
      </c>
      <c r="E17" s="5">
        <f>Sch2G!C95</f>
        <v>0.41951219512195115</v>
      </c>
      <c r="F17" s="19" t="s">
        <v>51</v>
      </c>
      <c r="G17" s="25">
        <f>'Sch3,p3'!I15</f>
        <v>2.35521164021164</v>
      </c>
      <c r="H17" s="3" t="s">
        <v>140</v>
      </c>
      <c r="I17" s="6">
        <f>'Sch3,p3'!L15</f>
        <v>0.057877048535837444</v>
      </c>
      <c r="J17" s="3" t="s">
        <v>169</v>
      </c>
      <c r="K17" s="6">
        <f t="shared" si="0"/>
        <v>0.09115042928878525</v>
      </c>
    </row>
    <row r="18" spans="1:11" ht="21.75" customHeight="1">
      <c r="A18" s="3" t="str">
        <f>DATA!A10</f>
        <v>SJI</v>
      </c>
      <c r="B18" s="44" t="s">
        <v>49</v>
      </c>
      <c r="C18" s="73">
        <f>DATA!AC10</f>
        <v>0.16</v>
      </c>
      <c r="D18" s="19" t="s">
        <v>50</v>
      </c>
      <c r="E18" s="5">
        <f>Sch2G!C111</f>
        <v>0.5666666666666667</v>
      </c>
      <c r="F18" s="19" t="s">
        <v>51</v>
      </c>
      <c r="G18" s="25">
        <f>'Sch3,p3'!I16</f>
        <v>2.1424591738712775</v>
      </c>
      <c r="H18" s="3" t="s">
        <v>140</v>
      </c>
      <c r="I18" s="6">
        <f>'Sch3,p3'!L16</f>
        <v>0.07566493296865892</v>
      </c>
      <c r="J18" s="3" t="s">
        <v>169</v>
      </c>
      <c r="K18" s="6">
        <f t="shared" si="0"/>
        <v>0.10802649867730799</v>
      </c>
    </row>
    <row r="19" spans="1:11" ht="21.75" customHeight="1">
      <c r="A19" s="3" t="str">
        <f>DATA!A11</f>
        <v>SWX</v>
      </c>
      <c r="B19" s="44" t="s">
        <v>49</v>
      </c>
      <c r="C19" s="73">
        <f>DATA!AC11</f>
        <v>0.095</v>
      </c>
      <c r="D19" s="19" t="s">
        <v>50</v>
      </c>
      <c r="E19" s="5">
        <f>Sch2G!C134</f>
        <v>0.576</v>
      </c>
      <c r="F19" s="19" t="s">
        <v>51</v>
      </c>
      <c r="G19" s="25">
        <f>'Sch3,p3'!I17</f>
        <v>1.0547925608011446</v>
      </c>
      <c r="H19" s="3" t="s">
        <v>140</v>
      </c>
      <c r="I19" s="6">
        <f>'Sch3,p3'!L17</f>
        <v>0.0543181201681812</v>
      </c>
      <c r="J19" s="3" t="s">
        <v>169</v>
      </c>
      <c r="K19" s="6">
        <f t="shared" si="0"/>
        <v>0.09250572358605724</v>
      </c>
    </row>
    <row r="20" spans="1:11" ht="21.75" customHeight="1">
      <c r="A20" s="3" t="str">
        <f>DATA!A12</f>
        <v>WGL</v>
      </c>
      <c r="B20" s="44" t="s">
        <v>49</v>
      </c>
      <c r="C20" s="73">
        <f>DATA!AC12</f>
        <v>0.105</v>
      </c>
      <c r="D20" s="19" t="s">
        <v>50</v>
      </c>
      <c r="E20" s="5">
        <f>Sch2G!C150</f>
        <v>0.388235294117647</v>
      </c>
      <c r="F20" s="19" t="s">
        <v>51</v>
      </c>
      <c r="G20" s="25">
        <f>'Sch3,p3'!I18</f>
        <v>1.5093542260208932</v>
      </c>
      <c r="H20" s="3" t="s">
        <v>140</v>
      </c>
      <c r="I20" s="6">
        <f>'Sch3,p3'!L18</f>
        <v>0.04584366250353918</v>
      </c>
      <c r="J20" s="3" t="s">
        <v>169</v>
      </c>
      <c r="K20" s="6">
        <f t="shared" si="0"/>
        <v>0.08840179300083828</v>
      </c>
    </row>
    <row r="21" spans="1:11" ht="21.75" customHeight="1">
      <c r="A21" s="3" t="str">
        <f>DATA!A13</f>
        <v>CPK</v>
      </c>
      <c r="B21" s="44" t="s">
        <v>49</v>
      </c>
      <c r="C21" s="81" t="str">
        <f>DATA!AC13</f>
        <v>n/a</v>
      </c>
      <c r="D21" s="19" t="s">
        <v>50</v>
      </c>
      <c r="E21" s="5" t="str">
        <f>Sch2G!C166</f>
        <v>n/a</v>
      </c>
      <c r="F21" s="19" t="s">
        <v>51</v>
      </c>
      <c r="G21" s="25">
        <f>'Sch3,p3'!I19</f>
        <v>1.734637188208617</v>
      </c>
      <c r="H21" s="3" t="s">
        <v>140</v>
      </c>
      <c r="I21" s="6">
        <f>'Sch3,p3'!L19</f>
        <v>0.06058776430602308</v>
      </c>
      <c r="J21" s="3" t="s">
        <v>169</v>
      </c>
      <c r="K21" s="16" t="s">
        <v>120</v>
      </c>
    </row>
    <row r="22" spans="1:11" ht="21.75" customHeight="1">
      <c r="A22" s="3"/>
      <c r="B22" s="3"/>
      <c r="C22" s="45"/>
      <c r="D22" s="3"/>
      <c r="E22" s="5"/>
      <c r="F22" s="3"/>
      <c r="G22" s="25"/>
      <c r="H22" s="3"/>
      <c r="I22" s="3"/>
      <c r="J22" s="1"/>
      <c r="K22" s="1"/>
    </row>
    <row r="23" spans="1:11" ht="12.75">
      <c r="A23" s="3"/>
      <c r="B23" s="3"/>
      <c r="C23" s="45"/>
      <c r="D23" s="3"/>
      <c r="E23" s="5"/>
      <c r="F23" s="3"/>
      <c r="G23" s="25"/>
      <c r="H23" s="3"/>
      <c r="I23" s="3"/>
      <c r="J23" s="44" t="s">
        <v>68</v>
      </c>
      <c r="K23" s="35">
        <f>AVERAGE(K13:K21)</f>
        <v>0.09530499341992835</v>
      </c>
    </row>
    <row r="24" spans="1:11" ht="12.75">
      <c r="A24" s="3"/>
      <c r="B24" s="3"/>
      <c r="C24" s="45"/>
      <c r="D24" s="3"/>
      <c r="E24" s="5"/>
      <c r="F24" s="3"/>
      <c r="G24" s="25"/>
      <c r="H24" s="3"/>
      <c r="I24" s="3"/>
      <c r="J24" s="44"/>
      <c r="K24" s="35"/>
    </row>
    <row r="25" spans="1:11" ht="12.75">
      <c r="A25" s="3"/>
      <c r="B25" s="3"/>
      <c r="C25" s="45"/>
      <c r="D25" s="3"/>
      <c r="E25" s="5"/>
      <c r="F25" s="3"/>
      <c r="G25" s="25"/>
      <c r="H25" s="3"/>
      <c r="I25" s="3"/>
      <c r="J25" s="44" t="s">
        <v>180</v>
      </c>
      <c r="K25" s="35">
        <f>STDEV(K13:K21)</f>
        <v>0.007644953280984025</v>
      </c>
    </row>
    <row r="26" spans="1:11" ht="12.75">
      <c r="A26" s="1"/>
      <c r="B26" s="3"/>
      <c r="C26" s="45"/>
      <c r="D26" s="3"/>
      <c r="E26" s="5"/>
      <c r="F26" s="3"/>
      <c r="G26" s="25"/>
      <c r="H26" s="3"/>
      <c r="I26" s="3"/>
      <c r="J26" s="3"/>
      <c r="K26" s="6"/>
    </row>
    <row r="27" spans="1:11" ht="12.75">
      <c r="A27" s="3"/>
      <c r="B27" s="3"/>
      <c r="C27" s="45"/>
      <c r="D27" s="3"/>
      <c r="E27" s="5"/>
      <c r="F27" s="3"/>
      <c r="G27" s="25"/>
      <c r="H27" s="3"/>
      <c r="I27" s="3"/>
      <c r="J27" s="3"/>
      <c r="K27" s="3"/>
    </row>
    <row r="28" spans="3:11" ht="12.75">
      <c r="C28" s="45"/>
      <c r="D28" s="3"/>
      <c r="E28" s="5"/>
      <c r="F28" s="3"/>
      <c r="G28" s="25"/>
      <c r="H28" s="3"/>
      <c r="I28" s="3"/>
      <c r="J28" s="3"/>
      <c r="K28" s="3"/>
    </row>
    <row r="29" ht="12.75">
      <c r="A29" s="1" t="s">
        <v>62</v>
      </c>
    </row>
    <row r="39" ht="12">
      <c r="E39">
        <f>(9.53+9.8)/2</f>
        <v>9.665</v>
      </c>
    </row>
  </sheetData>
  <printOptions/>
  <pageMargins left="0.73" right="0.75" top="1" bottom="1" header="0.5" footer="0.5"/>
  <pageSetup orientation="portrait" scale="96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5"/>
  <sheetViews>
    <sheetView workbookViewId="0" topLeftCell="A68">
      <selection activeCell="A316" sqref="A316:G350"/>
    </sheetView>
  </sheetViews>
  <sheetFormatPr defaultColWidth="9.00390625" defaultRowHeight="12"/>
  <cols>
    <col min="1" max="1" width="10.875" style="51" customWidth="1"/>
    <col min="2" max="16384" width="11.375" style="0" customWidth="1"/>
  </cols>
  <sheetData>
    <row r="1" spans="1:7" s="54" customFormat="1" ht="12.75">
      <c r="A1" s="53" t="s">
        <v>33</v>
      </c>
      <c r="B1" t="s">
        <v>167</v>
      </c>
      <c r="C1" t="s">
        <v>168</v>
      </c>
      <c r="D1" t="s">
        <v>97</v>
      </c>
      <c r="E1" t="s">
        <v>98</v>
      </c>
      <c r="F1" t="s">
        <v>99</v>
      </c>
      <c r="G1" t="s">
        <v>76</v>
      </c>
    </row>
    <row r="2" spans="1:7" s="54" customFormat="1" ht="12.75">
      <c r="A2" s="53"/>
      <c r="B2" s="64">
        <v>38372</v>
      </c>
      <c r="C2">
        <v>31.13</v>
      </c>
      <c r="D2">
        <v>31.23</v>
      </c>
      <c r="E2">
        <v>30.32</v>
      </c>
      <c r="F2">
        <v>31.16</v>
      </c>
      <c r="G2">
        <v>533400</v>
      </c>
    </row>
    <row r="3" spans="1:7" s="54" customFormat="1" ht="12.75">
      <c r="A3" s="53"/>
      <c r="B3" s="64">
        <v>38371</v>
      </c>
      <c r="C3">
        <v>31.17</v>
      </c>
      <c r="D3">
        <v>31.6</v>
      </c>
      <c r="E3">
        <v>30.75</v>
      </c>
      <c r="F3">
        <v>30.81</v>
      </c>
      <c r="G3">
        <v>461100</v>
      </c>
    </row>
    <row r="4" spans="1:7" s="54" customFormat="1" ht="12.75">
      <c r="A4" s="53"/>
      <c r="B4" s="64">
        <v>38367</v>
      </c>
      <c r="C4">
        <v>30.77</v>
      </c>
      <c r="D4">
        <v>31.42</v>
      </c>
      <c r="E4">
        <v>30.72</v>
      </c>
      <c r="F4">
        <v>31.32</v>
      </c>
      <c r="G4">
        <v>394200</v>
      </c>
    </row>
    <row r="5" spans="1:7" s="54" customFormat="1" ht="12.75">
      <c r="A5" s="53"/>
      <c r="B5" s="64">
        <v>38366</v>
      </c>
      <c r="C5">
        <v>30.55</v>
      </c>
      <c r="D5">
        <v>30.69</v>
      </c>
      <c r="E5">
        <v>29.67</v>
      </c>
      <c r="F5">
        <v>30.48</v>
      </c>
      <c r="G5">
        <v>587500</v>
      </c>
    </row>
    <row r="6" spans="1:7" s="54" customFormat="1" ht="12.75">
      <c r="A6" s="53"/>
      <c r="B6" s="64">
        <v>38365</v>
      </c>
      <c r="C6">
        <v>30.77</v>
      </c>
      <c r="D6">
        <v>31</v>
      </c>
      <c r="E6">
        <v>30.41</v>
      </c>
      <c r="F6">
        <v>30.66</v>
      </c>
      <c r="G6">
        <v>361600</v>
      </c>
    </row>
    <row r="7" spans="1:7" s="54" customFormat="1" ht="12.75">
      <c r="A7" s="53"/>
      <c r="B7" s="64">
        <v>38364</v>
      </c>
      <c r="C7">
        <v>31.09</v>
      </c>
      <c r="D7">
        <v>31.3</v>
      </c>
      <c r="E7">
        <v>30.79</v>
      </c>
      <c r="F7">
        <v>31.13</v>
      </c>
      <c r="G7">
        <v>439900</v>
      </c>
    </row>
    <row r="8" spans="1:7" s="54" customFormat="1" ht="12.75">
      <c r="A8" s="53"/>
      <c r="B8" s="64">
        <v>38363</v>
      </c>
      <c r="C8">
        <v>30.99</v>
      </c>
      <c r="D8">
        <v>31.44</v>
      </c>
      <c r="E8">
        <v>30.84</v>
      </c>
      <c r="F8">
        <v>31.19</v>
      </c>
      <c r="G8">
        <v>411200</v>
      </c>
    </row>
    <row r="9" spans="1:7" s="54" customFormat="1" ht="12.75">
      <c r="A9" s="53"/>
      <c r="B9" s="64">
        <v>38360</v>
      </c>
      <c r="C9">
        <v>31.61</v>
      </c>
      <c r="D9">
        <v>31.62</v>
      </c>
      <c r="E9">
        <v>31</v>
      </c>
      <c r="F9">
        <v>31.33</v>
      </c>
      <c r="G9">
        <v>432500</v>
      </c>
    </row>
    <row r="10" spans="1:7" s="54" customFormat="1" ht="12.75">
      <c r="A10" s="53"/>
      <c r="B10" s="64">
        <v>38359</v>
      </c>
      <c r="C10">
        <v>30.91</v>
      </c>
      <c r="D10">
        <v>31.71</v>
      </c>
      <c r="E10">
        <v>30.91</v>
      </c>
      <c r="F10">
        <v>31.68</v>
      </c>
      <c r="G10">
        <v>434700</v>
      </c>
    </row>
    <row r="11" spans="1:7" s="54" customFormat="1" ht="12.75">
      <c r="A11" s="53"/>
      <c r="B11" s="64">
        <v>38358</v>
      </c>
      <c r="C11">
        <v>30.5</v>
      </c>
      <c r="D11">
        <v>31.56</v>
      </c>
      <c r="E11">
        <v>30.5</v>
      </c>
      <c r="F11">
        <v>31.15</v>
      </c>
      <c r="G11">
        <v>573800</v>
      </c>
    </row>
    <row r="12" spans="1:7" s="54" customFormat="1" ht="12.75">
      <c r="A12" s="53"/>
      <c r="B12" s="64">
        <v>38357</v>
      </c>
      <c r="C12">
        <v>31.47</v>
      </c>
      <c r="D12">
        <v>31.8</v>
      </c>
      <c r="E12">
        <v>30.89</v>
      </c>
      <c r="F12">
        <v>31.03</v>
      </c>
      <c r="G12">
        <v>492900</v>
      </c>
    </row>
    <row r="13" spans="1:7" s="54" customFormat="1" ht="12.75">
      <c r="A13" s="53"/>
      <c r="B13" s="64">
        <v>38356</v>
      </c>
      <c r="C13">
        <v>31.59</v>
      </c>
      <c r="D13">
        <v>31.85</v>
      </c>
      <c r="E13">
        <v>30.93</v>
      </c>
      <c r="F13">
        <v>31.44</v>
      </c>
      <c r="G13">
        <v>463500</v>
      </c>
    </row>
    <row r="14" spans="1:7" s="54" customFormat="1" ht="12.75">
      <c r="A14" s="53"/>
      <c r="B14" s="64">
        <v>38353</v>
      </c>
      <c r="C14">
        <v>31.42</v>
      </c>
      <c r="D14">
        <v>31.7</v>
      </c>
      <c r="E14">
        <v>31.2</v>
      </c>
      <c r="F14">
        <v>31.62</v>
      </c>
      <c r="G14">
        <v>294000</v>
      </c>
    </row>
    <row r="15" spans="1:7" s="54" customFormat="1" ht="12.75">
      <c r="A15" s="53"/>
      <c r="B15" s="64">
        <v>38351</v>
      </c>
      <c r="C15">
        <v>30.42</v>
      </c>
      <c r="D15">
        <v>31.39</v>
      </c>
      <c r="E15">
        <v>30.42</v>
      </c>
      <c r="F15">
        <v>31.35</v>
      </c>
      <c r="G15">
        <v>583800</v>
      </c>
    </row>
    <row r="16" spans="1:7" s="54" customFormat="1" ht="12.75">
      <c r="A16" s="53"/>
      <c r="B16" s="64">
        <v>38350</v>
      </c>
      <c r="C16">
        <v>29.88</v>
      </c>
      <c r="D16">
        <v>30.39</v>
      </c>
      <c r="E16">
        <v>29.77</v>
      </c>
      <c r="F16">
        <v>30.33</v>
      </c>
      <c r="G16">
        <v>492100</v>
      </c>
    </row>
    <row r="17" spans="1:7" s="54" customFormat="1" ht="12.75">
      <c r="A17" s="53"/>
      <c r="B17" s="64">
        <v>38349</v>
      </c>
      <c r="C17">
        <v>29.5</v>
      </c>
      <c r="D17">
        <v>29.88</v>
      </c>
      <c r="E17">
        <v>29.16</v>
      </c>
      <c r="F17">
        <v>29.57</v>
      </c>
      <c r="G17">
        <v>367100</v>
      </c>
    </row>
    <row r="18" spans="1:7" s="54" customFormat="1" ht="12.75">
      <c r="A18" s="53"/>
      <c r="B18" s="64">
        <v>38346</v>
      </c>
      <c r="C18">
        <v>29.4</v>
      </c>
      <c r="D18">
        <v>29.72</v>
      </c>
      <c r="E18">
        <v>29.4</v>
      </c>
      <c r="F18">
        <v>29.61</v>
      </c>
      <c r="G18">
        <v>179200</v>
      </c>
    </row>
    <row r="19" spans="1:7" s="54" customFormat="1" ht="12.75">
      <c r="A19" s="53"/>
      <c r="B19" s="64">
        <v>38344</v>
      </c>
      <c r="C19">
        <v>29.21</v>
      </c>
      <c r="D19">
        <v>29.64</v>
      </c>
      <c r="E19">
        <v>29.05</v>
      </c>
      <c r="F19">
        <v>29.44</v>
      </c>
      <c r="G19">
        <v>109900</v>
      </c>
    </row>
    <row r="20" spans="1:7" s="54" customFormat="1" ht="12.75">
      <c r="A20" s="53"/>
      <c r="B20" s="64">
        <v>38343</v>
      </c>
      <c r="C20">
        <v>29.8</v>
      </c>
      <c r="D20">
        <v>29.98</v>
      </c>
      <c r="E20">
        <v>29.14</v>
      </c>
      <c r="F20">
        <v>29.23</v>
      </c>
      <c r="G20">
        <v>482500</v>
      </c>
    </row>
    <row r="21" spans="1:7" s="54" customFormat="1" ht="12.75">
      <c r="A21" s="53"/>
      <c r="B21" s="64">
        <v>38342</v>
      </c>
      <c r="C21">
        <v>29.26</v>
      </c>
      <c r="D21">
        <v>29.52</v>
      </c>
      <c r="E21">
        <v>28.76</v>
      </c>
      <c r="F21">
        <v>29.4</v>
      </c>
      <c r="G21">
        <v>570400</v>
      </c>
    </row>
    <row r="22" spans="1:7" s="54" customFormat="1" ht="12.75">
      <c r="A22" s="53"/>
      <c r="B22" s="64">
        <v>38339</v>
      </c>
      <c r="C22">
        <v>29.91</v>
      </c>
      <c r="D22">
        <v>30.28</v>
      </c>
      <c r="E22">
        <v>29.27</v>
      </c>
      <c r="F22">
        <v>29.56</v>
      </c>
      <c r="G22">
        <v>905800</v>
      </c>
    </row>
    <row r="23" spans="1:7" s="54" customFormat="1" ht="12.75">
      <c r="A23" s="53"/>
      <c r="B23" s="64">
        <v>38338</v>
      </c>
      <c r="C23">
        <v>30.13</v>
      </c>
      <c r="D23">
        <v>30.23</v>
      </c>
      <c r="E23">
        <v>29.44</v>
      </c>
      <c r="F23">
        <v>29.7</v>
      </c>
      <c r="G23">
        <v>634500</v>
      </c>
    </row>
    <row r="24" spans="1:7" s="54" customFormat="1" ht="12.75">
      <c r="A24" s="53"/>
      <c r="B24" s="64">
        <v>38337</v>
      </c>
      <c r="C24">
        <v>29.96</v>
      </c>
      <c r="D24">
        <v>30.53</v>
      </c>
      <c r="E24">
        <v>29.67</v>
      </c>
      <c r="F24">
        <v>29.97</v>
      </c>
      <c r="G24">
        <v>477500</v>
      </c>
    </row>
    <row r="25" spans="1:7" s="54" customFormat="1" ht="12.75">
      <c r="A25" s="53"/>
      <c r="B25" s="64">
        <v>38336</v>
      </c>
      <c r="C25">
        <v>29.67</v>
      </c>
      <c r="D25">
        <v>30.45</v>
      </c>
      <c r="E25">
        <v>29.5</v>
      </c>
      <c r="F25">
        <v>30.37</v>
      </c>
      <c r="G25">
        <v>732600</v>
      </c>
    </row>
    <row r="26" spans="1:7" s="54" customFormat="1" ht="12.75">
      <c r="A26" s="53"/>
      <c r="B26" s="64">
        <v>38335</v>
      </c>
      <c r="C26">
        <v>29.82</v>
      </c>
      <c r="D26">
        <v>30</v>
      </c>
      <c r="E26">
        <v>28.88</v>
      </c>
      <c r="F26">
        <v>29.42</v>
      </c>
      <c r="G26">
        <v>366500</v>
      </c>
    </row>
    <row r="27" spans="1:7" s="54" customFormat="1" ht="12.75">
      <c r="A27" s="53"/>
      <c r="B27" s="64">
        <v>38332</v>
      </c>
      <c r="C27">
        <v>28.56</v>
      </c>
      <c r="D27">
        <v>29.77</v>
      </c>
      <c r="E27">
        <v>28.15</v>
      </c>
      <c r="F27">
        <v>29.76</v>
      </c>
      <c r="G27">
        <v>517900</v>
      </c>
    </row>
    <row r="28" spans="1:7" s="54" customFormat="1" ht="12.75">
      <c r="A28" s="53"/>
      <c r="B28" s="64">
        <v>38331</v>
      </c>
      <c r="C28">
        <v>28.49</v>
      </c>
      <c r="D28">
        <v>29.53</v>
      </c>
      <c r="E28">
        <v>28.47</v>
      </c>
      <c r="F28">
        <v>28.94</v>
      </c>
      <c r="G28">
        <v>658500</v>
      </c>
    </row>
    <row r="29" spans="1:7" s="54" customFormat="1" ht="12.75">
      <c r="A29" s="53"/>
      <c r="B29" s="64">
        <v>38330</v>
      </c>
      <c r="C29">
        <v>28.37</v>
      </c>
      <c r="D29">
        <v>28.92</v>
      </c>
      <c r="E29">
        <v>28.18</v>
      </c>
      <c r="F29">
        <v>28.57</v>
      </c>
      <c r="G29">
        <v>422400</v>
      </c>
    </row>
    <row r="30" spans="1:7" s="54" customFormat="1" ht="12.75">
      <c r="A30" s="53"/>
      <c r="B30" s="64">
        <v>38329</v>
      </c>
      <c r="C30">
        <v>28.01</v>
      </c>
      <c r="D30">
        <v>28.71</v>
      </c>
      <c r="E30">
        <v>27.89</v>
      </c>
      <c r="F30">
        <v>28</v>
      </c>
      <c r="G30">
        <v>599200</v>
      </c>
    </row>
    <row r="31" spans="1:7" s="54" customFormat="1" ht="12.75">
      <c r="A31" s="53"/>
      <c r="B31" s="64">
        <v>38328</v>
      </c>
      <c r="C31">
        <v>28.91</v>
      </c>
      <c r="D31">
        <v>29.35</v>
      </c>
      <c r="E31">
        <v>27.9</v>
      </c>
      <c r="F31">
        <v>28.22</v>
      </c>
      <c r="G31">
        <v>666100</v>
      </c>
    </row>
    <row r="32" spans="1:7" s="54" customFormat="1" ht="12.75">
      <c r="A32" s="53"/>
      <c r="B32" s="54" t="s">
        <v>68</v>
      </c>
      <c r="C32" s="56">
        <f>AVERAGE(C2:C31)</f>
        <v>30.108999999999998</v>
      </c>
      <c r="D32" s="56">
        <f>AVERAGE(D2:D31)</f>
        <v>30.573666666666664</v>
      </c>
      <c r="E32" s="56">
        <f>AVERAGE(E2:E31)</f>
        <v>29.732666666666663</v>
      </c>
      <c r="F32" s="57">
        <f>AVERAGE(F2:F31)</f>
        <v>30.21466666666667</v>
      </c>
      <c r="G32" s="56">
        <f>AVERAGE(G2:G31)</f>
        <v>488210</v>
      </c>
    </row>
    <row r="33" spans="1:7" s="54" customFormat="1" ht="12.75">
      <c r="A33" s="53"/>
      <c r="B33" s="54" t="s">
        <v>194</v>
      </c>
      <c r="C33" s="54">
        <f>MEDIAN(C2:C31)</f>
        <v>30.045</v>
      </c>
      <c r="D33" s="54">
        <f>MEDIAN(D2:D31)</f>
        <v>30.490000000000002</v>
      </c>
      <c r="E33" s="54">
        <f>MEDIAN(E2:E31)</f>
        <v>29.67</v>
      </c>
      <c r="F33" s="54">
        <f>MEDIAN(F2:F31)</f>
        <v>30.35</v>
      </c>
      <c r="G33" s="54">
        <f>MEDIAN(G2:G31)</f>
        <v>480000</v>
      </c>
    </row>
    <row r="34" spans="1:7" s="54" customFormat="1" ht="12.75">
      <c r="A34" s="53"/>
      <c r="B34" s="54" t="s">
        <v>198</v>
      </c>
      <c r="C34" s="54">
        <f>MAX(C2:C31)</f>
        <v>31.61</v>
      </c>
      <c r="D34" s="54">
        <f>MAX(D2:D31)</f>
        <v>31.85</v>
      </c>
      <c r="E34" s="54">
        <f>MAX(E2:E31)</f>
        <v>31.2</v>
      </c>
      <c r="F34" s="54">
        <f>MAX(F2:F31)</f>
        <v>31.68</v>
      </c>
      <c r="G34" s="54">
        <f>MAX(G2:G31)</f>
        <v>905800</v>
      </c>
    </row>
    <row r="35" spans="1:7" s="54" customFormat="1" ht="12.75">
      <c r="A35" s="53"/>
      <c r="B35" s="54" t="s">
        <v>199</v>
      </c>
      <c r="C35" s="54">
        <f>MIN(C2:C31)</f>
        <v>28.01</v>
      </c>
      <c r="D35" s="54">
        <f>MIN(D2:D31)</f>
        <v>28.71</v>
      </c>
      <c r="E35" s="54">
        <f>MIN(E2:E31)</f>
        <v>27.89</v>
      </c>
      <c r="F35" s="54">
        <f>MIN(F2:F31)</f>
        <v>28</v>
      </c>
      <c r="G35" s="54">
        <f>MIN(G2:G31)</f>
        <v>109900</v>
      </c>
    </row>
    <row r="36" spans="1:7" s="54" customFormat="1" ht="12.75">
      <c r="A36" s="53" t="s">
        <v>34</v>
      </c>
      <c r="B36" t="s">
        <v>167</v>
      </c>
      <c r="C36" t="s">
        <v>168</v>
      </c>
      <c r="D36" t="s">
        <v>97</v>
      </c>
      <c r="E36" t="s">
        <v>98</v>
      </c>
      <c r="F36" t="s">
        <v>99</v>
      </c>
      <c r="G36" t="s">
        <v>76</v>
      </c>
    </row>
    <row r="37" spans="1:7" s="54" customFormat="1" ht="12.75">
      <c r="A37" s="53"/>
      <c r="B37" s="64">
        <v>38372</v>
      </c>
      <c r="C37">
        <v>32.65</v>
      </c>
      <c r="D37">
        <v>33.47</v>
      </c>
      <c r="E37">
        <v>32.13</v>
      </c>
      <c r="F37">
        <v>33.31</v>
      </c>
      <c r="G37">
        <v>1330000</v>
      </c>
    </row>
    <row r="38" spans="1:7" s="54" customFormat="1" ht="12.75">
      <c r="A38" s="53"/>
      <c r="B38" s="64">
        <v>38371</v>
      </c>
      <c r="C38">
        <v>33.29</v>
      </c>
      <c r="D38">
        <v>33.75</v>
      </c>
      <c r="E38">
        <v>32.1</v>
      </c>
      <c r="F38">
        <v>32.16</v>
      </c>
      <c r="G38">
        <v>738300</v>
      </c>
    </row>
    <row r="39" spans="1:7" s="54" customFormat="1" ht="12.75">
      <c r="A39" s="53"/>
      <c r="B39" s="64">
        <v>38367</v>
      </c>
      <c r="C39">
        <v>33.28</v>
      </c>
      <c r="D39">
        <v>33.82</v>
      </c>
      <c r="E39">
        <v>32.77</v>
      </c>
      <c r="F39">
        <v>33.6</v>
      </c>
      <c r="G39">
        <v>1251700</v>
      </c>
    </row>
    <row r="40" spans="1:7" s="54" customFormat="1" ht="12.75">
      <c r="A40" s="53"/>
      <c r="B40" s="64">
        <v>38366</v>
      </c>
      <c r="C40">
        <v>33.03</v>
      </c>
      <c r="D40">
        <v>33.11</v>
      </c>
      <c r="E40">
        <v>31.95</v>
      </c>
      <c r="F40">
        <v>32.84</v>
      </c>
      <c r="G40">
        <v>888300</v>
      </c>
    </row>
    <row r="41" spans="1:7" s="54" customFormat="1" ht="12.75">
      <c r="A41" s="53"/>
      <c r="B41" s="64">
        <v>38365</v>
      </c>
      <c r="C41">
        <v>33.74</v>
      </c>
      <c r="D41">
        <v>33.75</v>
      </c>
      <c r="E41">
        <v>32.67</v>
      </c>
      <c r="F41">
        <v>32.99</v>
      </c>
      <c r="G41">
        <v>554500</v>
      </c>
    </row>
    <row r="42" spans="1:7" s="54" customFormat="1" ht="12.75">
      <c r="A42" s="53"/>
      <c r="B42" s="64">
        <v>38364</v>
      </c>
      <c r="C42">
        <v>33.74</v>
      </c>
      <c r="D42">
        <v>34.19</v>
      </c>
      <c r="E42">
        <v>33.38</v>
      </c>
      <c r="F42">
        <v>33.71</v>
      </c>
      <c r="G42">
        <v>699400</v>
      </c>
    </row>
    <row r="43" spans="1:7" s="54" customFormat="1" ht="12.75">
      <c r="A43" s="53"/>
      <c r="B43" s="64">
        <v>38363</v>
      </c>
      <c r="C43">
        <v>33.51</v>
      </c>
      <c r="D43">
        <v>33.99</v>
      </c>
      <c r="E43">
        <v>33.32</v>
      </c>
      <c r="F43">
        <v>33.73</v>
      </c>
      <c r="G43">
        <v>623400</v>
      </c>
    </row>
    <row r="44" spans="1:7" s="54" customFormat="1" ht="12.75">
      <c r="A44" s="53"/>
      <c r="B44" s="64">
        <v>38360</v>
      </c>
      <c r="C44">
        <v>34.41</v>
      </c>
      <c r="D44">
        <v>34.41</v>
      </c>
      <c r="E44">
        <v>33.26</v>
      </c>
      <c r="F44">
        <v>33.52</v>
      </c>
      <c r="G44">
        <v>457500</v>
      </c>
    </row>
    <row r="45" spans="1:7" s="54" customFormat="1" ht="12.75">
      <c r="A45" s="53"/>
      <c r="B45" s="64">
        <v>38359</v>
      </c>
      <c r="C45">
        <v>33.62</v>
      </c>
      <c r="D45">
        <v>34.38</v>
      </c>
      <c r="E45">
        <v>33.49</v>
      </c>
      <c r="F45">
        <v>34.17</v>
      </c>
      <c r="G45">
        <v>557800</v>
      </c>
    </row>
    <row r="46" spans="1:7" s="54" customFormat="1" ht="12.75">
      <c r="A46" s="53"/>
      <c r="B46" s="64">
        <v>38358</v>
      </c>
      <c r="C46">
        <v>33.85</v>
      </c>
      <c r="D46">
        <v>34.45</v>
      </c>
      <c r="E46">
        <v>33.35</v>
      </c>
      <c r="F46">
        <v>33.94</v>
      </c>
      <c r="G46">
        <v>817200</v>
      </c>
    </row>
    <row r="47" spans="1:7" s="54" customFormat="1" ht="12.75">
      <c r="A47" s="53"/>
      <c r="B47" s="64">
        <v>38357</v>
      </c>
      <c r="C47">
        <v>34.41</v>
      </c>
      <c r="D47">
        <v>34.8</v>
      </c>
      <c r="E47">
        <v>33.94</v>
      </c>
      <c r="F47">
        <v>34.19</v>
      </c>
      <c r="G47">
        <v>671600</v>
      </c>
    </row>
    <row r="48" spans="1:7" s="54" customFormat="1" ht="12.75">
      <c r="A48" s="53"/>
      <c r="B48" s="64">
        <v>38356</v>
      </c>
      <c r="C48">
        <v>35.02</v>
      </c>
      <c r="D48">
        <v>35.02</v>
      </c>
      <c r="E48">
        <v>33.92</v>
      </c>
      <c r="F48">
        <v>34.46</v>
      </c>
      <c r="G48">
        <v>610300</v>
      </c>
    </row>
    <row r="49" spans="1:7" s="54" customFormat="1" ht="12.75">
      <c r="A49" s="53"/>
      <c r="B49" s="64">
        <v>38353</v>
      </c>
      <c r="C49">
        <v>35.25</v>
      </c>
      <c r="D49">
        <v>35.33</v>
      </c>
      <c r="E49">
        <v>34.49</v>
      </c>
      <c r="F49">
        <v>35.06</v>
      </c>
      <c r="G49">
        <v>627700</v>
      </c>
    </row>
    <row r="50" spans="1:7" s="54" customFormat="1" ht="12.75">
      <c r="A50" s="53"/>
      <c r="B50" s="64">
        <v>38351</v>
      </c>
      <c r="C50">
        <v>33.99</v>
      </c>
      <c r="D50">
        <v>34.93</v>
      </c>
      <c r="E50">
        <v>33.83</v>
      </c>
      <c r="F50">
        <v>34.74</v>
      </c>
      <c r="G50">
        <v>657800</v>
      </c>
    </row>
    <row r="51" spans="1:7" s="54" customFormat="1" ht="12.75">
      <c r="A51" s="53"/>
      <c r="B51" s="64">
        <v>38350</v>
      </c>
      <c r="C51">
        <v>33.05</v>
      </c>
      <c r="D51">
        <v>34.12</v>
      </c>
      <c r="E51">
        <v>33.05</v>
      </c>
      <c r="F51">
        <v>34.12</v>
      </c>
      <c r="G51">
        <v>552600</v>
      </c>
    </row>
    <row r="52" spans="1:7" s="54" customFormat="1" ht="12.75">
      <c r="A52" s="53"/>
      <c r="B52" s="64">
        <v>38349</v>
      </c>
      <c r="C52">
        <v>33.85</v>
      </c>
      <c r="D52">
        <v>33.85</v>
      </c>
      <c r="E52">
        <v>32.53</v>
      </c>
      <c r="F52">
        <v>33.13</v>
      </c>
      <c r="G52">
        <v>601600</v>
      </c>
    </row>
    <row r="53" spans="1:7" s="54" customFormat="1" ht="12.75">
      <c r="A53" s="53"/>
      <c r="B53" s="64">
        <v>38346</v>
      </c>
      <c r="C53">
        <v>34.58</v>
      </c>
      <c r="D53">
        <v>34.89</v>
      </c>
      <c r="E53">
        <v>33.96</v>
      </c>
      <c r="F53">
        <v>34.1</v>
      </c>
      <c r="G53">
        <v>427900</v>
      </c>
    </row>
    <row r="54" spans="1:7" s="54" customFormat="1" ht="12.75">
      <c r="A54" s="53"/>
      <c r="B54" s="64">
        <v>38344</v>
      </c>
      <c r="C54">
        <v>34.21</v>
      </c>
      <c r="D54">
        <v>34.53</v>
      </c>
      <c r="E54">
        <v>33.94</v>
      </c>
      <c r="F54">
        <v>34.46</v>
      </c>
      <c r="G54">
        <v>208100</v>
      </c>
    </row>
    <row r="55" spans="1:7" s="54" customFormat="1" ht="12.75">
      <c r="A55" s="53"/>
      <c r="B55" s="64">
        <v>38343</v>
      </c>
      <c r="C55">
        <v>35.36</v>
      </c>
      <c r="D55">
        <v>35.36</v>
      </c>
      <c r="E55">
        <v>34.16</v>
      </c>
      <c r="F55">
        <v>34.38</v>
      </c>
      <c r="G55">
        <v>521000</v>
      </c>
    </row>
    <row r="56" spans="1:7" s="54" customFormat="1" ht="12.75">
      <c r="A56" s="53"/>
      <c r="B56" s="64">
        <v>38342</v>
      </c>
      <c r="C56">
        <v>35.22</v>
      </c>
      <c r="D56">
        <v>35.51</v>
      </c>
      <c r="E56">
        <v>34.25</v>
      </c>
      <c r="F56">
        <v>34.93</v>
      </c>
      <c r="G56">
        <v>720000</v>
      </c>
    </row>
    <row r="57" spans="1:7" s="54" customFormat="1" ht="12.75">
      <c r="A57" s="53"/>
      <c r="B57" s="64">
        <v>38339</v>
      </c>
      <c r="C57">
        <v>35.88</v>
      </c>
      <c r="D57">
        <v>37.06</v>
      </c>
      <c r="E57">
        <v>34.92</v>
      </c>
      <c r="F57">
        <v>35.15</v>
      </c>
      <c r="G57">
        <v>1506200</v>
      </c>
    </row>
    <row r="58" spans="1:7" s="54" customFormat="1" ht="12.75">
      <c r="A58" s="53"/>
      <c r="B58" s="64">
        <v>38338</v>
      </c>
      <c r="C58">
        <v>35.66</v>
      </c>
      <c r="D58">
        <v>36.37</v>
      </c>
      <c r="E58">
        <v>34.88</v>
      </c>
      <c r="F58">
        <v>35.67</v>
      </c>
      <c r="G58">
        <v>879900</v>
      </c>
    </row>
    <row r="59" spans="1:7" s="54" customFormat="1" ht="12.75">
      <c r="A59" s="53"/>
      <c r="B59" s="64">
        <v>38337</v>
      </c>
      <c r="C59">
        <v>35.72</v>
      </c>
      <c r="D59">
        <v>36.17</v>
      </c>
      <c r="E59">
        <v>35.37</v>
      </c>
      <c r="F59">
        <v>35.65</v>
      </c>
      <c r="G59">
        <v>789800</v>
      </c>
    </row>
    <row r="60" spans="1:7" s="54" customFormat="1" ht="12.75">
      <c r="A60" s="53"/>
      <c r="B60" s="64">
        <v>38336</v>
      </c>
      <c r="C60">
        <v>35.49</v>
      </c>
      <c r="D60">
        <v>36.25</v>
      </c>
      <c r="E60">
        <v>34.82</v>
      </c>
      <c r="F60">
        <v>36.03</v>
      </c>
      <c r="G60">
        <v>990200</v>
      </c>
    </row>
    <row r="61" spans="1:7" s="54" customFormat="1" ht="12.75">
      <c r="A61" s="53"/>
      <c r="B61" s="64">
        <v>38335</v>
      </c>
      <c r="C61">
        <v>35.88</v>
      </c>
      <c r="D61">
        <v>35.88</v>
      </c>
      <c r="E61">
        <v>34.11</v>
      </c>
      <c r="F61">
        <v>34.74</v>
      </c>
      <c r="G61">
        <v>647400</v>
      </c>
    </row>
    <row r="62" spans="1:7" s="54" customFormat="1" ht="12.75">
      <c r="A62" s="53"/>
      <c r="B62" s="64">
        <v>38332</v>
      </c>
      <c r="C62">
        <v>33.92</v>
      </c>
      <c r="D62">
        <v>35.3</v>
      </c>
      <c r="E62">
        <v>33.65</v>
      </c>
      <c r="F62">
        <v>35.12</v>
      </c>
      <c r="G62">
        <v>804000</v>
      </c>
    </row>
    <row r="63" spans="1:7" s="54" customFormat="1" ht="12.75">
      <c r="A63" s="53"/>
      <c r="B63" s="64">
        <v>38331</v>
      </c>
      <c r="C63">
        <v>35.13</v>
      </c>
      <c r="D63">
        <v>36.24</v>
      </c>
      <c r="E63">
        <v>34.22</v>
      </c>
      <c r="F63">
        <v>34.63</v>
      </c>
      <c r="G63">
        <v>703200</v>
      </c>
    </row>
    <row r="64" spans="1:7" s="54" customFormat="1" ht="12.75">
      <c r="A64" s="53"/>
      <c r="B64" s="64">
        <v>38330</v>
      </c>
      <c r="C64">
        <v>35.67</v>
      </c>
      <c r="D64">
        <v>36.27</v>
      </c>
      <c r="E64">
        <v>34.98</v>
      </c>
      <c r="F64">
        <v>35.53</v>
      </c>
      <c r="G64">
        <v>508800</v>
      </c>
    </row>
    <row r="65" spans="1:7" s="54" customFormat="1" ht="12.75">
      <c r="A65" s="53"/>
      <c r="B65" s="64">
        <v>38329</v>
      </c>
      <c r="C65">
        <v>36.34</v>
      </c>
      <c r="D65">
        <v>36.93</v>
      </c>
      <c r="E65">
        <v>35.38</v>
      </c>
      <c r="F65">
        <v>35.65</v>
      </c>
      <c r="G65">
        <v>505800</v>
      </c>
    </row>
    <row r="66" spans="1:7" s="54" customFormat="1" ht="12.75">
      <c r="A66" s="53"/>
      <c r="B66" s="64">
        <v>38328</v>
      </c>
      <c r="C66">
        <v>37.28</v>
      </c>
      <c r="D66">
        <v>37.83</v>
      </c>
      <c r="E66">
        <v>36.04</v>
      </c>
      <c r="F66">
        <v>36.53</v>
      </c>
      <c r="G66">
        <v>556200</v>
      </c>
    </row>
    <row r="67" spans="1:7" s="54" customFormat="1" ht="12.75">
      <c r="A67" s="53"/>
      <c r="B67" s="54" t="s">
        <v>68</v>
      </c>
      <c r="C67" s="56">
        <f>AVERAGE(C37:C66)</f>
        <v>34.56766666666667</v>
      </c>
      <c r="D67" s="56">
        <f>AVERAGE(D37:D66)</f>
        <v>35.06533333333333</v>
      </c>
      <c r="E67" s="56">
        <f>AVERAGE(E37:E66)</f>
        <v>33.82866666666667</v>
      </c>
      <c r="F67" s="57">
        <f>AVERAGE(F37:F66)</f>
        <v>34.408</v>
      </c>
      <c r="G67" s="56">
        <f>AVERAGE(G37:G66)</f>
        <v>713606.6666666666</v>
      </c>
    </row>
    <row r="68" spans="1:7" s="54" customFormat="1" ht="12.75">
      <c r="A68" s="53"/>
      <c r="B68" s="54" t="s">
        <v>194</v>
      </c>
      <c r="C68" s="54">
        <f>MEDIAN(C37:C66)</f>
        <v>34.41</v>
      </c>
      <c r="D68" s="54">
        <f>MEDIAN(D37:D66)</f>
        <v>34.91</v>
      </c>
      <c r="E68" s="54">
        <f>MEDIAN(E37:E66)</f>
        <v>33.93</v>
      </c>
      <c r="F68" s="54">
        <f>MEDIAN(F37:F66)</f>
        <v>34.42</v>
      </c>
      <c r="G68" s="54">
        <f>MEDIAN(G37:G66)</f>
        <v>652600</v>
      </c>
    </row>
    <row r="69" spans="1:7" s="54" customFormat="1" ht="12.75">
      <c r="A69" s="53"/>
      <c r="B69" s="54" t="s">
        <v>198</v>
      </c>
      <c r="C69" s="54">
        <f>MAX(C37:C66)</f>
        <v>37.28</v>
      </c>
      <c r="D69" s="54">
        <f>MAX(D37:D66)</f>
        <v>37.83</v>
      </c>
      <c r="E69" s="54">
        <f>MAX(E37:E66)</f>
        <v>36.04</v>
      </c>
      <c r="F69" s="54">
        <f>MAX(F37:F66)</f>
        <v>36.53</v>
      </c>
      <c r="G69" s="54">
        <f>MAX(G37:G66)</f>
        <v>1506200</v>
      </c>
    </row>
    <row r="70" spans="1:7" s="54" customFormat="1" ht="12.75">
      <c r="A70" s="53"/>
      <c r="B70" s="54" t="s">
        <v>199</v>
      </c>
      <c r="C70" s="54">
        <f>MIN(C37:C66)</f>
        <v>32.65</v>
      </c>
      <c r="D70" s="54">
        <f>MIN(D37:D66)</f>
        <v>33.11</v>
      </c>
      <c r="E70" s="54">
        <f>MIN(E37:E66)</f>
        <v>31.95</v>
      </c>
      <c r="F70" s="54">
        <f>MIN(F37:F66)</f>
        <v>32.16</v>
      </c>
      <c r="G70" s="54">
        <f>MIN(G37:G66)</f>
        <v>208100</v>
      </c>
    </row>
    <row r="71" spans="1:7" s="54" customFormat="1" ht="12.75">
      <c r="A71" s="53" t="s">
        <v>35</v>
      </c>
      <c r="B71" t="s">
        <v>167</v>
      </c>
      <c r="C71" t="s">
        <v>168</v>
      </c>
      <c r="D71" t="s">
        <v>97</v>
      </c>
      <c r="E71" t="s">
        <v>98</v>
      </c>
      <c r="F71" t="s">
        <v>99</v>
      </c>
      <c r="G71" t="s">
        <v>76</v>
      </c>
    </row>
    <row r="72" spans="1:7" s="54" customFormat="1" ht="12.75">
      <c r="A72" s="53"/>
      <c r="B72" s="64">
        <v>38372</v>
      </c>
      <c r="C72">
        <v>10.56</v>
      </c>
      <c r="D72">
        <v>10.56</v>
      </c>
      <c r="E72">
        <v>10.21</v>
      </c>
      <c r="F72">
        <v>10.52</v>
      </c>
      <c r="G72">
        <v>4439000</v>
      </c>
    </row>
    <row r="73" spans="1:7" s="54" customFormat="1" ht="12.75">
      <c r="A73" s="53"/>
      <c r="B73" s="64">
        <v>38371</v>
      </c>
      <c r="C73">
        <v>10.65</v>
      </c>
      <c r="D73">
        <v>10.78</v>
      </c>
      <c r="E73">
        <v>10.33</v>
      </c>
      <c r="F73">
        <v>10.38</v>
      </c>
      <c r="G73">
        <v>3243000</v>
      </c>
    </row>
    <row r="74" spans="1:7" s="54" customFormat="1" ht="12.75">
      <c r="A74" s="53"/>
      <c r="B74" s="64">
        <v>38367</v>
      </c>
      <c r="C74">
        <v>10.7</v>
      </c>
      <c r="D74">
        <v>10.92</v>
      </c>
      <c r="E74">
        <v>10.54</v>
      </c>
      <c r="F74">
        <v>10.71</v>
      </c>
      <c r="G74">
        <v>3296500</v>
      </c>
    </row>
    <row r="75" spans="1:7" s="54" customFormat="1" ht="12.75">
      <c r="A75" s="53"/>
      <c r="B75" s="64">
        <v>38366</v>
      </c>
      <c r="C75">
        <v>10.68</v>
      </c>
      <c r="D75">
        <v>10.69</v>
      </c>
      <c r="E75">
        <v>10.36</v>
      </c>
      <c r="F75">
        <v>10.59</v>
      </c>
      <c r="G75">
        <v>4509000</v>
      </c>
    </row>
    <row r="76" spans="1:7" s="54" customFormat="1" ht="12.75">
      <c r="A76" s="53"/>
      <c r="B76" s="64">
        <v>38365</v>
      </c>
      <c r="C76">
        <v>10.77</v>
      </c>
      <c r="D76">
        <v>10.83</v>
      </c>
      <c r="E76">
        <v>10.46</v>
      </c>
      <c r="F76">
        <v>10.67</v>
      </c>
      <c r="G76">
        <v>3153400</v>
      </c>
    </row>
    <row r="77" spans="1:7" s="54" customFormat="1" ht="12.75">
      <c r="A77" s="53"/>
      <c r="B77" s="64">
        <v>38364</v>
      </c>
      <c r="C77">
        <v>10.99</v>
      </c>
      <c r="D77">
        <v>11.04</v>
      </c>
      <c r="E77">
        <v>10.75</v>
      </c>
      <c r="F77">
        <v>10.83</v>
      </c>
      <c r="G77">
        <v>3045900</v>
      </c>
    </row>
    <row r="78" spans="1:7" s="54" customFormat="1" ht="12.75">
      <c r="A78" s="53"/>
      <c r="B78" s="64">
        <v>38363</v>
      </c>
      <c r="C78">
        <v>11.1</v>
      </c>
      <c r="D78">
        <v>11.17</v>
      </c>
      <c r="E78">
        <v>10.91</v>
      </c>
      <c r="F78">
        <v>10.99</v>
      </c>
      <c r="G78">
        <v>2739200</v>
      </c>
    </row>
    <row r="79" spans="1:7" s="54" customFormat="1" ht="12.75">
      <c r="A79" s="53"/>
      <c r="B79" s="64">
        <v>38360</v>
      </c>
      <c r="C79">
        <v>10.95</v>
      </c>
      <c r="D79">
        <v>11.22</v>
      </c>
      <c r="E79">
        <v>10.85</v>
      </c>
      <c r="F79">
        <v>11.08</v>
      </c>
      <c r="G79">
        <v>4186800</v>
      </c>
    </row>
    <row r="80" spans="1:7" s="54" customFormat="1" ht="12.75">
      <c r="A80" s="53"/>
      <c r="B80" s="64">
        <v>38359</v>
      </c>
      <c r="C80">
        <v>10.76</v>
      </c>
      <c r="D80">
        <v>10.99</v>
      </c>
      <c r="E80">
        <v>10.75</v>
      </c>
      <c r="F80">
        <v>10.94</v>
      </c>
      <c r="G80">
        <v>3538400</v>
      </c>
    </row>
    <row r="81" spans="1:7" s="54" customFormat="1" ht="12.75">
      <c r="A81" s="53"/>
      <c r="B81" s="64">
        <v>38358</v>
      </c>
      <c r="C81">
        <v>11.1</v>
      </c>
      <c r="D81">
        <v>11.12</v>
      </c>
      <c r="E81">
        <v>10.74</v>
      </c>
      <c r="F81">
        <v>10.79</v>
      </c>
      <c r="G81">
        <v>4222800</v>
      </c>
    </row>
    <row r="82" spans="1:7" s="54" customFormat="1" ht="12.75">
      <c r="A82" s="53"/>
      <c r="B82" s="64">
        <v>38357</v>
      </c>
      <c r="C82">
        <v>11.26</v>
      </c>
      <c r="D82">
        <v>11.4</v>
      </c>
      <c r="E82">
        <v>11.1</v>
      </c>
      <c r="F82">
        <v>11.15</v>
      </c>
      <c r="G82">
        <v>4305000</v>
      </c>
    </row>
    <row r="83" spans="1:7" s="54" customFormat="1" ht="12.75">
      <c r="A83" s="53"/>
      <c r="B83" s="64">
        <v>38356</v>
      </c>
      <c r="C83">
        <v>11.14</v>
      </c>
      <c r="D83">
        <v>11.25</v>
      </c>
      <c r="E83">
        <v>11.09</v>
      </c>
      <c r="F83">
        <v>11.17</v>
      </c>
      <c r="G83">
        <v>4199400</v>
      </c>
    </row>
    <row r="84" spans="1:7" s="54" customFormat="1" ht="12.75">
      <c r="A84" s="53"/>
      <c r="B84" s="64">
        <v>38353</v>
      </c>
      <c r="C84">
        <v>11</v>
      </c>
      <c r="D84">
        <v>11.23</v>
      </c>
      <c r="E84">
        <v>11</v>
      </c>
      <c r="F84">
        <v>11.14</v>
      </c>
      <c r="G84">
        <v>3442800</v>
      </c>
    </row>
    <row r="85" spans="1:7" s="54" customFormat="1" ht="12.75">
      <c r="A85" s="53"/>
      <c r="B85" s="64">
        <v>38351</v>
      </c>
      <c r="C85">
        <v>10.95</v>
      </c>
      <c r="D85">
        <v>11.06</v>
      </c>
      <c r="E85">
        <v>10.85</v>
      </c>
      <c r="F85">
        <v>10.97</v>
      </c>
      <c r="G85">
        <v>3705500</v>
      </c>
    </row>
    <row r="86" spans="1:7" s="54" customFormat="1" ht="12.75">
      <c r="A86" s="53"/>
      <c r="B86" s="64">
        <v>38350</v>
      </c>
      <c r="C86">
        <v>10.7</v>
      </c>
      <c r="D86">
        <v>10.98</v>
      </c>
      <c r="E86">
        <v>10.7</v>
      </c>
      <c r="F86">
        <v>10.94</v>
      </c>
      <c r="G86">
        <v>1999600</v>
      </c>
    </row>
    <row r="87" spans="1:7" s="54" customFormat="1" ht="12.75">
      <c r="A87" s="53"/>
      <c r="B87" s="64">
        <v>38349</v>
      </c>
      <c r="C87">
        <v>10.67</v>
      </c>
      <c r="D87">
        <v>10.72</v>
      </c>
      <c r="E87">
        <v>10.54</v>
      </c>
      <c r="F87">
        <v>10.67</v>
      </c>
      <c r="G87">
        <v>1448300</v>
      </c>
    </row>
    <row r="88" spans="1:7" s="54" customFormat="1" ht="12.75">
      <c r="A88" s="53"/>
      <c r="B88" s="64">
        <v>38346</v>
      </c>
      <c r="C88">
        <v>10.66</v>
      </c>
      <c r="D88">
        <v>10.79</v>
      </c>
      <c r="E88">
        <v>10.58</v>
      </c>
      <c r="F88">
        <v>10.7</v>
      </c>
      <c r="G88">
        <v>758000</v>
      </c>
    </row>
    <row r="89" spans="1:7" s="54" customFormat="1" ht="12.75">
      <c r="A89" s="53"/>
      <c r="B89" s="64">
        <v>38344</v>
      </c>
      <c r="C89">
        <v>10.46</v>
      </c>
      <c r="D89">
        <v>10.69</v>
      </c>
      <c r="E89">
        <v>10.46</v>
      </c>
      <c r="F89">
        <v>10.62</v>
      </c>
      <c r="G89">
        <v>860300</v>
      </c>
    </row>
    <row r="90" spans="1:7" s="54" customFormat="1" ht="12.75">
      <c r="A90" s="53"/>
      <c r="B90" s="64">
        <v>38343</v>
      </c>
      <c r="C90">
        <v>10.89</v>
      </c>
      <c r="D90">
        <v>10.97</v>
      </c>
      <c r="E90">
        <v>10.45</v>
      </c>
      <c r="F90">
        <v>10.52</v>
      </c>
      <c r="G90">
        <v>2360300</v>
      </c>
    </row>
    <row r="91" spans="1:7" s="54" customFormat="1" ht="12.75">
      <c r="A91" s="53"/>
      <c r="B91" s="64">
        <v>38342</v>
      </c>
      <c r="C91">
        <v>10.95</v>
      </c>
      <c r="D91">
        <v>11.13</v>
      </c>
      <c r="E91">
        <v>10.68</v>
      </c>
      <c r="F91">
        <v>10.84</v>
      </c>
      <c r="G91">
        <v>3148700</v>
      </c>
    </row>
    <row r="92" spans="1:7" s="54" customFormat="1" ht="12.75">
      <c r="A92" s="53"/>
      <c r="B92" s="64">
        <v>38339</v>
      </c>
      <c r="C92">
        <v>11.32</v>
      </c>
      <c r="D92">
        <v>11.57</v>
      </c>
      <c r="E92">
        <v>10.9</v>
      </c>
      <c r="F92">
        <v>10.93</v>
      </c>
      <c r="G92">
        <v>4666600</v>
      </c>
    </row>
    <row r="93" spans="1:7" s="54" customFormat="1" ht="12.75">
      <c r="A93" s="53"/>
      <c r="B93" s="64">
        <v>38338</v>
      </c>
      <c r="C93">
        <v>11.45</v>
      </c>
      <c r="D93">
        <v>11.51</v>
      </c>
      <c r="E93">
        <v>11.11</v>
      </c>
      <c r="F93">
        <v>11.19</v>
      </c>
      <c r="G93">
        <v>3473300</v>
      </c>
    </row>
    <row r="94" spans="1:7" s="54" customFormat="1" ht="12.75">
      <c r="A94" s="53"/>
      <c r="B94" s="64">
        <v>38337</v>
      </c>
      <c r="C94">
        <v>11.68</v>
      </c>
      <c r="D94">
        <v>11.75</v>
      </c>
      <c r="E94">
        <v>11.34</v>
      </c>
      <c r="F94">
        <v>11.38</v>
      </c>
      <c r="G94">
        <v>4368400</v>
      </c>
    </row>
    <row r="95" spans="1:7" s="54" customFormat="1" ht="12.75">
      <c r="A95" s="53"/>
      <c r="B95" s="64">
        <v>38336</v>
      </c>
      <c r="C95">
        <v>11.57</v>
      </c>
      <c r="D95">
        <v>11.95</v>
      </c>
      <c r="E95">
        <v>11.4</v>
      </c>
      <c r="F95">
        <v>11.94</v>
      </c>
      <c r="G95">
        <v>4481600</v>
      </c>
    </row>
    <row r="96" spans="1:7" s="54" customFormat="1" ht="12.75">
      <c r="A96" s="53"/>
      <c r="B96" s="64">
        <v>38335</v>
      </c>
      <c r="C96">
        <v>11.68</v>
      </c>
      <c r="D96">
        <v>11.73</v>
      </c>
      <c r="E96">
        <v>11.19</v>
      </c>
      <c r="F96">
        <v>11.38</v>
      </c>
      <c r="G96">
        <v>2391000</v>
      </c>
    </row>
    <row r="97" spans="1:7" s="54" customFormat="1" ht="12.75">
      <c r="A97" s="53"/>
      <c r="B97" s="64">
        <v>38332</v>
      </c>
      <c r="C97">
        <v>11.18</v>
      </c>
      <c r="D97">
        <v>11.66</v>
      </c>
      <c r="E97">
        <v>11.05</v>
      </c>
      <c r="F97">
        <v>11.64</v>
      </c>
      <c r="G97">
        <v>3910800</v>
      </c>
    </row>
    <row r="98" spans="1:7" s="54" customFormat="1" ht="12.75">
      <c r="A98" s="53"/>
      <c r="B98" s="64">
        <v>38331</v>
      </c>
      <c r="C98">
        <v>11.23</v>
      </c>
      <c r="D98">
        <v>11.78</v>
      </c>
      <c r="E98">
        <v>11.14</v>
      </c>
      <c r="F98">
        <v>11.37</v>
      </c>
      <c r="G98">
        <v>3517600</v>
      </c>
    </row>
    <row r="99" spans="1:7" s="54" customFormat="1" ht="12.75">
      <c r="A99" s="53"/>
      <c r="B99" s="64">
        <v>38330</v>
      </c>
      <c r="C99">
        <v>11.21</v>
      </c>
      <c r="D99">
        <v>11.44</v>
      </c>
      <c r="E99">
        <v>11.06</v>
      </c>
      <c r="F99">
        <v>11.3</v>
      </c>
      <c r="G99">
        <v>3772700</v>
      </c>
    </row>
    <row r="100" spans="1:7" s="54" customFormat="1" ht="12.75">
      <c r="A100" s="53"/>
      <c r="B100" s="64">
        <v>38329</v>
      </c>
      <c r="C100">
        <v>10.99</v>
      </c>
      <c r="D100">
        <v>11.49</v>
      </c>
      <c r="E100">
        <v>10.99</v>
      </c>
      <c r="F100">
        <v>11.24</v>
      </c>
      <c r="G100">
        <v>3329800</v>
      </c>
    </row>
    <row r="101" spans="1:7" s="54" customFormat="1" ht="12.75">
      <c r="A101" s="53"/>
      <c r="B101" s="64">
        <v>38328</v>
      </c>
      <c r="C101">
        <v>11.36</v>
      </c>
      <c r="D101">
        <v>11.44</v>
      </c>
      <c r="E101">
        <v>10.78</v>
      </c>
      <c r="F101">
        <v>11.07</v>
      </c>
      <c r="G101">
        <v>3953000</v>
      </c>
    </row>
    <row r="102" spans="1:7" s="54" customFormat="1" ht="12.75">
      <c r="A102" s="53"/>
      <c r="B102" s="54" t="s">
        <v>68</v>
      </c>
      <c r="C102" s="56">
        <f>AVERAGE(C72:C101)</f>
        <v>11.020333333333332</v>
      </c>
      <c r="D102" s="56">
        <f>AVERAGE(D72:D101)</f>
        <v>11.195333333333332</v>
      </c>
      <c r="E102" s="56">
        <f>AVERAGE(E72:E101)</f>
        <v>10.81033333333333</v>
      </c>
      <c r="F102" s="57">
        <f>AVERAGE(F72:F101)</f>
        <v>10.988666666666665</v>
      </c>
      <c r="G102" s="56">
        <f>AVERAGE(G72:G101)</f>
        <v>3348890</v>
      </c>
    </row>
    <row r="103" spans="1:7" s="54" customFormat="1" ht="12.75">
      <c r="A103" s="53"/>
      <c r="B103" s="54" t="s">
        <v>194</v>
      </c>
      <c r="C103" s="54">
        <f>MEDIAN(C72:C101)</f>
        <v>10.99</v>
      </c>
      <c r="D103" s="54">
        <f>MEDIAN(D72:D101)</f>
        <v>11.15</v>
      </c>
      <c r="E103" s="54">
        <f>MEDIAN(E72:E101)</f>
        <v>10.815</v>
      </c>
      <c r="F103" s="54">
        <f>MEDIAN(F72:F101)</f>
        <v>10.955</v>
      </c>
      <c r="G103" s="54">
        <f>MEDIAN(G72:G101)</f>
        <v>3495450</v>
      </c>
    </row>
    <row r="104" spans="1:7" s="54" customFormat="1" ht="12.75">
      <c r="A104" s="53"/>
      <c r="B104" s="54" t="s">
        <v>198</v>
      </c>
      <c r="C104" s="54">
        <f>MAX(C72:C101)</f>
        <v>11.68</v>
      </c>
      <c r="D104" s="54">
        <f>MAX(D72:D101)</f>
        <v>11.95</v>
      </c>
      <c r="E104" s="54">
        <f>MAX(E72:E101)</f>
        <v>11.4</v>
      </c>
      <c r="F104" s="54">
        <f>MAX(F72:F101)</f>
        <v>11.94</v>
      </c>
      <c r="G104" s="54">
        <f>MAX(G72:G101)</f>
        <v>4666600</v>
      </c>
    </row>
    <row r="105" spans="1:7" s="54" customFormat="1" ht="12.75">
      <c r="A105" s="53"/>
      <c r="B105" s="54" t="s">
        <v>199</v>
      </c>
      <c r="C105" s="54">
        <f>MIN(C72:C101)</f>
        <v>10.46</v>
      </c>
      <c r="D105" s="54">
        <f>MIN(D72:D101)</f>
        <v>10.56</v>
      </c>
      <c r="E105" s="54">
        <f>MIN(E72:E101)</f>
        <v>10.21</v>
      </c>
      <c r="F105" s="54">
        <f>MIN(F72:F101)</f>
        <v>10.38</v>
      </c>
      <c r="G105" s="54">
        <f>MIN(G72:G101)</f>
        <v>758000</v>
      </c>
    </row>
    <row r="106" spans="1:7" s="54" customFormat="1" ht="12.75">
      <c r="A106" s="53" t="s">
        <v>36</v>
      </c>
      <c r="B106" t="s">
        <v>167</v>
      </c>
      <c r="C106" t="s">
        <v>168</v>
      </c>
      <c r="D106" t="s">
        <v>97</v>
      </c>
      <c r="E106" t="s">
        <v>98</v>
      </c>
      <c r="F106" t="s">
        <v>99</v>
      </c>
      <c r="G106" t="s">
        <v>76</v>
      </c>
    </row>
    <row r="107" spans="1:7" s="54" customFormat="1" ht="12.75">
      <c r="A107" s="53"/>
      <c r="B107" s="64">
        <v>38372</v>
      </c>
      <c r="C107">
        <v>42.41</v>
      </c>
      <c r="D107">
        <v>42.41</v>
      </c>
      <c r="E107">
        <v>41</v>
      </c>
      <c r="F107">
        <v>42.27</v>
      </c>
      <c r="G107">
        <v>144800</v>
      </c>
    </row>
    <row r="108" spans="1:7" s="54" customFormat="1" ht="12.75">
      <c r="A108" s="53"/>
      <c r="B108" s="64">
        <v>38371</v>
      </c>
      <c r="C108">
        <v>42.8</v>
      </c>
      <c r="D108">
        <v>43.51</v>
      </c>
      <c r="E108">
        <v>41.79</v>
      </c>
      <c r="F108">
        <v>41.96</v>
      </c>
      <c r="G108">
        <v>149200</v>
      </c>
    </row>
    <row r="109" spans="1:7" s="54" customFormat="1" ht="12.75">
      <c r="A109" s="53"/>
      <c r="B109" s="64">
        <v>38367</v>
      </c>
      <c r="C109">
        <v>42.83</v>
      </c>
      <c r="D109">
        <v>43.35</v>
      </c>
      <c r="E109">
        <v>42.49</v>
      </c>
      <c r="F109">
        <v>43.25</v>
      </c>
      <c r="G109">
        <v>178500</v>
      </c>
    </row>
    <row r="110" spans="1:7" s="54" customFormat="1" ht="12.75">
      <c r="A110" s="53"/>
      <c r="B110" s="64">
        <v>38366</v>
      </c>
      <c r="C110">
        <v>41.89</v>
      </c>
      <c r="D110">
        <v>42.77</v>
      </c>
      <c r="E110">
        <v>41.55</v>
      </c>
      <c r="F110">
        <v>42.55</v>
      </c>
      <c r="G110">
        <v>231500</v>
      </c>
    </row>
    <row r="111" spans="1:7" s="54" customFormat="1" ht="12.75">
      <c r="A111" s="53"/>
      <c r="B111" s="64">
        <v>38365</v>
      </c>
      <c r="C111">
        <v>41.61</v>
      </c>
      <c r="D111">
        <v>42.41</v>
      </c>
      <c r="E111">
        <v>41.19</v>
      </c>
      <c r="F111">
        <v>42</v>
      </c>
      <c r="G111">
        <v>195800</v>
      </c>
    </row>
    <row r="112" spans="1:7" s="54" customFormat="1" ht="12.75">
      <c r="A112" s="53"/>
      <c r="B112" s="64">
        <v>38364</v>
      </c>
      <c r="C112">
        <v>42.05</v>
      </c>
      <c r="D112">
        <v>42.49</v>
      </c>
      <c r="E112">
        <v>41.8</v>
      </c>
      <c r="F112">
        <v>42.17</v>
      </c>
      <c r="G112">
        <v>153400</v>
      </c>
    </row>
    <row r="113" spans="1:7" s="54" customFormat="1" ht="12.75">
      <c r="A113" s="53"/>
      <c r="B113" s="64">
        <v>38363</v>
      </c>
      <c r="C113">
        <v>41.45</v>
      </c>
      <c r="D113">
        <v>42.63</v>
      </c>
      <c r="E113">
        <v>41.35</v>
      </c>
      <c r="F113">
        <v>42.24</v>
      </c>
      <c r="G113">
        <v>188800</v>
      </c>
    </row>
    <row r="114" spans="1:7" s="54" customFormat="1" ht="12.75">
      <c r="A114" s="53"/>
      <c r="B114" s="64">
        <v>38360</v>
      </c>
      <c r="C114">
        <v>41.88</v>
      </c>
      <c r="D114">
        <v>41.88</v>
      </c>
      <c r="E114">
        <v>40.63</v>
      </c>
      <c r="F114">
        <v>41.45</v>
      </c>
      <c r="G114">
        <v>179000</v>
      </c>
    </row>
    <row r="115" spans="1:7" s="54" customFormat="1" ht="12.75">
      <c r="A115" s="53"/>
      <c r="B115" s="64">
        <v>38359</v>
      </c>
      <c r="C115">
        <v>41.84</v>
      </c>
      <c r="D115">
        <v>42.54</v>
      </c>
      <c r="E115">
        <v>41.1</v>
      </c>
      <c r="F115">
        <v>42.02</v>
      </c>
      <c r="G115">
        <v>222600</v>
      </c>
    </row>
    <row r="116" spans="1:7" s="54" customFormat="1" ht="12.75">
      <c r="A116" s="53"/>
      <c r="B116" s="64">
        <v>38358</v>
      </c>
      <c r="C116">
        <v>42.49</v>
      </c>
      <c r="D116">
        <v>42.77</v>
      </c>
      <c r="E116">
        <v>41.77</v>
      </c>
      <c r="F116">
        <v>42.01</v>
      </c>
      <c r="G116">
        <v>240500</v>
      </c>
    </row>
    <row r="117" spans="1:7" s="54" customFormat="1" ht="12.75">
      <c r="A117" s="53"/>
      <c r="B117" s="64">
        <v>38357</v>
      </c>
      <c r="C117">
        <v>43.79</v>
      </c>
      <c r="D117">
        <v>44.15</v>
      </c>
      <c r="E117">
        <v>42.92</v>
      </c>
      <c r="F117">
        <v>43.14</v>
      </c>
      <c r="G117">
        <v>389100</v>
      </c>
    </row>
    <row r="118" spans="1:7" s="54" customFormat="1" ht="12.75">
      <c r="A118" s="53"/>
      <c r="B118" s="64">
        <v>38356</v>
      </c>
      <c r="C118">
        <v>43.65</v>
      </c>
      <c r="D118">
        <v>44.11</v>
      </c>
      <c r="E118">
        <v>42.94</v>
      </c>
      <c r="F118">
        <v>43.55</v>
      </c>
      <c r="G118">
        <v>195800</v>
      </c>
    </row>
    <row r="119" spans="1:7" s="54" customFormat="1" ht="12.75">
      <c r="A119" s="53"/>
      <c r="B119" s="64">
        <v>38353</v>
      </c>
      <c r="C119">
        <v>44.38</v>
      </c>
      <c r="D119">
        <v>44.55</v>
      </c>
      <c r="E119">
        <v>43.27</v>
      </c>
      <c r="F119">
        <v>43.59</v>
      </c>
      <c r="G119">
        <v>169900</v>
      </c>
    </row>
    <row r="120" spans="1:7" s="54" customFormat="1" ht="12.75">
      <c r="A120" s="53"/>
      <c r="B120" s="64">
        <v>38351</v>
      </c>
      <c r="C120">
        <v>43.19</v>
      </c>
      <c r="D120">
        <v>44.42</v>
      </c>
      <c r="E120">
        <v>42.38</v>
      </c>
      <c r="F120">
        <v>44.23</v>
      </c>
      <c r="G120">
        <v>245500</v>
      </c>
    </row>
    <row r="121" spans="1:7" s="54" customFormat="1" ht="12.75">
      <c r="A121" s="53"/>
      <c r="B121" s="64">
        <v>38350</v>
      </c>
      <c r="C121">
        <v>43.18</v>
      </c>
      <c r="D121">
        <v>43.58</v>
      </c>
      <c r="E121">
        <v>42.82</v>
      </c>
      <c r="F121">
        <v>43.18</v>
      </c>
      <c r="G121">
        <v>185200</v>
      </c>
    </row>
    <row r="122" spans="1:7" s="54" customFormat="1" ht="12.75">
      <c r="A122" s="53"/>
      <c r="B122" s="64">
        <v>38349</v>
      </c>
      <c r="C122">
        <v>43.68</v>
      </c>
      <c r="D122">
        <v>43.68</v>
      </c>
      <c r="E122">
        <v>42.13</v>
      </c>
      <c r="F122">
        <v>42.84</v>
      </c>
      <c r="G122">
        <v>191100</v>
      </c>
    </row>
    <row r="123" spans="1:7" s="54" customFormat="1" ht="12.75">
      <c r="A123" s="53"/>
      <c r="B123" s="64">
        <v>38346</v>
      </c>
      <c r="C123">
        <v>43.48</v>
      </c>
      <c r="D123">
        <v>44.19</v>
      </c>
      <c r="E123">
        <v>43.31</v>
      </c>
      <c r="F123">
        <v>43.68</v>
      </c>
      <c r="G123">
        <v>75700</v>
      </c>
    </row>
    <row r="124" spans="1:7" s="54" customFormat="1" ht="12.75">
      <c r="A124" s="53"/>
      <c r="B124" s="64">
        <v>38344</v>
      </c>
      <c r="C124">
        <v>43.86</v>
      </c>
      <c r="D124">
        <v>43.86</v>
      </c>
      <c r="E124">
        <v>43.28</v>
      </c>
      <c r="F124">
        <v>43.48</v>
      </c>
      <c r="G124">
        <v>99400</v>
      </c>
    </row>
    <row r="125" spans="1:7" s="54" customFormat="1" ht="12.75">
      <c r="A125" s="53"/>
      <c r="B125" s="64">
        <v>38343</v>
      </c>
      <c r="C125">
        <v>45.4</v>
      </c>
      <c r="D125">
        <v>45.7</v>
      </c>
      <c r="E125">
        <v>43.65</v>
      </c>
      <c r="F125">
        <v>43.96</v>
      </c>
      <c r="G125">
        <v>119800</v>
      </c>
    </row>
    <row r="126" spans="1:7" s="54" customFormat="1" ht="12.75">
      <c r="A126" s="53"/>
      <c r="B126" s="64">
        <v>38342</v>
      </c>
      <c r="C126">
        <v>44.72</v>
      </c>
      <c r="D126">
        <v>45.09</v>
      </c>
      <c r="E126">
        <v>44.11</v>
      </c>
      <c r="F126">
        <v>44.99</v>
      </c>
      <c r="G126">
        <v>178400</v>
      </c>
    </row>
    <row r="127" spans="1:7" s="54" customFormat="1" ht="12.75">
      <c r="A127" s="53"/>
      <c r="B127" s="64">
        <v>38339</v>
      </c>
      <c r="C127">
        <v>45.11</v>
      </c>
      <c r="D127">
        <v>46.19</v>
      </c>
      <c r="E127">
        <v>44.38</v>
      </c>
      <c r="F127">
        <v>44.7</v>
      </c>
      <c r="G127">
        <v>278200</v>
      </c>
    </row>
    <row r="128" spans="1:7" s="54" customFormat="1" ht="12.75">
      <c r="A128" s="53"/>
      <c r="B128" s="64">
        <v>38338</v>
      </c>
      <c r="C128">
        <v>44.35</v>
      </c>
      <c r="D128">
        <v>44.99</v>
      </c>
      <c r="E128">
        <v>43.68</v>
      </c>
      <c r="F128">
        <v>44.74</v>
      </c>
      <c r="G128">
        <v>168400</v>
      </c>
    </row>
    <row r="129" spans="1:7" s="54" customFormat="1" ht="12.75">
      <c r="A129" s="53"/>
      <c r="B129" s="64">
        <v>38337</v>
      </c>
      <c r="C129">
        <v>43.68</v>
      </c>
      <c r="D129">
        <v>44.95</v>
      </c>
      <c r="E129">
        <v>43.68</v>
      </c>
      <c r="F129">
        <v>44.33</v>
      </c>
      <c r="G129">
        <v>177200</v>
      </c>
    </row>
    <row r="130" spans="1:7" s="54" customFormat="1" ht="12.75">
      <c r="A130" s="53"/>
      <c r="B130" s="64">
        <v>38336</v>
      </c>
      <c r="C130">
        <v>44.33</v>
      </c>
      <c r="D130">
        <v>44.79</v>
      </c>
      <c r="E130">
        <v>43.15</v>
      </c>
      <c r="F130">
        <v>44.35</v>
      </c>
      <c r="G130">
        <v>228800</v>
      </c>
    </row>
    <row r="131" spans="1:7" s="54" customFormat="1" ht="12.75">
      <c r="A131" s="53"/>
      <c r="B131" s="64">
        <v>38335</v>
      </c>
      <c r="C131">
        <v>44.82</v>
      </c>
      <c r="D131">
        <v>44.91</v>
      </c>
      <c r="E131">
        <v>43.24</v>
      </c>
      <c r="F131">
        <v>43.72</v>
      </c>
      <c r="G131">
        <v>201200</v>
      </c>
    </row>
    <row r="132" spans="1:7" s="54" customFormat="1" ht="12.75">
      <c r="A132" s="53"/>
      <c r="B132" s="64">
        <v>38332</v>
      </c>
      <c r="C132">
        <v>43.16</v>
      </c>
      <c r="D132">
        <v>44.76</v>
      </c>
      <c r="E132">
        <v>42.64</v>
      </c>
      <c r="F132">
        <v>44.75</v>
      </c>
      <c r="G132">
        <v>308200</v>
      </c>
    </row>
    <row r="133" spans="1:7" s="54" customFormat="1" ht="12.75">
      <c r="A133" s="53"/>
      <c r="B133" s="64">
        <v>38331</v>
      </c>
      <c r="C133">
        <v>44.72</v>
      </c>
      <c r="D133">
        <v>45.22</v>
      </c>
      <c r="E133">
        <v>43.01</v>
      </c>
      <c r="F133">
        <v>44</v>
      </c>
      <c r="G133">
        <v>196100</v>
      </c>
    </row>
    <row r="134" spans="1:7" s="54" customFormat="1" ht="12.75">
      <c r="A134" s="53"/>
      <c r="B134" s="64">
        <v>38330</v>
      </c>
      <c r="C134">
        <v>45.2</v>
      </c>
      <c r="D134">
        <v>45.9</v>
      </c>
      <c r="E134">
        <v>44</v>
      </c>
      <c r="F134">
        <v>44.84</v>
      </c>
      <c r="G134">
        <v>289600</v>
      </c>
    </row>
    <row r="135" spans="1:7" s="54" customFormat="1" ht="12.75">
      <c r="A135" s="53"/>
      <c r="B135" s="64">
        <v>38329</v>
      </c>
      <c r="C135">
        <v>44.97</v>
      </c>
      <c r="D135">
        <v>46.44</v>
      </c>
      <c r="E135">
        <v>44.55</v>
      </c>
      <c r="F135">
        <v>44.7</v>
      </c>
      <c r="G135">
        <v>234800</v>
      </c>
    </row>
    <row r="136" spans="1:7" s="54" customFormat="1" ht="12.75">
      <c r="A136" s="53"/>
      <c r="B136" s="64">
        <v>38328</v>
      </c>
      <c r="C136">
        <v>46.53</v>
      </c>
      <c r="D136">
        <v>47.39</v>
      </c>
      <c r="E136">
        <v>44.95</v>
      </c>
      <c r="F136">
        <v>45.57</v>
      </c>
      <c r="G136">
        <v>259300</v>
      </c>
    </row>
    <row r="137" spans="1:7" s="54" customFormat="1" ht="12.75">
      <c r="A137" s="53"/>
      <c r="B137" s="54" t="s">
        <v>68</v>
      </c>
      <c r="C137" s="56">
        <f>AVERAGE(C107:C136)</f>
        <v>43.58166666666667</v>
      </c>
      <c r="D137" s="56">
        <f>AVERAGE(D107:D136)</f>
        <v>44.18766666666668</v>
      </c>
      <c r="E137" s="56">
        <f>AVERAGE(E107:E136)</f>
        <v>42.75866666666666</v>
      </c>
      <c r="F137" s="57">
        <f>AVERAGE(F107:F136)</f>
        <v>43.47533333333333</v>
      </c>
      <c r="G137" s="56">
        <f>AVERAGE(G107:G136)</f>
        <v>202526.66666666666</v>
      </c>
    </row>
    <row r="138" spans="1:7" s="54" customFormat="1" ht="12.75">
      <c r="A138" s="53"/>
      <c r="B138" s="54" t="s">
        <v>194</v>
      </c>
      <c r="C138" s="54">
        <f>MEDIAN(C107:C136)</f>
        <v>43.665</v>
      </c>
      <c r="D138" s="54">
        <f>MEDIAN(D107:D136)</f>
        <v>44.17</v>
      </c>
      <c r="E138" s="54">
        <f>MEDIAN(E107:E136)</f>
        <v>42.93</v>
      </c>
      <c r="F138" s="54">
        <f>MEDIAN(F107:F136)</f>
        <v>43.57</v>
      </c>
      <c r="G138" s="54">
        <f>MEDIAN(G107:G136)</f>
        <v>193450</v>
      </c>
    </row>
    <row r="139" spans="1:7" s="54" customFormat="1" ht="12.75">
      <c r="A139" s="53"/>
      <c r="B139" s="54" t="s">
        <v>198</v>
      </c>
      <c r="C139" s="54">
        <f>MAX(C107:C136)</f>
        <v>46.53</v>
      </c>
      <c r="D139" s="54">
        <f>MAX(D107:D136)</f>
        <v>47.39</v>
      </c>
      <c r="E139" s="54">
        <f>MAX(E107:E136)</f>
        <v>44.95</v>
      </c>
      <c r="F139" s="54">
        <f>MAX(F107:F136)</f>
        <v>45.57</v>
      </c>
      <c r="G139" s="54">
        <f>MAX(G107:G136)</f>
        <v>389100</v>
      </c>
    </row>
    <row r="140" spans="1:7" s="54" customFormat="1" ht="12.75">
      <c r="A140" s="53"/>
      <c r="B140" s="54" t="s">
        <v>199</v>
      </c>
      <c r="C140" s="54">
        <f>MIN(C107:C136)</f>
        <v>41.45</v>
      </c>
      <c r="D140" s="54">
        <f>MIN(D107:D136)</f>
        <v>41.88</v>
      </c>
      <c r="E140" s="54">
        <f>MIN(E107:E136)</f>
        <v>40.63</v>
      </c>
      <c r="F140" s="54">
        <f>MIN(F107:F136)</f>
        <v>41.45</v>
      </c>
      <c r="G140" s="54">
        <f>MIN(G107:G136)</f>
        <v>75700</v>
      </c>
    </row>
    <row r="141" spans="1:7" s="54" customFormat="1" ht="12.75">
      <c r="A141" s="53" t="s">
        <v>37</v>
      </c>
      <c r="B141" t="s">
        <v>167</v>
      </c>
      <c r="C141" t="s">
        <v>168</v>
      </c>
      <c r="D141" t="s">
        <v>97</v>
      </c>
      <c r="E141" t="s">
        <v>98</v>
      </c>
      <c r="F141" t="s">
        <v>99</v>
      </c>
      <c r="G141" t="s">
        <v>76</v>
      </c>
    </row>
    <row r="142" spans="1:7" s="54" customFormat="1" ht="12.75">
      <c r="A142" s="53"/>
      <c r="B142" s="64">
        <v>38372</v>
      </c>
      <c r="C142">
        <v>26.08</v>
      </c>
      <c r="D142">
        <v>26.08</v>
      </c>
      <c r="E142">
        <v>25.13</v>
      </c>
      <c r="F142">
        <v>25.74</v>
      </c>
      <c r="G142">
        <v>555700</v>
      </c>
    </row>
    <row r="143" spans="1:7" s="54" customFormat="1" ht="12.75">
      <c r="A143" s="53"/>
      <c r="B143" s="64">
        <v>38371</v>
      </c>
      <c r="C143">
        <v>26.77</v>
      </c>
      <c r="D143">
        <v>27.22</v>
      </c>
      <c r="E143">
        <v>25.72</v>
      </c>
      <c r="F143">
        <v>25.79</v>
      </c>
      <c r="G143">
        <v>476200</v>
      </c>
    </row>
    <row r="144" spans="1:7" s="54" customFormat="1" ht="12.75">
      <c r="A144" s="53"/>
      <c r="B144" s="64">
        <v>38367</v>
      </c>
      <c r="C144">
        <v>27.02</v>
      </c>
      <c r="D144">
        <v>27.42</v>
      </c>
      <c r="E144">
        <v>26.53</v>
      </c>
      <c r="F144">
        <v>27.26</v>
      </c>
      <c r="G144">
        <v>507900</v>
      </c>
    </row>
    <row r="145" spans="1:7" s="54" customFormat="1" ht="12.75">
      <c r="A145" s="53"/>
      <c r="B145" s="64">
        <v>38366</v>
      </c>
      <c r="C145">
        <v>26.75</v>
      </c>
      <c r="D145">
        <v>26.79</v>
      </c>
      <c r="E145">
        <v>26.03</v>
      </c>
      <c r="F145">
        <v>26.74</v>
      </c>
      <c r="G145">
        <v>541800</v>
      </c>
    </row>
    <row r="146" spans="1:7" s="54" customFormat="1" ht="12.75">
      <c r="A146" s="53"/>
      <c r="B146" s="64">
        <v>38365</v>
      </c>
      <c r="C146">
        <v>27.48</v>
      </c>
      <c r="D146">
        <v>27.48</v>
      </c>
      <c r="E146">
        <v>26.26</v>
      </c>
      <c r="F146">
        <v>26.62</v>
      </c>
      <c r="G146">
        <v>654900</v>
      </c>
    </row>
    <row r="147" spans="1:7" s="54" customFormat="1" ht="12.75">
      <c r="A147" s="53"/>
      <c r="B147" s="64">
        <v>38364</v>
      </c>
      <c r="C147">
        <v>27.61</v>
      </c>
      <c r="D147">
        <v>27.61</v>
      </c>
      <c r="E147">
        <v>27.12</v>
      </c>
      <c r="F147">
        <v>27.48</v>
      </c>
      <c r="G147">
        <v>379600</v>
      </c>
    </row>
    <row r="148" spans="1:7" s="54" customFormat="1" ht="12.75">
      <c r="A148" s="53"/>
      <c r="B148" s="64">
        <v>38363</v>
      </c>
      <c r="C148">
        <v>27.58</v>
      </c>
      <c r="D148">
        <v>27.89</v>
      </c>
      <c r="E148">
        <v>27.11</v>
      </c>
      <c r="F148">
        <v>27.6</v>
      </c>
      <c r="G148">
        <v>443000</v>
      </c>
    </row>
    <row r="149" spans="1:7" s="54" customFormat="1" ht="12.75">
      <c r="A149" s="53"/>
      <c r="B149" s="64">
        <v>38360</v>
      </c>
      <c r="C149">
        <v>28.25</v>
      </c>
      <c r="D149">
        <v>28.33</v>
      </c>
      <c r="E149">
        <v>27.43</v>
      </c>
      <c r="F149">
        <v>27.65</v>
      </c>
      <c r="G149">
        <v>488700</v>
      </c>
    </row>
    <row r="150" spans="1:7" s="54" customFormat="1" ht="12.75">
      <c r="A150" s="53"/>
      <c r="B150" s="64">
        <v>38359</v>
      </c>
      <c r="C150">
        <v>28.44</v>
      </c>
      <c r="D150">
        <v>29.25</v>
      </c>
      <c r="E150">
        <v>27.6</v>
      </c>
      <c r="F150">
        <v>28.28</v>
      </c>
      <c r="G150">
        <v>854400</v>
      </c>
    </row>
    <row r="151" spans="1:7" s="54" customFormat="1" ht="12.75">
      <c r="A151" s="53"/>
      <c r="B151" s="64">
        <v>38358</v>
      </c>
      <c r="C151">
        <v>29.1</v>
      </c>
      <c r="D151">
        <v>29.25</v>
      </c>
      <c r="E151">
        <v>27.9</v>
      </c>
      <c r="F151">
        <v>28.19</v>
      </c>
      <c r="G151">
        <v>761200</v>
      </c>
    </row>
    <row r="152" spans="1:7" s="54" customFormat="1" ht="12.75">
      <c r="A152" s="53"/>
      <c r="B152" s="64">
        <v>38357</v>
      </c>
      <c r="C152">
        <v>30.69</v>
      </c>
      <c r="D152">
        <v>30.89</v>
      </c>
      <c r="E152">
        <v>29.28</v>
      </c>
      <c r="F152">
        <v>29.52</v>
      </c>
      <c r="G152">
        <v>762100</v>
      </c>
    </row>
    <row r="153" spans="1:7" s="54" customFormat="1" ht="12.75">
      <c r="A153" s="53"/>
      <c r="B153" s="64">
        <v>38356</v>
      </c>
      <c r="C153">
        <v>30.62</v>
      </c>
      <c r="D153">
        <v>31.3</v>
      </c>
      <c r="E153">
        <v>28.81</v>
      </c>
      <c r="F153">
        <v>30.5</v>
      </c>
      <c r="G153">
        <v>684900</v>
      </c>
    </row>
    <row r="154" spans="1:7" s="54" customFormat="1" ht="12.75">
      <c r="A154" s="53"/>
      <c r="B154" s="64">
        <v>38353</v>
      </c>
      <c r="C154">
        <v>31.77</v>
      </c>
      <c r="D154">
        <v>31.98</v>
      </c>
      <c r="E154">
        <v>31</v>
      </c>
      <c r="F154">
        <v>31.28</v>
      </c>
      <c r="G154">
        <v>441900</v>
      </c>
    </row>
    <row r="155" spans="1:7" s="54" customFormat="1" ht="12.75">
      <c r="A155" s="53"/>
      <c r="B155" s="64">
        <v>38351</v>
      </c>
      <c r="C155">
        <v>31.2</v>
      </c>
      <c r="D155">
        <v>31.86</v>
      </c>
      <c r="E155">
        <v>30.86</v>
      </c>
      <c r="F155">
        <v>31.67</v>
      </c>
      <c r="G155">
        <v>551400</v>
      </c>
    </row>
    <row r="156" spans="1:7" s="54" customFormat="1" ht="12.75">
      <c r="A156" s="53"/>
      <c r="B156" s="64">
        <v>38350</v>
      </c>
      <c r="C156">
        <v>30.81</v>
      </c>
      <c r="D156">
        <v>31.48</v>
      </c>
      <c r="E156">
        <v>30.74</v>
      </c>
      <c r="F156">
        <v>31.4</v>
      </c>
      <c r="G156">
        <v>381400</v>
      </c>
    </row>
    <row r="157" spans="1:7" s="54" customFormat="1" ht="12.75">
      <c r="A157" s="53"/>
      <c r="B157" s="64">
        <v>38349</v>
      </c>
      <c r="C157">
        <v>31.12</v>
      </c>
      <c r="D157">
        <v>31.95</v>
      </c>
      <c r="E157">
        <v>30.15</v>
      </c>
      <c r="F157">
        <v>30.58</v>
      </c>
      <c r="G157">
        <v>444600</v>
      </c>
    </row>
    <row r="158" spans="1:7" s="54" customFormat="1" ht="12.75">
      <c r="A158" s="53"/>
      <c r="B158" s="64">
        <v>38346</v>
      </c>
      <c r="C158">
        <v>30.98</v>
      </c>
      <c r="D158">
        <v>31.37</v>
      </c>
      <c r="E158">
        <v>30.81</v>
      </c>
      <c r="F158">
        <v>31.31</v>
      </c>
      <c r="G158">
        <v>243800</v>
      </c>
    </row>
    <row r="159" spans="1:7" s="54" customFormat="1" ht="12.75">
      <c r="A159" s="53"/>
      <c r="B159" s="64">
        <v>38344</v>
      </c>
      <c r="C159">
        <v>30.73</v>
      </c>
      <c r="D159">
        <v>31.12</v>
      </c>
      <c r="E159">
        <v>30.33</v>
      </c>
      <c r="F159">
        <v>30.92</v>
      </c>
      <c r="G159">
        <v>255100</v>
      </c>
    </row>
    <row r="160" spans="1:7" s="54" customFormat="1" ht="12.75">
      <c r="A160" s="53"/>
      <c r="B160" s="64">
        <v>38343</v>
      </c>
      <c r="C160">
        <v>31.4</v>
      </c>
      <c r="D160">
        <v>31.77</v>
      </c>
      <c r="E160">
        <v>30.37</v>
      </c>
      <c r="F160">
        <v>30.79</v>
      </c>
      <c r="G160">
        <v>388900</v>
      </c>
    </row>
    <row r="161" spans="1:7" s="54" customFormat="1" ht="12.75">
      <c r="A161" s="53"/>
      <c r="B161" s="64">
        <v>38342</v>
      </c>
      <c r="C161">
        <v>30.95</v>
      </c>
      <c r="D161">
        <v>31.17</v>
      </c>
      <c r="E161">
        <v>30.39</v>
      </c>
      <c r="F161">
        <v>31.17</v>
      </c>
      <c r="G161">
        <v>442300</v>
      </c>
    </row>
    <row r="162" spans="1:7" s="54" customFormat="1" ht="12.75">
      <c r="A162" s="53"/>
      <c r="B162" s="64">
        <v>38339</v>
      </c>
      <c r="C162">
        <v>31.35</v>
      </c>
      <c r="D162">
        <v>31.99</v>
      </c>
      <c r="E162">
        <v>30.55</v>
      </c>
      <c r="F162">
        <v>30.7</v>
      </c>
      <c r="G162">
        <v>1006600</v>
      </c>
    </row>
    <row r="163" spans="1:7" s="54" customFormat="1" ht="12.75">
      <c r="A163" s="53"/>
      <c r="B163" s="64">
        <v>38338</v>
      </c>
      <c r="C163">
        <v>31.28</v>
      </c>
      <c r="D163">
        <v>31.55</v>
      </c>
      <c r="E163">
        <v>30.56</v>
      </c>
      <c r="F163">
        <v>31.01</v>
      </c>
      <c r="G163">
        <v>602000</v>
      </c>
    </row>
    <row r="164" spans="1:7" s="54" customFormat="1" ht="12.75">
      <c r="A164" s="53"/>
      <c r="B164" s="64">
        <v>38337</v>
      </c>
      <c r="C164">
        <v>30.94</v>
      </c>
      <c r="D164">
        <v>31.49</v>
      </c>
      <c r="E164">
        <v>30.64</v>
      </c>
      <c r="F164">
        <v>31.26</v>
      </c>
      <c r="G164">
        <v>690200</v>
      </c>
    </row>
    <row r="165" spans="1:7" s="54" customFormat="1" ht="12.75">
      <c r="A165" s="53"/>
      <c r="B165" s="64">
        <v>38336</v>
      </c>
      <c r="C165">
        <v>31.06</v>
      </c>
      <c r="D165">
        <v>31.33</v>
      </c>
      <c r="E165">
        <v>30.27</v>
      </c>
      <c r="F165">
        <v>31.22</v>
      </c>
      <c r="G165">
        <v>748700</v>
      </c>
    </row>
    <row r="166" spans="1:7" s="54" customFormat="1" ht="12.75">
      <c r="A166" s="53"/>
      <c r="B166" s="64">
        <v>38335</v>
      </c>
      <c r="C166">
        <v>30.98</v>
      </c>
      <c r="D166">
        <v>31.28</v>
      </c>
      <c r="E166">
        <v>29.95</v>
      </c>
      <c r="F166">
        <v>30.61</v>
      </c>
      <c r="G166">
        <v>362900</v>
      </c>
    </row>
    <row r="167" spans="1:7" s="54" customFormat="1" ht="12.75">
      <c r="A167" s="53"/>
      <c r="B167" s="64">
        <v>38332</v>
      </c>
      <c r="C167">
        <v>29.87</v>
      </c>
      <c r="D167">
        <v>30.98</v>
      </c>
      <c r="E167">
        <v>29.21</v>
      </c>
      <c r="F167">
        <v>30.87</v>
      </c>
      <c r="G167">
        <v>515400</v>
      </c>
    </row>
    <row r="168" spans="1:7" s="54" customFormat="1" ht="12.75">
      <c r="A168" s="53"/>
      <c r="B168" s="64">
        <v>38331</v>
      </c>
      <c r="C168">
        <v>30.74</v>
      </c>
      <c r="D168">
        <v>31.56</v>
      </c>
      <c r="E168">
        <v>30</v>
      </c>
      <c r="F168">
        <v>30.49</v>
      </c>
      <c r="G168">
        <v>477900</v>
      </c>
    </row>
    <row r="169" spans="1:7" s="54" customFormat="1" ht="12.75">
      <c r="A169" s="53"/>
      <c r="B169" s="64">
        <v>38330</v>
      </c>
      <c r="C169">
        <v>31.31</v>
      </c>
      <c r="D169">
        <v>31.9</v>
      </c>
      <c r="E169">
        <v>30.48</v>
      </c>
      <c r="F169">
        <v>31</v>
      </c>
      <c r="G169">
        <v>561300</v>
      </c>
    </row>
    <row r="170" spans="1:7" s="54" customFormat="1" ht="12.75">
      <c r="A170" s="53"/>
      <c r="B170" s="64">
        <v>38329</v>
      </c>
      <c r="C170">
        <v>31.38</v>
      </c>
      <c r="D170">
        <v>32.15</v>
      </c>
      <c r="E170">
        <v>30.63</v>
      </c>
      <c r="F170">
        <v>30.81</v>
      </c>
      <c r="G170">
        <v>778000</v>
      </c>
    </row>
    <row r="171" spans="1:7" s="54" customFormat="1" ht="12.75">
      <c r="A171" s="53"/>
      <c r="B171" s="64">
        <v>38328</v>
      </c>
      <c r="C171">
        <v>32.7</v>
      </c>
      <c r="D171">
        <v>32.94</v>
      </c>
      <c r="E171">
        <v>31.5</v>
      </c>
      <c r="F171">
        <v>31.81</v>
      </c>
      <c r="G171">
        <v>654200</v>
      </c>
    </row>
    <row r="172" spans="1:7" s="54" customFormat="1" ht="12.75">
      <c r="A172" s="53"/>
      <c r="B172" s="54" t="s">
        <v>68</v>
      </c>
      <c r="C172" s="56">
        <f>AVERAGE(C142:C171)</f>
        <v>29.898666666666667</v>
      </c>
      <c r="D172" s="56">
        <f>AVERAGE(D142:D171)</f>
        <v>30.31266666666666</v>
      </c>
      <c r="E172" s="56">
        <f>AVERAGE(E142:E171)</f>
        <v>29.112</v>
      </c>
      <c r="F172" s="57">
        <f>AVERAGE(F142:F171)</f>
        <v>29.67566666666666</v>
      </c>
      <c r="G172" s="56">
        <f>AVERAGE(G142:G171)</f>
        <v>555233.3333333334</v>
      </c>
    </row>
    <row r="173" spans="1:7" s="54" customFormat="1" ht="12.75">
      <c r="A173" s="53"/>
      <c r="B173" s="54" t="s">
        <v>194</v>
      </c>
      <c r="C173" s="54">
        <f>MEDIAN(C142:C171)</f>
        <v>30.775</v>
      </c>
      <c r="D173" s="54">
        <f>MEDIAN(D142:D171)</f>
        <v>31.29</v>
      </c>
      <c r="E173" s="54">
        <f>MEDIAN(E142:E171)</f>
        <v>30.075</v>
      </c>
      <c r="F173" s="54">
        <f>MEDIAN(F142:F171)</f>
        <v>30.655</v>
      </c>
      <c r="G173" s="54">
        <f>MEDIAN(G142:G171)</f>
        <v>528600</v>
      </c>
    </row>
    <row r="174" spans="1:7" s="54" customFormat="1" ht="12.75">
      <c r="A174" s="53"/>
      <c r="B174" s="54" t="s">
        <v>198</v>
      </c>
      <c r="C174" s="54">
        <f>MAX(C142:C171)</f>
        <v>32.7</v>
      </c>
      <c r="D174" s="54">
        <f>MAX(D142:D171)</f>
        <v>32.94</v>
      </c>
      <c r="E174" s="54">
        <f>MAX(E142:E171)</f>
        <v>31.5</v>
      </c>
      <c r="F174" s="54">
        <f>MAX(F142:F171)</f>
        <v>31.81</v>
      </c>
      <c r="G174" s="54">
        <f>MAX(G142:G171)</f>
        <v>1006600</v>
      </c>
    </row>
    <row r="175" spans="1:7" s="54" customFormat="1" ht="12.75">
      <c r="A175" s="53"/>
      <c r="B175" s="54" t="s">
        <v>199</v>
      </c>
      <c r="C175" s="54">
        <f>MIN(C142:C171)</f>
        <v>26.08</v>
      </c>
      <c r="D175" s="54">
        <f>MIN(D142:D171)</f>
        <v>26.08</v>
      </c>
      <c r="E175" s="54">
        <f>MIN(E142:E171)</f>
        <v>25.13</v>
      </c>
      <c r="F175" s="54">
        <f>MIN(F142:F171)</f>
        <v>25.74</v>
      </c>
      <c r="G175" s="54">
        <f>MIN(G142:G171)</f>
        <v>243800</v>
      </c>
    </row>
    <row r="176" spans="1:7" s="54" customFormat="1" ht="12.75">
      <c r="A176" s="53" t="s">
        <v>38</v>
      </c>
      <c r="B176" t="s">
        <v>167</v>
      </c>
      <c r="C176" t="s">
        <v>168</v>
      </c>
      <c r="D176" t="s">
        <v>97</v>
      </c>
      <c r="E176" t="s">
        <v>98</v>
      </c>
      <c r="F176" t="s">
        <v>99</v>
      </c>
      <c r="G176" t="s">
        <v>76</v>
      </c>
    </row>
    <row r="177" spans="1:7" s="54" customFormat="1" ht="12.75">
      <c r="A177" s="53"/>
      <c r="B177" s="64">
        <v>38372</v>
      </c>
      <c r="C177">
        <v>36.47</v>
      </c>
      <c r="D177">
        <v>36.98</v>
      </c>
      <c r="E177">
        <v>35.33</v>
      </c>
      <c r="F177">
        <v>36.83</v>
      </c>
      <c r="G177">
        <v>255600</v>
      </c>
    </row>
    <row r="178" spans="1:7" s="54" customFormat="1" ht="12.75">
      <c r="A178" s="53"/>
      <c r="B178" s="64">
        <v>38371</v>
      </c>
      <c r="C178">
        <v>36.75</v>
      </c>
      <c r="D178">
        <v>37.16</v>
      </c>
      <c r="E178">
        <v>35.96</v>
      </c>
      <c r="F178">
        <v>36.05</v>
      </c>
      <c r="G178">
        <v>172300</v>
      </c>
    </row>
    <row r="179" spans="1:7" s="54" customFormat="1" ht="12.75">
      <c r="A179" s="53"/>
      <c r="B179" s="64">
        <v>38367</v>
      </c>
      <c r="C179">
        <v>36.82</v>
      </c>
      <c r="D179">
        <v>38</v>
      </c>
      <c r="E179">
        <v>36.4</v>
      </c>
      <c r="F179">
        <v>37</v>
      </c>
      <c r="G179">
        <v>262200</v>
      </c>
    </row>
    <row r="180" spans="1:7" s="54" customFormat="1" ht="12.75">
      <c r="A180" s="53"/>
      <c r="B180" s="64">
        <v>38366</v>
      </c>
      <c r="C180">
        <v>36.56</v>
      </c>
      <c r="D180">
        <v>36.59</v>
      </c>
      <c r="E180">
        <v>35.53</v>
      </c>
      <c r="F180">
        <v>36.55</v>
      </c>
      <c r="G180">
        <v>311000</v>
      </c>
    </row>
    <row r="181" spans="1:7" s="54" customFormat="1" ht="12.75">
      <c r="A181" s="53"/>
      <c r="B181" s="64">
        <v>38365</v>
      </c>
      <c r="C181">
        <v>37.32</v>
      </c>
      <c r="D181">
        <v>37.69</v>
      </c>
      <c r="E181">
        <v>36.38</v>
      </c>
      <c r="F181">
        <v>36.5</v>
      </c>
      <c r="G181">
        <v>241400</v>
      </c>
    </row>
    <row r="182" spans="1:7" s="54" customFormat="1" ht="12.75">
      <c r="A182" s="53"/>
      <c r="B182" s="64">
        <v>38364</v>
      </c>
      <c r="C182">
        <v>37.78</v>
      </c>
      <c r="D182">
        <v>37.97</v>
      </c>
      <c r="E182">
        <v>37.36</v>
      </c>
      <c r="F182">
        <v>37.8</v>
      </c>
      <c r="G182">
        <v>146700</v>
      </c>
    </row>
    <row r="183" spans="1:7" s="54" customFormat="1" ht="12.75">
      <c r="A183" s="53"/>
      <c r="B183" s="64">
        <v>38363</v>
      </c>
      <c r="C183">
        <v>37.35</v>
      </c>
      <c r="D183">
        <v>38.24</v>
      </c>
      <c r="E183">
        <v>37</v>
      </c>
      <c r="F183">
        <v>37.96</v>
      </c>
      <c r="G183">
        <v>206800</v>
      </c>
    </row>
    <row r="184" spans="1:7" s="54" customFormat="1" ht="12.75">
      <c r="A184" s="53"/>
      <c r="B184" s="64">
        <v>38360</v>
      </c>
      <c r="C184">
        <v>38.33</v>
      </c>
      <c r="D184">
        <v>38.33</v>
      </c>
      <c r="E184">
        <v>37.1</v>
      </c>
      <c r="F184">
        <v>37.35</v>
      </c>
      <c r="G184">
        <v>146400</v>
      </c>
    </row>
    <row r="185" spans="1:7" s="54" customFormat="1" ht="12.75">
      <c r="A185" s="53"/>
      <c r="B185" s="64">
        <v>38359</v>
      </c>
      <c r="C185">
        <v>37.72</v>
      </c>
      <c r="D185">
        <v>38.65</v>
      </c>
      <c r="E185">
        <v>37.72</v>
      </c>
      <c r="F185">
        <v>38.21</v>
      </c>
      <c r="G185">
        <v>186500</v>
      </c>
    </row>
    <row r="186" spans="1:7" s="54" customFormat="1" ht="12.75">
      <c r="A186" s="53"/>
      <c r="B186" s="64">
        <v>38358</v>
      </c>
      <c r="C186">
        <v>37.47</v>
      </c>
      <c r="D186">
        <v>38.5</v>
      </c>
      <c r="E186">
        <v>37.39</v>
      </c>
      <c r="F186">
        <v>37.83</v>
      </c>
      <c r="G186">
        <v>197800</v>
      </c>
    </row>
    <row r="187" spans="1:7" s="54" customFormat="1" ht="12.75">
      <c r="A187" s="53"/>
      <c r="B187" s="64">
        <v>38357</v>
      </c>
      <c r="C187">
        <v>39.86</v>
      </c>
      <c r="D187">
        <v>39.86</v>
      </c>
      <c r="E187">
        <v>38.03</v>
      </c>
      <c r="F187">
        <v>38.29</v>
      </c>
      <c r="G187">
        <v>414500</v>
      </c>
    </row>
    <row r="188" spans="1:7" s="54" customFormat="1" ht="12.75">
      <c r="A188" s="53"/>
      <c r="B188" s="64">
        <v>38356</v>
      </c>
      <c r="C188">
        <v>39.8</v>
      </c>
      <c r="D188">
        <v>40.33</v>
      </c>
      <c r="E188">
        <v>39.24</v>
      </c>
      <c r="F188">
        <v>39.62</v>
      </c>
      <c r="G188">
        <v>408300</v>
      </c>
    </row>
    <row r="189" spans="1:7" s="54" customFormat="1" ht="12.75">
      <c r="A189" s="53"/>
      <c r="B189" s="64">
        <v>38353</v>
      </c>
      <c r="C189">
        <v>39.89</v>
      </c>
      <c r="D189">
        <v>40.78</v>
      </c>
      <c r="E189">
        <v>39.75</v>
      </c>
      <c r="F189">
        <v>39.94</v>
      </c>
      <c r="G189">
        <v>304200</v>
      </c>
    </row>
    <row r="190" spans="1:7" s="54" customFormat="1" ht="12.75">
      <c r="A190" s="53"/>
      <c r="B190" s="64">
        <v>38351</v>
      </c>
      <c r="C190">
        <v>39.27</v>
      </c>
      <c r="D190">
        <v>40.58</v>
      </c>
      <c r="E190">
        <v>39.03</v>
      </c>
      <c r="F190">
        <v>39.85</v>
      </c>
      <c r="G190">
        <v>382200</v>
      </c>
    </row>
    <row r="191" spans="1:7" s="54" customFormat="1" ht="12.75">
      <c r="A191" s="53"/>
      <c r="B191" s="64">
        <v>38350</v>
      </c>
      <c r="C191">
        <v>38.59</v>
      </c>
      <c r="D191">
        <v>39.81</v>
      </c>
      <c r="E191">
        <v>38.25</v>
      </c>
      <c r="F191">
        <v>39.16</v>
      </c>
      <c r="G191">
        <v>461700</v>
      </c>
    </row>
    <row r="192" spans="1:7" s="54" customFormat="1" ht="12.75">
      <c r="A192" s="53"/>
      <c r="B192" s="64">
        <v>38349</v>
      </c>
      <c r="C192">
        <v>37.32</v>
      </c>
      <c r="D192">
        <v>38.37</v>
      </c>
      <c r="E192">
        <v>37.02</v>
      </c>
      <c r="F192">
        <v>38.1</v>
      </c>
      <c r="G192">
        <v>459000</v>
      </c>
    </row>
    <row r="193" spans="1:7" s="54" customFormat="1" ht="12.75">
      <c r="A193" s="53"/>
      <c r="B193" s="64">
        <v>38346</v>
      </c>
      <c r="C193">
        <v>37.54</v>
      </c>
      <c r="D193">
        <v>37.77</v>
      </c>
      <c r="E193">
        <v>36.73</v>
      </c>
      <c r="F193">
        <v>37.32</v>
      </c>
      <c r="G193">
        <v>299700</v>
      </c>
    </row>
    <row r="194" spans="1:7" s="54" customFormat="1" ht="12.75">
      <c r="A194" s="53"/>
      <c r="B194" s="64">
        <v>38344</v>
      </c>
      <c r="C194">
        <v>37.02</v>
      </c>
      <c r="D194">
        <v>37.37</v>
      </c>
      <c r="E194">
        <v>36.58</v>
      </c>
      <c r="F194">
        <v>37.35</v>
      </c>
      <c r="G194">
        <v>173300</v>
      </c>
    </row>
    <row r="195" spans="1:7" s="54" customFormat="1" ht="12.75">
      <c r="A195" s="53"/>
      <c r="B195" s="64">
        <v>38343</v>
      </c>
      <c r="C195">
        <v>38.01</v>
      </c>
      <c r="D195">
        <v>38.15</v>
      </c>
      <c r="E195">
        <v>36.85</v>
      </c>
      <c r="F195">
        <v>37.11</v>
      </c>
      <c r="G195">
        <v>249200</v>
      </c>
    </row>
    <row r="196" spans="1:7" s="54" customFormat="1" ht="12.75">
      <c r="A196" s="53"/>
      <c r="B196" s="64">
        <v>38342</v>
      </c>
      <c r="C196">
        <v>37</v>
      </c>
      <c r="D196">
        <v>37.69</v>
      </c>
      <c r="E196">
        <v>36.32</v>
      </c>
      <c r="F196">
        <v>37.55</v>
      </c>
      <c r="G196">
        <v>300300</v>
      </c>
    </row>
    <row r="197" spans="1:7" s="54" customFormat="1" ht="12.75">
      <c r="A197" s="53"/>
      <c r="B197" s="64">
        <v>38339</v>
      </c>
      <c r="C197">
        <v>37.12</v>
      </c>
      <c r="D197">
        <v>38.16</v>
      </c>
      <c r="E197">
        <v>36.72</v>
      </c>
      <c r="F197">
        <v>36.97</v>
      </c>
      <c r="G197">
        <v>429700</v>
      </c>
    </row>
    <row r="198" spans="1:7" s="54" customFormat="1" ht="12.75">
      <c r="A198" s="53"/>
      <c r="B198" s="64">
        <v>38338</v>
      </c>
      <c r="C198">
        <v>36.06</v>
      </c>
      <c r="D198">
        <v>36.93</v>
      </c>
      <c r="E198">
        <v>35.21</v>
      </c>
      <c r="F198">
        <v>36.63</v>
      </c>
      <c r="G198">
        <v>243200</v>
      </c>
    </row>
    <row r="199" spans="1:7" s="54" customFormat="1" ht="12.75">
      <c r="A199" s="53"/>
      <c r="B199" s="64">
        <v>38337</v>
      </c>
      <c r="C199">
        <v>36.16</v>
      </c>
      <c r="D199">
        <v>36.66</v>
      </c>
      <c r="E199">
        <v>35.81</v>
      </c>
      <c r="F199">
        <v>36.09</v>
      </c>
      <c r="G199">
        <v>180200</v>
      </c>
    </row>
    <row r="200" spans="1:7" s="54" customFormat="1" ht="12.75">
      <c r="A200" s="53"/>
      <c r="B200" s="64">
        <v>38336</v>
      </c>
      <c r="C200">
        <v>35.85</v>
      </c>
      <c r="D200">
        <v>36.6</v>
      </c>
      <c r="E200">
        <v>35.39</v>
      </c>
      <c r="F200">
        <v>36.47</v>
      </c>
      <c r="G200">
        <v>307100</v>
      </c>
    </row>
    <row r="201" spans="1:7" s="54" customFormat="1" ht="12.75">
      <c r="A201" s="53"/>
      <c r="B201" s="64">
        <v>38335</v>
      </c>
      <c r="C201">
        <v>36.02</v>
      </c>
      <c r="D201">
        <v>36.35</v>
      </c>
      <c r="E201">
        <v>34.49</v>
      </c>
      <c r="F201">
        <v>35.26</v>
      </c>
      <c r="G201">
        <v>195800</v>
      </c>
    </row>
    <row r="202" spans="1:7" s="54" customFormat="1" ht="12.75">
      <c r="A202" s="53"/>
      <c r="B202" s="64">
        <v>38332</v>
      </c>
      <c r="C202">
        <v>34.2</v>
      </c>
      <c r="D202">
        <v>35.91</v>
      </c>
      <c r="E202">
        <v>33.58</v>
      </c>
      <c r="F202">
        <v>35.84</v>
      </c>
      <c r="G202">
        <v>161600</v>
      </c>
    </row>
    <row r="203" spans="1:7" s="54" customFormat="1" ht="12.75">
      <c r="A203" s="53"/>
      <c r="B203" s="64">
        <v>38331</v>
      </c>
      <c r="C203">
        <v>35.28</v>
      </c>
      <c r="D203">
        <v>36.11</v>
      </c>
      <c r="E203">
        <v>34.24</v>
      </c>
      <c r="F203">
        <v>34.94</v>
      </c>
      <c r="G203">
        <v>208500</v>
      </c>
    </row>
    <row r="204" spans="1:7" s="54" customFormat="1" ht="12.75">
      <c r="A204" s="53"/>
      <c r="B204" s="64">
        <v>38330</v>
      </c>
      <c r="C204">
        <v>35.36</v>
      </c>
      <c r="D204">
        <v>36.39</v>
      </c>
      <c r="E204">
        <v>35.11</v>
      </c>
      <c r="F204">
        <v>35.58</v>
      </c>
      <c r="G204">
        <v>220700</v>
      </c>
    </row>
    <row r="205" spans="1:7" s="54" customFormat="1" ht="12.75">
      <c r="A205" s="53"/>
      <c r="B205" s="64">
        <v>38329</v>
      </c>
      <c r="C205">
        <v>35.58</v>
      </c>
      <c r="D205">
        <v>36.61</v>
      </c>
      <c r="E205">
        <v>34.8</v>
      </c>
      <c r="F205">
        <v>35.13</v>
      </c>
      <c r="G205">
        <v>206500</v>
      </c>
    </row>
    <row r="206" spans="1:7" s="54" customFormat="1" ht="12.75">
      <c r="A206" s="53"/>
      <c r="B206" s="64">
        <v>38328</v>
      </c>
      <c r="C206">
        <v>37.49</v>
      </c>
      <c r="D206">
        <v>37.62</v>
      </c>
      <c r="E206">
        <v>35.2</v>
      </c>
      <c r="F206">
        <v>35.87</v>
      </c>
      <c r="G206">
        <v>226000</v>
      </c>
    </row>
    <row r="207" spans="1:7" s="54" customFormat="1" ht="12.75">
      <c r="A207" s="53"/>
      <c r="B207" s="54" t="s">
        <v>68</v>
      </c>
      <c r="C207" s="56">
        <f>AVERAGE(C177:C206)</f>
        <v>37.199666666666666</v>
      </c>
      <c r="D207" s="56">
        <f>AVERAGE(D177:D206)</f>
        <v>37.871999999999986</v>
      </c>
      <c r="E207" s="56">
        <f>AVERAGE(E177:E206)</f>
        <v>36.484</v>
      </c>
      <c r="F207" s="57">
        <f>AVERAGE(F177:F206)</f>
        <v>37.17166666666667</v>
      </c>
      <c r="G207" s="56">
        <f>AVERAGE(G177:G206)</f>
        <v>265280</v>
      </c>
    </row>
    <row r="208" spans="1:7" s="54" customFormat="1" ht="12.75">
      <c r="A208" s="53"/>
      <c r="B208" s="54" t="s">
        <v>194</v>
      </c>
      <c r="C208" s="54">
        <f>MEDIAN(C177:C206)</f>
        <v>37.22</v>
      </c>
      <c r="D208" s="54">
        <f>MEDIAN(D177:D206)</f>
        <v>37.730000000000004</v>
      </c>
      <c r="E208" s="54">
        <f>MEDIAN(E177:E206)</f>
        <v>36.489999999999995</v>
      </c>
      <c r="F208" s="54">
        <f>MEDIAN(F177:F206)</f>
        <v>37.055</v>
      </c>
      <c r="G208" s="54">
        <f>MEDIAN(G177:G206)</f>
        <v>242300</v>
      </c>
    </row>
    <row r="209" spans="1:7" s="54" customFormat="1" ht="12.75">
      <c r="A209" s="53"/>
      <c r="B209" s="54" t="s">
        <v>198</v>
      </c>
      <c r="C209" s="54">
        <f>MAX(C177:C206)</f>
        <v>39.89</v>
      </c>
      <c r="D209" s="54">
        <f>MAX(D177:D206)</f>
        <v>40.78</v>
      </c>
      <c r="E209" s="54">
        <f>MAX(E177:E206)</f>
        <v>39.75</v>
      </c>
      <c r="F209" s="54">
        <f>MAX(F177:F206)</f>
        <v>39.94</v>
      </c>
      <c r="G209" s="54">
        <f>MAX(G177:G206)</f>
        <v>461700</v>
      </c>
    </row>
    <row r="210" spans="1:7" s="54" customFormat="1" ht="12.75">
      <c r="A210" s="53"/>
      <c r="B210" s="54" t="s">
        <v>199</v>
      </c>
      <c r="C210" s="54">
        <f>MIN(C177:C206)</f>
        <v>34.2</v>
      </c>
      <c r="D210" s="54">
        <f>MIN(D177:D206)</f>
        <v>35.91</v>
      </c>
      <c r="E210" s="54">
        <f>MIN(E177:E206)</f>
        <v>33.58</v>
      </c>
      <c r="F210" s="54">
        <f>MIN(F177:F206)</f>
        <v>34.94</v>
      </c>
      <c r="G210" s="54">
        <f>MIN(G177:G206)</f>
        <v>146400</v>
      </c>
    </row>
    <row r="211" spans="1:7" s="54" customFormat="1" ht="12.75">
      <c r="A211" s="53" t="s">
        <v>39</v>
      </c>
      <c r="B211" t="s">
        <v>167</v>
      </c>
      <c r="C211" t="s">
        <v>168</v>
      </c>
      <c r="D211" t="s">
        <v>97</v>
      </c>
      <c r="E211" t="s">
        <v>98</v>
      </c>
      <c r="F211" t="s">
        <v>99</v>
      </c>
      <c r="G211" t="s">
        <v>76</v>
      </c>
    </row>
    <row r="212" spans="1:7" s="54" customFormat="1" ht="12.75">
      <c r="A212" s="53"/>
      <c r="B212" s="64">
        <v>38372</v>
      </c>
      <c r="C212">
        <v>24.76</v>
      </c>
      <c r="D212">
        <v>24.93</v>
      </c>
      <c r="E212">
        <v>24.01</v>
      </c>
      <c r="F212">
        <v>24.85</v>
      </c>
      <c r="G212">
        <v>224100</v>
      </c>
    </row>
    <row r="213" spans="1:7" s="54" customFormat="1" ht="12.75">
      <c r="A213" s="53"/>
      <c r="B213" s="64">
        <v>38371</v>
      </c>
      <c r="C213">
        <v>24.79</v>
      </c>
      <c r="D213">
        <v>25.17</v>
      </c>
      <c r="E213">
        <v>24.39</v>
      </c>
      <c r="F213">
        <v>24.46</v>
      </c>
      <c r="G213">
        <v>308300</v>
      </c>
    </row>
    <row r="214" spans="1:7" s="54" customFormat="1" ht="12.75">
      <c r="A214" s="53"/>
      <c r="B214" s="64">
        <v>38367</v>
      </c>
      <c r="C214">
        <v>25.01</v>
      </c>
      <c r="D214">
        <v>25.33</v>
      </c>
      <c r="E214">
        <v>24.58</v>
      </c>
      <c r="F214">
        <v>25.09</v>
      </c>
      <c r="G214">
        <v>304400</v>
      </c>
    </row>
    <row r="215" spans="1:7" s="54" customFormat="1" ht="12.75">
      <c r="A215" s="53"/>
      <c r="B215" s="64">
        <v>38366</v>
      </c>
      <c r="C215">
        <v>24.58</v>
      </c>
      <c r="D215">
        <v>24.98</v>
      </c>
      <c r="E215">
        <v>24.03</v>
      </c>
      <c r="F215">
        <v>24.79</v>
      </c>
      <c r="G215">
        <v>269800</v>
      </c>
    </row>
    <row r="216" spans="1:7" s="54" customFormat="1" ht="12.75">
      <c r="A216" s="53"/>
      <c r="B216" s="64">
        <v>38365</v>
      </c>
      <c r="C216">
        <v>24.31</v>
      </c>
      <c r="D216">
        <v>24.83</v>
      </c>
      <c r="E216">
        <v>24.15</v>
      </c>
      <c r="F216">
        <v>24.48</v>
      </c>
      <c r="G216">
        <v>242100</v>
      </c>
    </row>
    <row r="217" spans="1:7" s="54" customFormat="1" ht="12.75">
      <c r="A217" s="53"/>
      <c r="B217" s="64">
        <v>38364</v>
      </c>
      <c r="C217">
        <v>24.68</v>
      </c>
      <c r="D217">
        <v>24.91</v>
      </c>
      <c r="E217">
        <v>24.45</v>
      </c>
      <c r="F217">
        <v>24.84</v>
      </c>
      <c r="G217">
        <v>212500</v>
      </c>
    </row>
    <row r="218" spans="1:7" s="54" customFormat="1" ht="12.75">
      <c r="A218" s="53"/>
      <c r="B218" s="64">
        <v>38363</v>
      </c>
      <c r="C218">
        <v>24.61</v>
      </c>
      <c r="D218">
        <v>24.81</v>
      </c>
      <c r="E218">
        <v>24.32</v>
      </c>
      <c r="F218">
        <v>24.65</v>
      </c>
      <c r="G218">
        <v>289600</v>
      </c>
    </row>
    <row r="219" spans="1:7" s="54" customFormat="1" ht="12.75">
      <c r="A219" s="53"/>
      <c r="B219" s="64">
        <v>38360</v>
      </c>
      <c r="C219">
        <v>24.96</v>
      </c>
      <c r="D219">
        <v>24.97</v>
      </c>
      <c r="E219">
        <v>24.32</v>
      </c>
      <c r="F219">
        <v>24.66</v>
      </c>
      <c r="G219">
        <v>318100</v>
      </c>
    </row>
    <row r="220" spans="1:7" s="54" customFormat="1" ht="12.75">
      <c r="A220" s="53"/>
      <c r="B220" s="64">
        <v>38359</v>
      </c>
      <c r="C220">
        <v>24.77</v>
      </c>
      <c r="D220">
        <v>25.3</v>
      </c>
      <c r="E220">
        <v>24.67</v>
      </c>
      <c r="F220">
        <v>25.19</v>
      </c>
      <c r="G220">
        <v>203700</v>
      </c>
    </row>
    <row r="221" spans="1:7" s="54" customFormat="1" ht="12.75">
      <c r="A221" s="53"/>
      <c r="B221" s="64">
        <v>38358</v>
      </c>
      <c r="C221">
        <v>25.16</v>
      </c>
      <c r="D221">
        <v>25.24</v>
      </c>
      <c r="E221">
        <v>24.57</v>
      </c>
      <c r="F221">
        <v>24.88</v>
      </c>
      <c r="G221">
        <v>245400</v>
      </c>
    </row>
    <row r="222" spans="1:7" s="54" customFormat="1" ht="12.75">
      <c r="A222" s="53"/>
      <c r="B222" s="64">
        <v>38357</v>
      </c>
      <c r="C222">
        <v>25.5</v>
      </c>
      <c r="D222">
        <v>25.88</v>
      </c>
      <c r="E222">
        <v>25.31</v>
      </c>
      <c r="F222">
        <v>25.54</v>
      </c>
      <c r="G222">
        <v>288200</v>
      </c>
    </row>
    <row r="223" spans="1:7" s="54" customFormat="1" ht="12.75">
      <c r="A223" s="53"/>
      <c r="B223" s="64">
        <v>38356</v>
      </c>
      <c r="C223">
        <v>25.38</v>
      </c>
      <c r="D223">
        <v>25.55</v>
      </c>
      <c r="E223">
        <v>24.95</v>
      </c>
      <c r="F223">
        <v>25.35</v>
      </c>
      <c r="G223">
        <v>233200</v>
      </c>
    </row>
    <row r="224" spans="1:7" s="54" customFormat="1" ht="12.75">
      <c r="A224" s="53"/>
      <c r="B224" s="64">
        <v>38353</v>
      </c>
      <c r="C224">
        <v>25.15</v>
      </c>
      <c r="D224">
        <v>25.48</v>
      </c>
      <c r="E224">
        <v>24.99</v>
      </c>
      <c r="F224">
        <v>25.3</v>
      </c>
      <c r="G224">
        <v>178100</v>
      </c>
    </row>
    <row r="225" spans="1:7" s="54" customFormat="1" ht="12.75">
      <c r="A225" s="53"/>
      <c r="B225" s="64">
        <v>38351</v>
      </c>
      <c r="C225">
        <v>25.01</v>
      </c>
      <c r="D225">
        <v>25.24</v>
      </c>
      <c r="E225">
        <v>24.75</v>
      </c>
      <c r="F225">
        <v>25.22</v>
      </c>
      <c r="G225">
        <v>364500</v>
      </c>
    </row>
    <row r="226" spans="1:7" s="54" customFormat="1" ht="12.75">
      <c r="A226" s="53"/>
      <c r="B226" s="64">
        <v>38350</v>
      </c>
      <c r="C226">
        <v>24.64</v>
      </c>
      <c r="D226">
        <v>24.86</v>
      </c>
      <c r="E226">
        <v>24.48</v>
      </c>
      <c r="F226">
        <v>24.86</v>
      </c>
      <c r="G226">
        <v>248800</v>
      </c>
    </row>
    <row r="227" spans="1:7" s="54" customFormat="1" ht="12.75">
      <c r="A227" s="53"/>
      <c r="B227" s="64">
        <v>38349</v>
      </c>
      <c r="C227">
        <v>24.66</v>
      </c>
      <c r="D227">
        <v>24.72</v>
      </c>
      <c r="E227">
        <v>24.03</v>
      </c>
      <c r="F227">
        <v>24.3</v>
      </c>
      <c r="G227">
        <v>230000</v>
      </c>
    </row>
    <row r="228" spans="1:7" s="54" customFormat="1" ht="12.75">
      <c r="A228" s="53"/>
      <c r="B228" s="64">
        <v>38346</v>
      </c>
      <c r="C228">
        <v>24.44</v>
      </c>
      <c r="D228">
        <v>24.8</v>
      </c>
      <c r="E228">
        <v>24.35</v>
      </c>
      <c r="F228">
        <v>24.76</v>
      </c>
      <c r="G228">
        <v>130700</v>
      </c>
    </row>
    <row r="229" spans="1:7" s="54" customFormat="1" ht="12.75">
      <c r="A229" s="53"/>
      <c r="B229" s="64">
        <v>38344</v>
      </c>
      <c r="C229">
        <v>24.01</v>
      </c>
      <c r="D229">
        <v>24.5</v>
      </c>
      <c r="E229">
        <v>24.01</v>
      </c>
      <c r="F229">
        <v>24.33</v>
      </c>
      <c r="G229">
        <v>115500</v>
      </c>
    </row>
    <row r="230" spans="1:7" s="54" customFormat="1" ht="12.75">
      <c r="A230" s="53"/>
      <c r="B230" s="64">
        <v>38343</v>
      </c>
      <c r="C230">
        <v>24.93</v>
      </c>
      <c r="D230">
        <v>25.14</v>
      </c>
      <c r="E230">
        <v>24.1</v>
      </c>
      <c r="F230">
        <v>24.28</v>
      </c>
      <c r="G230">
        <v>245800</v>
      </c>
    </row>
    <row r="231" spans="1:7" s="54" customFormat="1" ht="12.75">
      <c r="A231" s="53"/>
      <c r="B231" s="64">
        <v>38342</v>
      </c>
      <c r="C231">
        <v>24.64</v>
      </c>
      <c r="D231">
        <v>24.76</v>
      </c>
      <c r="E231">
        <v>24.14</v>
      </c>
      <c r="F231">
        <v>24.75</v>
      </c>
      <c r="G231">
        <v>284700</v>
      </c>
    </row>
    <row r="232" spans="1:7" s="54" customFormat="1" ht="12.75">
      <c r="A232" s="53"/>
      <c r="B232" s="64">
        <v>38339</v>
      </c>
      <c r="C232">
        <v>24.42</v>
      </c>
      <c r="D232">
        <v>25.39</v>
      </c>
      <c r="E232">
        <v>24.29</v>
      </c>
      <c r="F232">
        <v>24.61</v>
      </c>
      <c r="G232">
        <v>609000</v>
      </c>
    </row>
    <row r="233" spans="1:7" s="54" customFormat="1" ht="12.75">
      <c r="A233" s="53"/>
      <c r="B233" s="64">
        <v>38338</v>
      </c>
      <c r="C233">
        <v>24.22</v>
      </c>
      <c r="D233">
        <v>24.87</v>
      </c>
      <c r="E233">
        <v>23.91</v>
      </c>
      <c r="F233">
        <v>24.16</v>
      </c>
      <c r="G233">
        <v>185300</v>
      </c>
    </row>
    <row r="234" spans="1:7" s="54" customFormat="1" ht="12.75">
      <c r="A234" s="53"/>
      <c r="B234" s="64">
        <v>38337</v>
      </c>
      <c r="C234">
        <v>24.26</v>
      </c>
      <c r="D234">
        <v>24.69</v>
      </c>
      <c r="E234">
        <v>23.99</v>
      </c>
      <c r="F234">
        <v>24.31</v>
      </c>
      <c r="G234">
        <v>261000</v>
      </c>
    </row>
    <row r="235" spans="1:7" s="54" customFormat="1" ht="12.75">
      <c r="A235" s="53"/>
      <c r="B235" s="64">
        <v>38336</v>
      </c>
      <c r="C235">
        <v>23.94</v>
      </c>
      <c r="D235">
        <v>24.58</v>
      </c>
      <c r="E235">
        <v>23.56</v>
      </c>
      <c r="F235">
        <v>24.5</v>
      </c>
      <c r="G235">
        <v>412700</v>
      </c>
    </row>
    <row r="236" spans="1:7" s="54" customFormat="1" ht="12.75">
      <c r="A236" s="53"/>
      <c r="B236" s="64">
        <v>38335</v>
      </c>
      <c r="C236">
        <v>24.24</v>
      </c>
      <c r="D236">
        <v>24.47</v>
      </c>
      <c r="E236">
        <v>23.17</v>
      </c>
      <c r="F236">
        <v>23.6</v>
      </c>
      <c r="G236">
        <v>250700</v>
      </c>
    </row>
    <row r="237" spans="1:7" s="54" customFormat="1" ht="12.75">
      <c r="A237" s="53"/>
      <c r="B237" s="64">
        <v>38332</v>
      </c>
      <c r="C237">
        <v>22.86</v>
      </c>
      <c r="D237">
        <v>24.24</v>
      </c>
      <c r="E237">
        <v>22.74</v>
      </c>
      <c r="F237">
        <v>24.19</v>
      </c>
      <c r="G237">
        <v>377000</v>
      </c>
    </row>
    <row r="238" spans="1:7" s="54" customFormat="1" ht="12.75">
      <c r="A238" s="53"/>
      <c r="B238" s="64">
        <v>38331</v>
      </c>
      <c r="C238">
        <v>23.58</v>
      </c>
      <c r="D238">
        <v>24.14</v>
      </c>
      <c r="E238">
        <v>22.95</v>
      </c>
      <c r="F238">
        <v>23.32</v>
      </c>
      <c r="G238">
        <v>387000</v>
      </c>
    </row>
    <row r="239" spans="1:7" s="54" customFormat="1" ht="12.75">
      <c r="A239" s="53"/>
      <c r="B239" s="64">
        <v>38330</v>
      </c>
      <c r="C239">
        <v>24.08</v>
      </c>
      <c r="D239">
        <v>24.31</v>
      </c>
      <c r="E239">
        <v>23.43</v>
      </c>
      <c r="F239">
        <v>23.77</v>
      </c>
      <c r="G239">
        <v>324200</v>
      </c>
    </row>
    <row r="240" spans="1:7" s="54" customFormat="1" ht="12.75">
      <c r="A240" s="53"/>
      <c r="B240" s="64">
        <v>38329</v>
      </c>
      <c r="C240">
        <v>24.24</v>
      </c>
      <c r="D240">
        <v>25.07</v>
      </c>
      <c r="E240">
        <v>23.59</v>
      </c>
      <c r="F240">
        <v>23.74</v>
      </c>
      <c r="G240">
        <v>343600</v>
      </c>
    </row>
    <row r="241" spans="1:7" s="54" customFormat="1" ht="12.75">
      <c r="A241" s="53"/>
      <c r="B241" s="64">
        <v>38328</v>
      </c>
      <c r="C241">
        <v>24.95</v>
      </c>
      <c r="D241">
        <v>25.6</v>
      </c>
      <c r="E241">
        <v>24.19</v>
      </c>
      <c r="F241">
        <v>24.52</v>
      </c>
      <c r="G241">
        <v>426900</v>
      </c>
    </row>
    <row r="242" spans="1:7" s="54" customFormat="1" ht="12.75">
      <c r="A242" s="53"/>
      <c r="B242" s="54" t="s">
        <v>68</v>
      </c>
      <c r="C242" s="56">
        <f>AVERAGE(C212:C241)</f>
        <v>24.55933333333334</v>
      </c>
      <c r="D242" s="56">
        <f>AVERAGE(D212:D241)</f>
        <v>24.958666666666673</v>
      </c>
      <c r="E242" s="56">
        <f>AVERAGE(E212:E241)</f>
        <v>24.147333333333332</v>
      </c>
      <c r="F242" s="57">
        <f>AVERAGE(F212:F241)</f>
        <v>24.576666666666668</v>
      </c>
      <c r="G242" s="56">
        <f>AVERAGE(G212:G241)</f>
        <v>283830</v>
      </c>
    </row>
    <row r="243" spans="1:7" s="54" customFormat="1" ht="12.75">
      <c r="A243" s="53"/>
      <c r="B243" s="54" t="s">
        <v>194</v>
      </c>
      <c r="C243" s="54">
        <f>MEDIAN(C212:C241)</f>
        <v>24.64</v>
      </c>
      <c r="D243" s="54">
        <f>MEDIAN(D212:D241)</f>
        <v>24.92</v>
      </c>
      <c r="E243" s="54">
        <f>MEDIAN(E212:E241)</f>
        <v>24.17</v>
      </c>
      <c r="F243" s="54">
        <f>MEDIAN(F212:F241)</f>
        <v>24.63</v>
      </c>
      <c r="G243" s="54">
        <f>MEDIAN(G212:G241)</f>
        <v>265400</v>
      </c>
    </row>
    <row r="244" spans="1:7" s="54" customFormat="1" ht="12.75">
      <c r="A244" s="53"/>
      <c r="B244" s="54" t="s">
        <v>198</v>
      </c>
      <c r="C244" s="54">
        <f>MAX(C212:C241)</f>
        <v>25.5</v>
      </c>
      <c r="D244" s="54">
        <f>MAX(D212:D241)</f>
        <v>25.88</v>
      </c>
      <c r="E244" s="54">
        <f>MAX(E212:E241)</f>
        <v>25.31</v>
      </c>
      <c r="F244" s="54">
        <f>MAX(F212:F241)</f>
        <v>25.54</v>
      </c>
      <c r="G244" s="54">
        <f>MAX(G212:G241)</f>
        <v>609000</v>
      </c>
    </row>
    <row r="245" spans="1:7" s="54" customFormat="1" ht="12.75">
      <c r="A245" s="53"/>
      <c r="B245" s="54" t="s">
        <v>199</v>
      </c>
      <c r="C245" s="54">
        <f>MIN(C212:C241)</f>
        <v>22.86</v>
      </c>
      <c r="D245" s="54">
        <f>MIN(D212:D241)</f>
        <v>24.14</v>
      </c>
      <c r="E245" s="54">
        <f>MIN(E212:E241)</f>
        <v>22.74</v>
      </c>
      <c r="F245" s="54">
        <f>MIN(F212:F241)</f>
        <v>23.32</v>
      </c>
      <c r="G245" s="54">
        <f>MIN(G212:G241)</f>
        <v>115500</v>
      </c>
    </row>
    <row r="246" spans="1:7" s="54" customFormat="1" ht="12.75">
      <c r="A246" s="53" t="s">
        <v>40</v>
      </c>
      <c r="B246" t="s">
        <v>167</v>
      </c>
      <c r="C246" t="s">
        <v>168</v>
      </c>
      <c r="D246" t="s">
        <v>97</v>
      </c>
      <c r="E246" t="s">
        <v>98</v>
      </c>
      <c r="F246" t="s">
        <v>99</v>
      </c>
      <c r="G246" t="s">
        <v>76</v>
      </c>
    </row>
    <row r="247" spans="1:7" s="54" customFormat="1" ht="12.75">
      <c r="A247" s="53"/>
      <c r="B247" s="64">
        <v>38372</v>
      </c>
      <c r="C247">
        <v>31.92</v>
      </c>
      <c r="D247">
        <v>32.02</v>
      </c>
      <c r="E247">
        <v>31.02</v>
      </c>
      <c r="F247">
        <v>31.75</v>
      </c>
      <c r="G247">
        <v>695700</v>
      </c>
    </row>
    <row r="248" spans="1:7" s="54" customFormat="1" ht="12.75">
      <c r="A248" s="53"/>
      <c r="B248" s="64">
        <v>38371</v>
      </c>
      <c r="C248">
        <v>32.31</v>
      </c>
      <c r="D248">
        <v>32.7</v>
      </c>
      <c r="E248">
        <v>31.41</v>
      </c>
      <c r="F248">
        <v>31.52</v>
      </c>
      <c r="G248">
        <v>916200</v>
      </c>
    </row>
    <row r="249" spans="1:7" s="54" customFormat="1" ht="12.75">
      <c r="A249" s="53"/>
      <c r="B249" s="64">
        <v>38367</v>
      </c>
      <c r="C249">
        <v>31.91</v>
      </c>
      <c r="D249">
        <v>32.63</v>
      </c>
      <c r="E249">
        <v>31.81</v>
      </c>
      <c r="F249">
        <v>32.41</v>
      </c>
      <c r="G249">
        <v>693700</v>
      </c>
    </row>
    <row r="250" spans="1:7" s="54" customFormat="1" ht="12.75">
      <c r="A250" s="53"/>
      <c r="B250" s="64">
        <v>38366</v>
      </c>
      <c r="C250">
        <v>31.15</v>
      </c>
      <c r="D250">
        <v>31.78</v>
      </c>
      <c r="E250">
        <v>30.48</v>
      </c>
      <c r="F250">
        <v>31.67</v>
      </c>
      <c r="G250">
        <v>767400</v>
      </c>
    </row>
    <row r="251" spans="1:7" s="54" customFormat="1" ht="12.75">
      <c r="A251" s="53"/>
      <c r="B251" s="64">
        <v>38365</v>
      </c>
      <c r="C251">
        <v>31.54</v>
      </c>
      <c r="D251">
        <v>31.82</v>
      </c>
      <c r="E251">
        <v>30.75</v>
      </c>
      <c r="F251">
        <v>31.04</v>
      </c>
      <c r="G251">
        <v>729200</v>
      </c>
    </row>
    <row r="252" spans="1:7" s="54" customFormat="1" ht="12.75">
      <c r="A252" s="53"/>
      <c r="B252" s="64">
        <v>38364</v>
      </c>
      <c r="C252">
        <v>31.49</v>
      </c>
      <c r="D252">
        <v>31.74</v>
      </c>
      <c r="E252">
        <v>31.3</v>
      </c>
      <c r="F252">
        <v>31.58</v>
      </c>
      <c r="G252">
        <v>383400</v>
      </c>
    </row>
    <row r="253" spans="1:7" s="54" customFormat="1" ht="12.75">
      <c r="A253" s="53"/>
      <c r="B253" s="64">
        <v>38363</v>
      </c>
      <c r="C253">
        <v>30.75</v>
      </c>
      <c r="D253">
        <v>31.72</v>
      </c>
      <c r="E253">
        <v>30.75</v>
      </c>
      <c r="F253">
        <v>31.6</v>
      </c>
      <c r="G253">
        <v>502200</v>
      </c>
    </row>
    <row r="254" spans="1:7" s="54" customFormat="1" ht="12.75">
      <c r="A254" s="53"/>
      <c r="B254" s="64">
        <v>38360</v>
      </c>
      <c r="C254">
        <v>31.42</v>
      </c>
      <c r="D254">
        <v>31.42</v>
      </c>
      <c r="E254">
        <v>30.5</v>
      </c>
      <c r="F254">
        <v>30.92</v>
      </c>
      <c r="G254">
        <v>369300</v>
      </c>
    </row>
    <row r="255" spans="1:7" s="54" customFormat="1" ht="12.75">
      <c r="A255" s="53"/>
      <c r="B255" s="64">
        <v>38359</v>
      </c>
      <c r="C255">
        <v>31.39</v>
      </c>
      <c r="D255">
        <v>31.91</v>
      </c>
      <c r="E255">
        <v>31.14</v>
      </c>
      <c r="F255">
        <v>31.5</v>
      </c>
      <c r="G255">
        <v>355400</v>
      </c>
    </row>
    <row r="256" spans="1:7" s="54" customFormat="1" ht="12.75">
      <c r="A256" s="53"/>
      <c r="B256" s="64">
        <v>38358</v>
      </c>
      <c r="C256">
        <v>31.78</v>
      </c>
      <c r="D256">
        <v>31.98</v>
      </c>
      <c r="E256">
        <v>31.12</v>
      </c>
      <c r="F256">
        <v>31.52</v>
      </c>
      <c r="G256">
        <v>497900</v>
      </c>
    </row>
    <row r="257" spans="1:7" s="54" customFormat="1" ht="12.75">
      <c r="A257" s="53"/>
      <c r="B257" s="64">
        <v>38357</v>
      </c>
      <c r="C257">
        <v>32.6</v>
      </c>
      <c r="D257">
        <v>32.78</v>
      </c>
      <c r="E257">
        <v>31.97</v>
      </c>
      <c r="F257">
        <v>32.11</v>
      </c>
      <c r="G257">
        <v>622000</v>
      </c>
    </row>
    <row r="258" spans="1:7" s="54" customFormat="1" ht="12.75">
      <c r="A258" s="53"/>
      <c r="B258" s="64">
        <v>38356</v>
      </c>
      <c r="C258">
        <v>32.84</v>
      </c>
      <c r="D258">
        <v>33.07</v>
      </c>
      <c r="E258">
        <v>32.05</v>
      </c>
      <c r="F258">
        <v>32.58</v>
      </c>
      <c r="G258">
        <v>523900</v>
      </c>
    </row>
    <row r="259" spans="1:7" s="54" customFormat="1" ht="12.75">
      <c r="A259" s="53"/>
      <c r="B259" s="64">
        <v>38353</v>
      </c>
      <c r="C259">
        <v>32.36</v>
      </c>
      <c r="D259">
        <v>32.93</v>
      </c>
      <c r="E259">
        <v>32.36</v>
      </c>
      <c r="F259">
        <v>32.77</v>
      </c>
      <c r="G259">
        <v>347200</v>
      </c>
    </row>
    <row r="260" spans="1:7" s="54" customFormat="1" ht="12.75">
      <c r="A260" s="53"/>
      <c r="B260" s="64">
        <v>38351</v>
      </c>
      <c r="C260">
        <v>32.24</v>
      </c>
      <c r="D260">
        <v>32.87</v>
      </c>
      <c r="E260">
        <v>31.91</v>
      </c>
      <c r="F260">
        <v>32.69</v>
      </c>
      <c r="G260">
        <v>556000</v>
      </c>
    </row>
    <row r="261" spans="1:7" s="54" customFormat="1" ht="12.75">
      <c r="A261" s="53"/>
      <c r="B261" s="64">
        <v>38350</v>
      </c>
      <c r="C261">
        <v>31.39</v>
      </c>
      <c r="D261">
        <v>32.08</v>
      </c>
      <c r="E261">
        <v>31.12</v>
      </c>
      <c r="F261">
        <v>32.07</v>
      </c>
      <c r="G261">
        <v>440500</v>
      </c>
    </row>
    <row r="262" spans="1:7" s="54" customFormat="1" ht="12.75">
      <c r="A262" s="53"/>
      <c r="B262" s="64">
        <v>38349</v>
      </c>
      <c r="C262">
        <v>31.3</v>
      </c>
      <c r="D262">
        <v>31.31</v>
      </c>
      <c r="E262">
        <v>30.57</v>
      </c>
      <c r="F262">
        <v>31.07</v>
      </c>
      <c r="G262">
        <v>444400</v>
      </c>
    </row>
    <row r="263" spans="1:7" s="54" customFormat="1" ht="12.75">
      <c r="A263" s="53"/>
      <c r="B263" s="64">
        <v>38346</v>
      </c>
      <c r="C263">
        <v>31.04</v>
      </c>
      <c r="D263">
        <v>31.5</v>
      </c>
      <c r="E263">
        <v>30.97</v>
      </c>
      <c r="F263">
        <v>31.2</v>
      </c>
      <c r="G263">
        <v>334300</v>
      </c>
    </row>
    <row r="264" spans="1:7" s="54" customFormat="1" ht="12.75">
      <c r="A264" s="53"/>
      <c r="B264" s="64">
        <v>38344</v>
      </c>
      <c r="C264">
        <v>30.5</v>
      </c>
      <c r="D264">
        <v>31.09</v>
      </c>
      <c r="E264">
        <v>30.26</v>
      </c>
      <c r="F264">
        <v>30.99</v>
      </c>
      <c r="G264">
        <v>273500</v>
      </c>
    </row>
    <row r="265" spans="1:7" s="54" customFormat="1" ht="12.75">
      <c r="A265" s="53"/>
      <c r="B265" s="64">
        <v>38343</v>
      </c>
      <c r="C265">
        <v>31.35</v>
      </c>
      <c r="D265">
        <v>31.8</v>
      </c>
      <c r="E265">
        <v>30.44</v>
      </c>
      <c r="F265">
        <v>30.71</v>
      </c>
      <c r="G265">
        <v>578400</v>
      </c>
    </row>
    <row r="266" spans="1:7" s="54" customFormat="1" ht="12.75">
      <c r="A266" s="53"/>
      <c r="B266" s="64">
        <v>38342</v>
      </c>
      <c r="C266">
        <v>31.38</v>
      </c>
      <c r="D266">
        <v>31.38</v>
      </c>
      <c r="E266">
        <v>30.41</v>
      </c>
      <c r="F266">
        <v>31.19</v>
      </c>
      <c r="G266">
        <v>601100</v>
      </c>
    </row>
    <row r="267" spans="1:7" s="54" customFormat="1" ht="12.75">
      <c r="A267" s="53"/>
      <c r="B267" s="64">
        <v>38339</v>
      </c>
      <c r="C267">
        <v>31.73</v>
      </c>
      <c r="D267">
        <v>32.28</v>
      </c>
      <c r="E267">
        <v>31.12</v>
      </c>
      <c r="F267">
        <v>31.33</v>
      </c>
      <c r="G267">
        <v>834800</v>
      </c>
    </row>
    <row r="268" spans="1:7" s="54" customFormat="1" ht="12.75">
      <c r="A268" s="53"/>
      <c r="B268" s="64">
        <v>38338</v>
      </c>
      <c r="C268">
        <v>31.93</v>
      </c>
      <c r="D268">
        <v>32.19</v>
      </c>
      <c r="E268">
        <v>31</v>
      </c>
      <c r="F268">
        <v>31.44</v>
      </c>
      <c r="G268">
        <v>708700</v>
      </c>
    </row>
    <row r="269" spans="1:7" s="54" customFormat="1" ht="12.75">
      <c r="A269" s="53"/>
      <c r="B269" s="64">
        <v>38337</v>
      </c>
      <c r="C269">
        <v>31.93</v>
      </c>
      <c r="D269">
        <v>32.54</v>
      </c>
      <c r="E269">
        <v>31.68</v>
      </c>
      <c r="F269">
        <v>31.94</v>
      </c>
      <c r="G269">
        <v>576300</v>
      </c>
    </row>
    <row r="270" spans="1:7" s="54" customFormat="1" ht="12.75">
      <c r="A270" s="53"/>
      <c r="B270" s="64">
        <v>38336</v>
      </c>
      <c r="C270">
        <v>31.83</v>
      </c>
      <c r="D270">
        <v>32.29</v>
      </c>
      <c r="E270">
        <v>31.14</v>
      </c>
      <c r="F270">
        <v>32.19</v>
      </c>
      <c r="G270">
        <v>534500</v>
      </c>
    </row>
    <row r="271" spans="1:7" s="54" customFormat="1" ht="12.75">
      <c r="A271" s="53"/>
      <c r="B271" s="64">
        <v>38335</v>
      </c>
      <c r="C271">
        <v>31.93</v>
      </c>
      <c r="D271">
        <v>32.16</v>
      </c>
      <c r="E271">
        <v>30.81</v>
      </c>
      <c r="F271">
        <v>31.37</v>
      </c>
      <c r="G271">
        <v>470200</v>
      </c>
    </row>
    <row r="272" spans="1:7" s="54" customFormat="1" ht="12.75">
      <c r="A272" s="53"/>
      <c r="B272" s="64">
        <v>38332</v>
      </c>
      <c r="C272">
        <v>31.32</v>
      </c>
      <c r="D272">
        <v>31.87</v>
      </c>
      <c r="E272">
        <v>30.7</v>
      </c>
      <c r="F272">
        <v>31.79</v>
      </c>
      <c r="G272">
        <v>923200</v>
      </c>
    </row>
    <row r="273" spans="1:7" s="54" customFormat="1" ht="12.75">
      <c r="A273" s="53"/>
      <c r="B273" s="64">
        <v>38331</v>
      </c>
      <c r="C273">
        <v>32.4</v>
      </c>
      <c r="D273">
        <v>33.11</v>
      </c>
      <c r="E273">
        <v>31.55</v>
      </c>
      <c r="F273">
        <v>31.96</v>
      </c>
      <c r="G273">
        <v>776900</v>
      </c>
    </row>
    <row r="274" spans="1:7" s="54" customFormat="1" ht="12.75">
      <c r="A274" s="53"/>
      <c r="B274" s="64">
        <v>38330</v>
      </c>
      <c r="C274">
        <v>33.25</v>
      </c>
      <c r="D274">
        <v>33.43</v>
      </c>
      <c r="E274">
        <v>32.09</v>
      </c>
      <c r="F274">
        <v>32.62</v>
      </c>
      <c r="G274">
        <v>1015500</v>
      </c>
    </row>
    <row r="275" spans="1:7" s="54" customFormat="1" ht="12.75">
      <c r="A275" s="53"/>
      <c r="B275" s="64">
        <v>38329</v>
      </c>
      <c r="C275">
        <v>32.96</v>
      </c>
      <c r="D275">
        <v>33.79</v>
      </c>
      <c r="E275">
        <v>32.7</v>
      </c>
      <c r="F275">
        <v>32.86</v>
      </c>
      <c r="G275">
        <v>1013200</v>
      </c>
    </row>
    <row r="276" spans="1:7" s="54" customFormat="1" ht="12.75">
      <c r="A276" s="53"/>
      <c r="B276" s="64">
        <v>38328</v>
      </c>
      <c r="C276">
        <v>34.33</v>
      </c>
      <c r="D276">
        <v>34.69</v>
      </c>
      <c r="E276">
        <v>32.72</v>
      </c>
      <c r="F276">
        <v>33.22</v>
      </c>
      <c r="G276">
        <v>717500</v>
      </c>
    </row>
    <row r="277" spans="1:7" s="54" customFormat="1" ht="12.75">
      <c r="A277" s="53"/>
      <c r="B277" s="54" t="s">
        <v>68</v>
      </c>
      <c r="C277" s="56">
        <f>AVERAGE(C247:C276)</f>
        <v>31.87566666666667</v>
      </c>
      <c r="D277" s="56">
        <f>AVERAGE(D247:D276)</f>
        <v>32.296</v>
      </c>
      <c r="E277" s="56">
        <f>AVERAGE(E247:E276)</f>
        <v>31.261666666666667</v>
      </c>
      <c r="F277" s="57">
        <f>AVERAGE(F247:F276)</f>
        <v>31.78700000000001</v>
      </c>
      <c r="G277" s="56">
        <f>AVERAGE(G247:G276)</f>
        <v>606750</v>
      </c>
    </row>
    <row r="278" spans="1:7" s="54" customFormat="1" ht="12.75">
      <c r="A278" s="53"/>
      <c r="B278" s="54" t="s">
        <v>194</v>
      </c>
      <c r="C278" s="54">
        <f>MEDIAN(C247:C276)</f>
        <v>31.805</v>
      </c>
      <c r="D278" s="54">
        <f>MEDIAN(D247:D276)</f>
        <v>32.12</v>
      </c>
      <c r="E278" s="54">
        <f>MEDIAN(E247:E276)</f>
        <v>31.12</v>
      </c>
      <c r="F278" s="54">
        <f>MEDIAN(F247:F276)</f>
        <v>31.635</v>
      </c>
      <c r="G278" s="54">
        <f>MEDIAN(G247:G276)</f>
        <v>577350</v>
      </c>
    </row>
    <row r="279" spans="1:7" s="54" customFormat="1" ht="12.75">
      <c r="A279" s="53"/>
      <c r="B279" s="54" t="s">
        <v>198</v>
      </c>
      <c r="C279" s="54">
        <f>MAX(C247:C276)</f>
        <v>34.33</v>
      </c>
      <c r="D279" s="54">
        <f>MAX(D247:D276)</f>
        <v>34.69</v>
      </c>
      <c r="E279" s="54">
        <f>MAX(E247:E276)</f>
        <v>32.72</v>
      </c>
      <c r="F279" s="54">
        <f>MAX(F247:F276)</f>
        <v>33.22</v>
      </c>
      <c r="G279" s="54">
        <f>MAX(G247:G276)</f>
        <v>1015500</v>
      </c>
    </row>
    <row r="280" spans="1:7" s="54" customFormat="1" ht="12.75">
      <c r="A280" s="53"/>
      <c r="B280" s="54" t="s">
        <v>199</v>
      </c>
      <c r="C280" s="54">
        <f>MIN(C247:C276)</f>
        <v>30.5</v>
      </c>
      <c r="D280" s="54">
        <f>MIN(D247:D276)</f>
        <v>31.09</v>
      </c>
      <c r="E280" s="54">
        <f>MIN(E247:E276)</f>
        <v>30.26</v>
      </c>
      <c r="F280" s="54">
        <f>MIN(F247:F276)</f>
        <v>30.71</v>
      </c>
      <c r="G280" s="54">
        <f>MIN(G247:G276)</f>
        <v>273500</v>
      </c>
    </row>
    <row r="281" spans="1:7" s="54" customFormat="1" ht="12.75">
      <c r="A281" s="53" t="s">
        <v>41</v>
      </c>
      <c r="B281" t="s">
        <v>167</v>
      </c>
      <c r="C281" t="s">
        <v>168</v>
      </c>
      <c r="D281" t="s">
        <v>97</v>
      </c>
      <c r="E281" t="s">
        <v>98</v>
      </c>
      <c r="F281" t="s">
        <v>99</v>
      </c>
      <c r="G281" t="s">
        <v>76</v>
      </c>
    </row>
    <row r="282" spans="1:7" s="54" customFormat="1" ht="12" customHeight="1">
      <c r="A282" s="53"/>
      <c r="B282" s="64">
        <v>38372</v>
      </c>
      <c r="C282">
        <v>26.75</v>
      </c>
      <c r="D282">
        <v>26.75</v>
      </c>
      <c r="E282">
        <v>25.31</v>
      </c>
      <c r="F282">
        <v>25.74</v>
      </c>
      <c r="G282">
        <v>24600</v>
      </c>
    </row>
    <row r="283" spans="1:7" s="54" customFormat="1" ht="12.75">
      <c r="A283" s="53"/>
      <c r="B283" s="64">
        <v>38371</v>
      </c>
      <c r="C283">
        <v>27.79</v>
      </c>
      <c r="D283">
        <v>27.79</v>
      </c>
      <c r="E283">
        <v>26.35</v>
      </c>
      <c r="F283">
        <v>26.35</v>
      </c>
      <c r="G283">
        <v>29300</v>
      </c>
    </row>
    <row r="284" spans="1:7" s="54" customFormat="1" ht="12.75">
      <c r="A284" s="53"/>
      <c r="B284" s="64">
        <v>38367</v>
      </c>
      <c r="C284">
        <v>28.11</v>
      </c>
      <c r="D284">
        <v>28.3</v>
      </c>
      <c r="E284">
        <v>27.57</v>
      </c>
      <c r="F284">
        <v>28.07</v>
      </c>
      <c r="G284">
        <v>29300</v>
      </c>
    </row>
    <row r="285" spans="1:7" s="54" customFormat="1" ht="12.75">
      <c r="A285" s="53"/>
      <c r="B285" s="64">
        <v>38366</v>
      </c>
      <c r="C285">
        <v>27.65</v>
      </c>
      <c r="D285">
        <v>28.21</v>
      </c>
      <c r="E285">
        <v>27.07</v>
      </c>
      <c r="F285">
        <v>28.12</v>
      </c>
      <c r="G285">
        <v>20900</v>
      </c>
    </row>
    <row r="286" spans="1:7" s="54" customFormat="1" ht="12.75">
      <c r="A286" s="53"/>
      <c r="B286" s="64">
        <v>38365</v>
      </c>
      <c r="C286">
        <v>27.99</v>
      </c>
      <c r="D286">
        <v>28.04</v>
      </c>
      <c r="E286">
        <v>27.16</v>
      </c>
      <c r="F286">
        <v>27.51</v>
      </c>
      <c r="G286">
        <v>12200</v>
      </c>
    </row>
    <row r="287" spans="1:7" s="54" customFormat="1" ht="12.75">
      <c r="A287" s="53"/>
      <c r="B287" s="64">
        <v>38364</v>
      </c>
      <c r="C287">
        <v>27.9</v>
      </c>
      <c r="D287">
        <v>28.94</v>
      </c>
      <c r="E287">
        <v>27.9</v>
      </c>
      <c r="F287">
        <v>28.24</v>
      </c>
      <c r="G287">
        <v>16000</v>
      </c>
    </row>
    <row r="288" spans="1:7" s="54" customFormat="1" ht="12.75">
      <c r="A288" s="53"/>
      <c r="B288" s="64">
        <v>38363</v>
      </c>
      <c r="C288">
        <v>29.64</v>
      </c>
      <c r="D288">
        <v>29.64</v>
      </c>
      <c r="E288">
        <v>27.98</v>
      </c>
      <c r="F288">
        <v>28.03</v>
      </c>
      <c r="G288">
        <v>15700</v>
      </c>
    </row>
    <row r="289" spans="1:7" s="54" customFormat="1" ht="12.75">
      <c r="A289" s="53"/>
      <c r="B289" s="64">
        <v>38360</v>
      </c>
      <c r="C289">
        <v>29.59</v>
      </c>
      <c r="D289">
        <v>29.59</v>
      </c>
      <c r="E289">
        <v>28.5</v>
      </c>
      <c r="F289">
        <v>28.78</v>
      </c>
      <c r="G289">
        <v>35200</v>
      </c>
    </row>
    <row r="290" spans="1:7" s="54" customFormat="1" ht="12.75">
      <c r="A290" s="53"/>
      <c r="B290" s="64">
        <v>38359</v>
      </c>
      <c r="C290">
        <v>29.88</v>
      </c>
      <c r="D290">
        <v>30.04</v>
      </c>
      <c r="E290">
        <v>28.89</v>
      </c>
      <c r="F290">
        <v>29.82</v>
      </c>
      <c r="G290">
        <v>21200</v>
      </c>
    </row>
    <row r="291" spans="1:7" s="54" customFormat="1" ht="12.75">
      <c r="A291" s="53"/>
      <c r="B291" s="64">
        <v>38358</v>
      </c>
      <c r="C291">
        <v>30.78</v>
      </c>
      <c r="D291">
        <v>31.01</v>
      </c>
      <c r="E291">
        <v>29.48</v>
      </c>
      <c r="F291">
        <v>30.39</v>
      </c>
      <c r="G291">
        <v>25900</v>
      </c>
    </row>
    <row r="292" spans="1:7" s="54" customFormat="1" ht="12.75">
      <c r="A292" s="53"/>
      <c r="B292" s="64">
        <v>38357</v>
      </c>
      <c r="C292">
        <v>31.64</v>
      </c>
      <c r="D292">
        <v>32.36</v>
      </c>
      <c r="E292">
        <v>31.01</v>
      </c>
      <c r="F292">
        <v>31.25</v>
      </c>
      <c r="G292">
        <v>44300</v>
      </c>
    </row>
    <row r="293" spans="1:7" s="54" customFormat="1" ht="12.75">
      <c r="A293" s="53"/>
      <c r="B293" s="64">
        <v>38356</v>
      </c>
      <c r="C293">
        <v>31.21</v>
      </c>
      <c r="D293">
        <v>32.01</v>
      </c>
      <c r="E293">
        <v>30.6</v>
      </c>
      <c r="F293">
        <v>31.36</v>
      </c>
      <c r="G293">
        <v>48200</v>
      </c>
    </row>
    <row r="294" spans="1:7" s="54" customFormat="1" ht="12.75">
      <c r="A294" s="53"/>
      <c r="B294" s="64">
        <v>38353</v>
      </c>
      <c r="C294">
        <v>30.51</v>
      </c>
      <c r="D294">
        <v>31.96</v>
      </c>
      <c r="E294">
        <v>30.51</v>
      </c>
      <c r="F294">
        <v>31.09</v>
      </c>
      <c r="G294">
        <v>27200</v>
      </c>
    </row>
    <row r="295" spans="1:7" s="54" customFormat="1" ht="12.75">
      <c r="A295" s="53"/>
      <c r="B295" s="64">
        <v>38351</v>
      </c>
      <c r="C295">
        <v>31.06</v>
      </c>
      <c r="D295">
        <v>31.48</v>
      </c>
      <c r="E295">
        <v>30.59</v>
      </c>
      <c r="F295">
        <v>31.48</v>
      </c>
      <c r="G295">
        <v>44900</v>
      </c>
    </row>
    <row r="296" spans="1:7" s="54" customFormat="1" ht="12.75">
      <c r="A296" s="53"/>
      <c r="B296" s="64">
        <v>38350</v>
      </c>
      <c r="C296">
        <v>31</v>
      </c>
      <c r="D296">
        <v>31.36</v>
      </c>
      <c r="E296">
        <v>30.32</v>
      </c>
      <c r="F296">
        <v>30.97</v>
      </c>
      <c r="G296">
        <v>31000</v>
      </c>
    </row>
    <row r="297" spans="1:7" s="54" customFormat="1" ht="12.75">
      <c r="A297" s="53"/>
      <c r="B297" s="64">
        <v>38349</v>
      </c>
      <c r="C297">
        <v>30.98</v>
      </c>
      <c r="D297">
        <v>30.98</v>
      </c>
      <c r="E297">
        <v>29.69</v>
      </c>
      <c r="F297">
        <v>30.65</v>
      </c>
      <c r="G297">
        <v>33400</v>
      </c>
    </row>
    <row r="298" spans="1:7" s="54" customFormat="1" ht="12.75">
      <c r="A298" s="53"/>
      <c r="B298" s="64">
        <v>38346</v>
      </c>
      <c r="C298">
        <v>30.7</v>
      </c>
      <c r="D298">
        <v>31.41</v>
      </c>
      <c r="E298">
        <v>30</v>
      </c>
      <c r="F298">
        <v>30.79</v>
      </c>
      <c r="G298">
        <v>27200</v>
      </c>
    </row>
    <row r="299" spans="1:7" s="54" customFormat="1" ht="12.75">
      <c r="A299" s="53"/>
      <c r="B299" s="64">
        <v>38344</v>
      </c>
      <c r="C299">
        <v>32.19</v>
      </c>
      <c r="D299">
        <v>32.19</v>
      </c>
      <c r="E299">
        <v>30.45</v>
      </c>
      <c r="F299">
        <v>30.55</v>
      </c>
      <c r="G299">
        <v>10000</v>
      </c>
    </row>
    <row r="300" spans="1:7" s="54" customFormat="1" ht="12.75">
      <c r="A300" s="53"/>
      <c r="B300" s="64">
        <v>38343</v>
      </c>
      <c r="C300">
        <v>32.46</v>
      </c>
      <c r="D300">
        <v>32.75</v>
      </c>
      <c r="E300">
        <v>30.89</v>
      </c>
      <c r="F300">
        <v>31.6</v>
      </c>
      <c r="G300">
        <v>29400</v>
      </c>
    </row>
    <row r="301" spans="1:7" s="54" customFormat="1" ht="12.75">
      <c r="A301" s="53"/>
      <c r="B301" s="64">
        <v>38342</v>
      </c>
      <c r="C301">
        <v>31.95</v>
      </c>
      <c r="D301">
        <v>32.3</v>
      </c>
      <c r="E301">
        <v>31.51</v>
      </c>
      <c r="F301">
        <v>32.24</v>
      </c>
      <c r="G301">
        <v>22200</v>
      </c>
    </row>
    <row r="302" spans="1:7" s="54" customFormat="1" ht="12.75">
      <c r="A302" s="53"/>
      <c r="B302" s="64">
        <v>38339</v>
      </c>
      <c r="C302">
        <v>34.07</v>
      </c>
      <c r="D302">
        <v>34.66</v>
      </c>
      <c r="E302">
        <v>31.27</v>
      </c>
      <c r="F302">
        <v>31.71</v>
      </c>
      <c r="G302">
        <v>65700</v>
      </c>
    </row>
    <row r="303" spans="1:7" s="54" customFormat="1" ht="12.75">
      <c r="A303" s="53"/>
      <c r="B303" s="64">
        <v>38338</v>
      </c>
      <c r="C303">
        <v>32.09</v>
      </c>
      <c r="D303">
        <v>34.14</v>
      </c>
      <c r="E303">
        <v>32.09</v>
      </c>
      <c r="F303">
        <v>33.98</v>
      </c>
      <c r="G303">
        <v>28300</v>
      </c>
    </row>
    <row r="304" spans="1:7" s="54" customFormat="1" ht="12.75">
      <c r="A304" s="53"/>
      <c r="B304" s="64">
        <v>38337</v>
      </c>
      <c r="C304">
        <v>33.35</v>
      </c>
      <c r="D304">
        <v>34</v>
      </c>
      <c r="E304">
        <v>32.87</v>
      </c>
      <c r="F304">
        <v>33.7</v>
      </c>
      <c r="G304">
        <v>51200</v>
      </c>
    </row>
    <row r="305" spans="1:7" s="54" customFormat="1" ht="12.75">
      <c r="A305" s="53"/>
      <c r="B305" s="64">
        <v>38336</v>
      </c>
      <c r="C305">
        <v>31.94</v>
      </c>
      <c r="D305">
        <v>33.5</v>
      </c>
      <c r="E305">
        <v>31.51</v>
      </c>
      <c r="F305">
        <v>33.5</v>
      </c>
      <c r="G305">
        <v>39100</v>
      </c>
    </row>
    <row r="306" spans="1:7" s="54" customFormat="1" ht="12.75">
      <c r="A306" s="53"/>
      <c r="B306" s="64">
        <v>38335</v>
      </c>
      <c r="C306">
        <v>33.26</v>
      </c>
      <c r="D306">
        <v>33.34</v>
      </c>
      <c r="E306">
        <v>30.99</v>
      </c>
      <c r="F306">
        <v>31.32</v>
      </c>
      <c r="G306">
        <v>29600</v>
      </c>
    </row>
    <row r="307" spans="1:7" s="54" customFormat="1" ht="12.75">
      <c r="A307" s="53"/>
      <c r="B307" s="64">
        <v>38332</v>
      </c>
      <c r="C307">
        <v>31.2</v>
      </c>
      <c r="D307">
        <v>33</v>
      </c>
      <c r="E307">
        <v>31.2</v>
      </c>
      <c r="F307">
        <v>33</v>
      </c>
      <c r="G307">
        <v>28400</v>
      </c>
    </row>
    <row r="308" spans="1:7" s="54" customFormat="1" ht="12.75">
      <c r="A308" s="53"/>
      <c r="B308" s="64">
        <v>38331</v>
      </c>
      <c r="C308">
        <v>31.62</v>
      </c>
      <c r="D308">
        <v>32.17</v>
      </c>
      <c r="E308">
        <v>30.9</v>
      </c>
      <c r="F308">
        <v>31.8</v>
      </c>
      <c r="G308">
        <v>53100</v>
      </c>
    </row>
    <row r="309" spans="1:7" s="54" customFormat="1" ht="12.75">
      <c r="A309" s="53"/>
      <c r="B309" s="64">
        <v>38330</v>
      </c>
      <c r="C309">
        <v>31.69</v>
      </c>
      <c r="D309">
        <v>32.84</v>
      </c>
      <c r="E309">
        <v>31.55</v>
      </c>
      <c r="F309">
        <v>31.79</v>
      </c>
      <c r="G309">
        <v>16000</v>
      </c>
    </row>
    <row r="310" spans="1:7" s="54" customFormat="1" ht="12.75">
      <c r="A310" s="53"/>
      <c r="B310" s="64">
        <v>38329</v>
      </c>
      <c r="C310">
        <v>32.4</v>
      </c>
      <c r="D310">
        <v>32.74</v>
      </c>
      <c r="E310">
        <v>31.5</v>
      </c>
      <c r="F310">
        <v>31.52</v>
      </c>
      <c r="G310">
        <v>46000</v>
      </c>
    </row>
    <row r="311" spans="1:7" s="54" customFormat="1" ht="12.75">
      <c r="A311" s="53"/>
      <c r="B311" s="64">
        <v>38328</v>
      </c>
      <c r="C311">
        <v>32.71</v>
      </c>
      <c r="D311">
        <v>32.75</v>
      </c>
      <c r="E311">
        <v>31.58</v>
      </c>
      <c r="F311">
        <v>32.62</v>
      </c>
      <c r="G311">
        <v>54100</v>
      </c>
    </row>
    <row r="312" spans="1:7" s="54" customFormat="1" ht="12.75">
      <c r="A312" s="53"/>
      <c r="B312" s="54" t="s">
        <v>68</v>
      </c>
      <c r="C312" s="56">
        <f>AVERAGE(C282:C311)</f>
        <v>30.80366666666668</v>
      </c>
      <c r="D312" s="56">
        <f>AVERAGE(D282:D311)</f>
        <v>31.341666666666665</v>
      </c>
      <c r="E312" s="56">
        <f>AVERAGE(E282:E311)</f>
        <v>29.908</v>
      </c>
      <c r="F312" s="57">
        <f>AVERAGE(F282:F311)</f>
        <v>30.599000000000004</v>
      </c>
      <c r="G312" s="56">
        <f>AVERAGE(G282:G311)</f>
        <v>31986.666666666668</v>
      </c>
    </row>
    <row r="313" spans="1:7" s="54" customFormat="1" ht="12.75">
      <c r="A313" s="53"/>
      <c r="B313" s="54" t="s">
        <v>194</v>
      </c>
      <c r="C313" s="54">
        <f>MEDIAN(C282:C311)</f>
        <v>31.13</v>
      </c>
      <c r="D313" s="54">
        <f>MEDIAN(D282:D311)</f>
        <v>31.985</v>
      </c>
      <c r="E313" s="54">
        <f>MEDIAN(E282:E311)</f>
        <v>30.55</v>
      </c>
      <c r="F313" s="54">
        <f>MEDIAN(F282:F311)</f>
        <v>31.17</v>
      </c>
      <c r="G313" s="54">
        <f>MEDIAN(G282:G311)</f>
        <v>29300</v>
      </c>
    </row>
    <row r="314" spans="1:7" s="54" customFormat="1" ht="12.75">
      <c r="A314" s="53"/>
      <c r="B314" s="54" t="s">
        <v>198</v>
      </c>
      <c r="C314" s="54">
        <f>MAX(C282:C311)</f>
        <v>34.07</v>
      </c>
      <c r="D314" s="54">
        <f>MAX(D282:D311)</f>
        <v>34.66</v>
      </c>
      <c r="E314" s="54">
        <f>MAX(E282:E311)</f>
        <v>32.87</v>
      </c>
      <c r="F314" s="54">
        <f>MAX(F282:F311)</f>
        <v>33.98</v>
      </c>
      <c r="G314" s="54">
        <f>MAX(G282:G311)</f>
        <v>65700</v>
      </c>
    </row>
    <row r="315" spans="1:7" s="54" customFormat="1" ht="12.75">
      <c r="A315" s="53"/>
      <c r="B315" s="54" t="s">
        <v>199</v>
      </c>
      <c r="C315" s="54">
        <f>MIN(C282:C311)</f>
        <v>26.75</v>
      </c>
      <c r="D315" s="54">
        <f>MIN(D282:D311)</f>
        <v>26.75</v>
      </c>
      <c r="E315" s="54">
        <f>MIN(E282:E311)</f>
        <v>25.31</v>
      </c>
      <c r="F315" s="54">
        <f>MIN(F282:F311)</f>
        <v>25.74</v>
      </c>
      <c r="G315" s="54">
        <f>MIN(G282:G311)</f>
        <v>10000</v>
      </c>
    </row>
    <row r="316" spans="1:7" s="54" customFormat="1" ht="12">
      <c r="A316"/>
      <c r="B316"/>
      <c r="C316"/>
      <c r="D316"/>
      <c r="E316"/>
      <c r="F316"/>
      <c r="G316"/>
    </row>
    <row r="317" spans="1:7" s="54" customFormat="1" ht="12">
      <c r="A317"/>
      <c r="B317"/>
      <c r="C317"/>
      <c r="D317"/>
      <c r="E317"/>
      <c r="F317"/>
      <c r="G317"/>
    </row>
    <row r="318" spans="1:7" s="54" customFormat="1" ht="12">
      <c r="A318"/>
      <c r="B318"/>
      <c r="C318"/>
      <c r="D318"/>
      <c r="E318"/>
      <c r="F318"/>
      <c r="G318"/>
    </row>
    <row r="319" spans="1:7" s="54" customFormat="1" ht="12">
      <c r="A319"/>
      <c r="B319"/>
      <c r="C319"/>
      <c r="D319"/>
      <c r="E319"/>
      <c r="F319"/>
      <c r="G319"/>
    </row>
    <row r="320" spans="1:7" s="54" customFormat="1" ht="12">
      <c r="A320"/>
      <c r="B320"/>
      <c r="C320"/>
      <c r="D320"/>
      <c r="E320"/>
      <c r="F320"/>
      <c r="G320"/>
    </row>
    <row r="321" spans="1:7" s="54" customFormat="1" ht="12">
      <c r="A321"/>
      <c r="B321"/>
      <c r="C321"/>
      <c r="D321"/>
      <c r="E321"/>
      <c r="F321"/>
      <c r="G321"/>
    </row>
    <row r="322" spans="1:7" s="54" customFormat="1" ht="12">
      <c r="A322"/>
      <c r="B322"/>
      <c r="C322"/>
      <c r="D322"/>
      <c r="E322"/>
      <c r="F322"/>
      <c r="G322"/>
    </row>
    <row r="323" spans="1:7" s="54" customFormat="1" ht="12">
      <c r="A323"/>
      <c r="B323"/>
      <c r="C323"/>
      <c r="D323"/>
      <c r="E323"/>
      <c r="F323"/>
      <c r="G323"/>
    </row>
    <row r="324" spans="1:7" s="54" customFormat="1" ht="12">
      <c r="A324"/>
      <c r="B324"/>
      <c r="C324"/>
      <c r="D324"/>
      <c r="E324"/>
      <c r="F324"/>
      <c r="G324"/>
    </row>
    <row r="325" spans="1:7" s="54" customFormat="1" ht="12">
      <c r="A325"/>
      <c r="B325"/>
      <c r="C325"/>
      <c r="D325"/>
      <c r="E325"/>
      <c r="F325"/>
      <c r="G325"/>
    </row>
    <row r="326" spans="1:7" s="54" customFormat="1" ht="12">
      <c r="A326"/>
      <c r="B326"/>
      <c r="C326"/>
      <c r="D326"/>
      <c r="E326"/>
      <c r="F326"/>
      <c r="G326"/>
    </row>
    <row r="327" spans="1:7" s="54" customFormat="1" ht="12">
      <c r="A327"/>
      <c r="B327"/>
      <c r="C327"/>
      <c r="D327"/>
      <c r="E327"/>
      <c r="F327"/>
      <c r="G327"/>
    </row>
    <row r="328" spans="1:7" s="54" customFormat="1" ht="12">
      <c r="A328"/>
      <c r="B328"/>
      <c r="C328"/>
      <c r="D328"/>
      <c r="E328"/>
      <c r="F328"/>
      <c r="G328"/>
    </row>
    <row r="329" spans="1:7" s="54" customFormat="1" ht="12">
      <c r="A329"/>
      <c r="B329"/>
      <c r="C329"/>
      <c r="D329"/>
      <c r="E329"/>
      <c r="F329"/>
      <c r="G329"/>
    </row>
    <row r="330" spans="1:7" s="54" customFormat="1" ht="12">
      <c r="A330"/>
      <c r="B330"/>
      <c r="C330"/>
      <c r="D330"/>
      <c r="E330"/>
      <c r="F330"/>
      <c r="G330"/>
    </row>
    <row r="331" spans="1:7" s="54" customFormat="1" ht="12">
      <c r="A331"/>
      <c r="B331"/>
      <c r="C331"/>
      <c r="D331"/>
      <c r="E331"/>
      <c r="F331"/>
      <c r="G331"/>
    </row>
    <row r="332" spans="1:7" s="54" customFormat="1" ht="12">
      <c r="A332"/>
      <c r="B332"/>
      <c r="C332"/>
      <c r="D332"/>
      <c r="E332"/>
      <c r="F332"/>
      <c r="G332"/>
    </row>
    <row r="333" spans="1:7" s="54" customFormat="1" ht="12">
      <c r="A333"/>
      <c r="B333"/>
      <c r="C333"/>
      <c r="D333"/>
      <c r="E333"/>
      <c r="F333"/>
      <c r="G333"/>
    </row>
    <row r="334" spans="1:7" s="54" customFormat="1" ht="12">
      <c r="A334"/>
      <c r="B334"/>
      <c r="C334"/>
      <c r="D334"/>
      <c r="E334"/>
      <c r="F334"/>
      <c r="G334"/>
    </row>
    <row r="335" spans="1:7" s="54" customFormat="1" ht="12">
      <c r="A335"/>
      <c r="B335"/>
      <c r="C335"/>
      <c r="D335"/>
      <c r="E335"/>
      <c r="F335"/>
      <c r="G335"/>
    </row>
    <row r="336" spans="1:7" s="54" customFormat="1" ht="12">
      <c r="A336"/>
      <c r="B336"/>
      <c r="C336"/>
      <c r="D336"/>
      <c r="E336"/>
      <c r="F336"/>
      <c r="G336"/>
    </row>
    <row r="337" spans="1:7" s="54" customFormat="1" ht="12">
      <c r="A337"/>
      <c r="B337"/>
      <c r="C337"/>
      <c r="D337"/>
      <c r="E337"/>
      <c r="F337"/>
      <c r="G337"/>
    </row>
    <row r="338" spans="1:7" s="54" customFormat="1" ht="12">
      <c r="A338"/>
      <c r="B338"/>
      <c r="C338"/>
      <c r="D338"/>
      <c r="E338"/>
      <c r="F338"/>
      <c r="G338"/>
    </row>
    <row r="339" spans="1:7" s="54" customFormat="1" ht="12">
      <c r="A339"/>
      <c r="B339"/>
      <c r="C339"/>
      <c r="D339"/>
      <c r="E339"/>
      <c r="F339"/>
      <c r="G339"/>
    </row>
    <row r="340" spans="1:7" s="54" customFormat="1" ht="12">
      <c r="A340"/>
      <c r="B340"/>
      <c r="C340"/>
      <c r="D340"/>
      <c r="E340"/>
      <c r="F340"/>
      <c r="G340"/>
    </row>
    <row r="341" spans="1:7" s="54" customFormat="1" ht="12">
      <c r="A341"/>
      <c r="B341"/>
      <c r="C341"/>
      <c r="D341"/>
      <c r="E341"/>
      <c r="F341"/>
      <c r="G341"/>
    </row>
    <row r="342" spans="1:7" s="54" customFormat="1" ht="12">
      <c r="A342"/>
      <c r="B342"/>
      <c r="C342"/>
      <c r="D342"/>
      <c r="E342"/>
      <c r="F342"/>
      <c r="G342"/>
    </row>
    <row r="343" spans="1:7" s="54" customFormat="1" ht="12">
      <c r="A343"/>
      <c r="B343"/>
      <c r="C343"/>
      <c r="D343"/>
      <c r="E343"/>
      <c r="F343"/>
      <c r="G343"/>
    </row>
    <row r="344" spans="1:7" s="54" customFormat="1" ht="12">
      <c r="A344"/>
      <c r="B344"/>
      <c r="C344"/>
      <c r="D344"/>
      <c r="E344"/>
      <c r="F344"/>
      <c r="G344"/>
    </row>
    <row r="345" spans="1:7" s="54" customFormat="1" ht="12">
      <c r="A345"/>
      <c r="B345"/>
      <c r="C345"/>
      <c r="D345"/>
      <c r="E345"/>
      <c r="F345"/>
      <c r="G345"/>
    </row>
    <row r="346" spans="1:7" s="54" customFormat="1" ht="12">
      <c r="A346"/>
      <c r="B346"/>
      <c r="C346"/>
      <c r="D346"/>
      <c r="E346"/>
      <c r="F346"/>
      <c r="G346"/>
    </row>
    <row r="347" spans="1:7" s="54" customFormat="1" ht="12">
      <c r="A347"/>
      <c r="B347"/>
      <c r="C347"/>
      <c r="D347"/>
      <c r="E347"/>
      <c r="F347"/>
      <c r="G347"/>
    </row>
    <row r="348" spans="1:7" s="54" customFormat="1" ht="12">
      <c r="A348"/>
      <c r="B348"/>
      <c r="C348"/>
      <c r="D348"/>
      <c r="E348"/>
      <c r="F348"/>
      <c r="G348"/>
    </row>
    <row r="349" spans="1:7" s="54" customFormat="1" ht="12">
      <c r="A349"/>
      <c r="B349"/>
      <c r="C349"/>
      <c r="D349"/>
      <c r="E349"/>
      <c r="F349"/>
      <c r="G349"/>
    </row>
    <row r="350" spans="1:7" s="54" customFormat="1" ht="12">
      <c r="A350"/>
      <c r="B350"/>
      <c r="C350"/>
      <c r="D350"/>
      <c r="E350"/>
      <c r="F350"/>
      <c r="G350"/>
    </row>
    <row r="351" spans="1:7" s="54" customFormat="1" ht="12">
      <c r="A351"/>
      <c r="B351"/>
      <c r="C351"/>
      <c r="D351"/>
      <c r="E351"/>
      <c r="F351"/>
      <c r="G351"/>
    </row>
    <row r="352" spans="1:7" s="54" customFormat="1" ht="12">
      <c r="A352"/>
      <c r="B352"/>
      <c r="C352"/>
      <c r="D352"/>
      <c r="E352"/>
      <c r="F352"/>
      <c r="G352"/>
    </row>
    <row r="353" spans="1:7" s="54" customFormat="1" ht="12">
      <c r="A353"/>
      <c r="B353"/>
      <c r="C353"/>
      <c r="D353"/>
      <c r="E353"/>
      <c r="F353"/>
      <c r="G353"/>
    </row>
    <row r="354" spans="1:7" s="54" customFormat="1" ht="12">
      <c r="A354"/>
      <c r="B354"/>
      <c r="C354"/>
      <c r="D354"/>
      <c r="E354"/>
      <c r="F354"/>
      <c r="G354"/>
    </row>
    <row r="355" spans="1:7" s="54" customFormat="1" ht="12">
      <c r="A355"/>
      <c r="B355"/>
      <c r="C355"/>
      <c r="D355"/>
      <c r="E355"/>
      <c r="F355"/>
      <c r="G355"/>
    </row>
    <row r="356" spans="1:7" s="54" customFormat="1" ht="12">
      <c r="A356"/>
      <c r="B356"/>
      <c r="C356"/>
      <c r="D356"/>
      <c r="E356"/>
      <c r="F356"/>
      <c r="G356"/>
    </row>
    <row r="357" spans="1:7" s="54" customFormat="1" ht="12">
      <c r="A357"/>
      <c r="B357"/>
      <c r="C357"/>
      <c r="D357"/>
      <c r="E357"/>
      <c r="F357"/>
      <c r="G357"/>
    </row>
    <row r="358" spans="1:7" s="54" customFormat="1" ht="12">
      <c r="A358"/>
      <c r="B358"/>
      <c r="C358"/>
      <c r="D358"/>
      <c r="E358"/>
      <c r="F358"/>
      <c r="G358"/>
    </row>
    <row r="359" spans="1:7" s="54" customFormat="1" ht="12">
      <c r="A359"/>
      <c r="B359"/>
      <c r="C359"/>
      <c r="D359"/>
      <c r="E359"/>
      <c r="F359"/>
      <c r="G359"/>
    </row>
    <row r="360" spans="1:7" s="54" customFormat="1" ht="12">
      <c r="A360"/>
      <c r="B360"/>
      <c r="C360"/>
      <c r="D360"/>
      <c r="E360"/>
      <c r="F360"/>
      <c r="G360"/>
    </row>
    <row r="361" spans="1:7" s="54" customFormat="1" ht="12">
      <c r="A361"/>
      <c r="B361"/>
      <c r="C361"/>
      <c r="D361"/>
      <c r="E361"/>
      <c r="F361"/>
      <c r="G361"/>
    </row>
    <row r="362" spans="1:7" s="54" customFormat="1" ht="12">
      <c r="A362"/>
      <c r="B362"/>
      <c r="C362"/>
      <c r="D362"/>
      <c r="E362"/>
      <c r="F362"/>
      <c r="G362"/>
    </row>
    <row r="363" spans="1:7" s="54" customFormat="1" ht="12">
      <c r="A363"/>
      <c r="B363"/>
      <c r="C363"/>
      <c r="D363"/>
      <c r="E363"/>
      <c r="F363"/>
      <c r="G363"/>
    </row>
    <row r="364" spans="1:7" s="54" customFormat="1" ht="12">
      <c r="A364"/>
      <c r="B364"/>
      <c r="C364"/>
      <c r="D364"/>
      <c r="E364"/>
      <c r="F364"/>
      <c r="G364"/>
    </row>
    <row r="365" spans="1:7" s="54" customFormat="1" ht="12">
      <c r="A365"/>
      <c r="B365"/>
      <c r="C365"/>
      <c r="D365"/>
      <c r="E365"/>
      <c r="F365"/>
      <c r="G365"/>
    </row>
    <row r="366" spans="1:7" s="54" customFormat="1" ht="12">
      <c r="A366"/>
      <c r="B366"/>
      <c r="C366"/>
      <c r="D366"/>
      <c r="E366"/>
      <c r="F366"/>
      <c r="G366"/>
    </row>
    <row r="367" spans="1:7" s="54" customFormat="1" ht="12">
      <c r="A367"/>
      <c r="B367"/>
      <c r="C367"/>
      <c r="D367"/>
      <c r="E367"/>
      <c r="F367"/>
      <c r="G367"/>
    </row>
    <row r="368" spans="1:7" s="54" customFormat="1" ht="12">
      <c r="A368"/>
      <c r="B368"/>
      <c r="C368"/>
      <c r="D368"/>
      <c r="E368"/>
      <c r="F368"/>
      <c r="G368"/>
    </row>
    <row r="369" spans="1:7" s="54" customFormat="1" ht="12">
      <c r="A369"/>
      <c r="B369"/>
      <c r="C369"/>
      <c r="D369"/>
      <c r="E369"/>
      <c r="F369"/>
      <c r="G369"/>
    </row>
    <row r="370" spans="1:7" s="54" customFormat="1" ht="12">
      <c r="A370"/>
      <c r="B370"/>
      <c r="C370"/>
      <c r="D370"/>
      <c r="E370"/>
      <c r="F370"/>
      <c r="G370"/>
    </row>
    <row r="371" spans="1:7" s="54" customFormat="1" ht="12">
      <c r="A371"/>
      <c r="B371"/>
      <c r="C371"/>
      <c r="D371"/>
      <c r="E371"/>
      <c r="F371"/>
      <c r="G371"/>
    </row>
    <row r="372" spans="1:7" s="54" customFormat="1" ht="12">
      <c r="A372"/>
      <c r="B372"/>
      <c r="C372"/>
      <c r="D372"/>
      <c r="E372"/>
      <c r="F372"/>
      <c r="G372"/>
    </row>
    <row r="373" spans="1:7" s="54" customFormat="1" ht="12">
      <c r="A373"/>
      <c r="B373"/>
      <c r="C373"/>
      <c r="D373"/>
      <c r="E373"/>
      <c r="F373"/>
      <c r="G373"/>
    </row>
    <row r="374" spans="1:7" s="54" customFormat="1" ht="12">
      <c r="A374"/>
      <c r="B374"/>
      <c r="C374"/>
      <c r="D374"/>
      <c r="E374"/>
      <c r="F374"/>
      <c r="G374"/>
    </row>
    <row r="375" spans="1:7" s="54" customFormat="1" ht="12">
      <c r="A375"/>
      <c r="B375"/>
      <c r="C375"/>
      <c r="D375"/>
      <c r="E375"/>
      <c r="F375"/>
      <c r="G375"/>
    </row>
    <row r="376" spans="1:7" s="54" customFormat="1" ht="12">
      <c r="A376"/>
      <c r="B376"/>
      <c r="C376"/>
      <c r="D376"/>
      <c r="E376"/>
      <c r="F376"/>
      <c r="G376"/>
    </row>
    <row r="377" spans="1:7" s="54" customFormat="1" ht="12">
      <c r="A377"/>
      <c r="B377"/>
      <c r="C377"/>
      <c r="D377"/>
      <c r="E377"/>
      <c r="F377"/>
      <c r="G377"/>
    </row>
    <row r="378" spans="1:7" s="54" customFormat="1" ht="12">
      <c r="A378"/>
      <c r="B378"/>
      <c r="C378"/>
      <c r="D378"/>
      <c r="E378"/>
      <c r="F378"/>
      <c r="G378"/>
    </row>
    <row r="379" spans="1:7" s="54" customFormat="1" ht="12">
      <c r="A379"/>
      <c r="B379"/>
      <c r="C379"/>
      <c r="D379"/>
      <c r="E379"/>
      <c r="F379"/>
      <c r="G379"/>
    </row>
    <row r="380" spans="1:7" s="54" customFormat="1" ht="12">
      <c r="A380"/>
      <c r="B380"/>
      <c r="C380"/>
      <c r="D380"/>
      <c r="E380"/>
      <c r="F380"/>
      <c r="G380"/>
    </row>
    <row r="381" spans="1:7" s="54" customFormat="1" ht="12">
      <c r="A381"/>
      <c r="B381"/>
      <c r="C381"/>
      <c r="D381"/>
      <c r="E381"/>
      <c r="F381"/>
      <c r="G381"/>
    </row>
    <row r="382" spans="1:7" s="54" customFormat="1" ht="12">
      <c r="A382"/>
      <c r="B382"/>
      <c r="C382"/>
      <c r="D382"/>
      <c r="E382"/>
      <c r="F382"/>
      <c r="G382"/>
    </row>
    <row r="383" spans="1:7" s="54" customFormat="1" ht="12">
      <c r="A383"/>
      <c r="B383"/>
      <c r="C383"/>
      <c r="D383"/>
      <c r="E383"/>
      <c r="F383"/>
      <c r="G383"/>
    </row>
    <row r="384" spans="1:7" s="54" customFormat="1" ht="12">
      <c r="A384"/>
      <c r="B384"/>
      <c r="C384"/>
      <c r="D384"/>
      <c r="E384"/>
      <c r="F384"/>
      <c r="G384"/>
    </row>
    <row r="385" spans="1:7" s="54" customFormat="1" ht="12">
      <c r="A385"/>
      <c r="B385"/>
      <c r="C385"/>
      <c r="D385"/>
      <c r="E385"/>
      <c r="F385"/>
      <c r="G385"/>
    </row>
    <row r="386" spans="1:7" s="54" customFormat="1" ht="12">
      <c r="A386"/>
      <c r="B386"/>
      <c r="C386"/>
      <c r="D386"/>
      <c r="E386"/>
      <c r="F386"/>
      <c r="G386"/>
    </row>
    <row r="387" spans="1:7" s="54" customFormat="1" ht="12">
      <c r="A387"/>
      <c r="B387"/>
      <c r="C387"/>
      <c r="D387"/>
      <c r="E387"/>
      <c r="F387"/>
      <c r="G387"/>
    </row>
    <row r="388" spans="1:7" s="54" customFormat="1" ht="12">
      <c r="A388"/>
      <c r="B388"/>
      <c r="C388"/>
      <c r="D388"/>
      <c r="E388"/>
      <c r="F388"/>
      <c r="G388"/>
    </row>
    <row r="389" spans="1:7" s="54" customFormat="1" ht="12">
      <c r="A389"/>
      <c r="B389"/>
      <c r="C389"/>
      <c r="D389"/>
      <c r="E389"/>
      <c r="F389"/>
      <c r="G389"/>
    </row>
    <row r="390" spans="1:7" s="54" customFormat="1" ht="12">
      <c r="A390"/>
      <c r="B390"/>
      <c r="C390"/>
      <c r="D390"/>
      <c r="E390"/>
      <c r="F390"/>
      <c r="G390"/>
    </row>
    <row r="391" spans="1:7" s="54" customFormat="1" ht="12">
      <c r="A391"/>
      <c r="B391"/>
      <c r="C391"/>
      <c r="D391"/>
      <c r="E391"/>
      <c r="F391"/>
      <c r="G391"/>
    </row>
    <row r="392" spans="1:7" s="54" customFormat="1" ht="12">
      <c r="A392"/>
      <c r="B392"/>
      <c r="C392"/>
      <c r="D392"/>
      <c r="E392"/>
      <c r="F392"/>
      <c r="G392"/>
    </row>
    <row r="393" spans="1:7" s="54" customFormat="1" ht="12">
      <c r="A393"/>
      <c r="B393"/>
      <c r="C393"/>
      <c r="D393"/>
      <c r="E393"/>
      <c r="F393"/>
      <c r="G393"/>
    </row>
    <row r="394" spans="1:7" s="54" customFormat="1" ht="12">
      <c r="A394"/>
      <c r="B394"/>
      <c r="C394"/>
      <c r="D394"/>
      <c r="E394"/>
      <c r="F394"/>
      <c r="G394"/>
    </row>
    <row r="395" spans="1:7" s="54" customFormat="1" ht="12">
      <c r="A395"/>
      <c r="B395"/>
      <c r="C395"/>
      <c r="D395"/>
      <c r="E395"/>
      <c r="F395"/>
      <c r="G395"/>
    </row>
    <row r="396" spans="1:7" s="54" customFormat="1" ht="12">
      <c r="A396"/>
      <c r="B396"/>
      <c r="C396"/>
      <c r="D396"/>
      <c r="E396"/>
      <c r="F396"/>
      <c r="G396"/>
    </row>
    <row r="397" spans="1:7" s="54" customFormat="1" ht="12">
      <c r="A397"/>
      <c r="B397"/>
      <c r="C397"/>
      <c r="D397"/>
      <c r="E397"/>
      <c r="F397"/>
      <c r="G397"/>
    </row>
    <row r="398" spans="1:7" s="54" customFormat="1" ht="12">
      <c r="A398"/>
      <c r="B398"/>
      <c r="C398"/>
      <c r="D398"/>
      <c r="E398"/>
      <c r="F398"/>
      <c r="G398"/>
    </row>
    <row r="399" spans="1:7" s="54" customFormat="1" ht="12">
      <c r="A399"/>
      <c r="B399"/>
      <c r="C399"/>
      <c r="D399"/>
      <c r="E399"/>
      <c r="F399"/>
      <c r="G399"/>
    </row>
    <row r="400" spans="1:7" s="54" customFormat="1" ht="12">
      <c r="A400"/>
      <c r="B400"/>
      <c r="C400"/>
      <c r="D400"/>
      <c r="E400"/>
      <c r="F400"/>
      <c r="G400"/>
    </row>
    <row r="401" spans="1:7" s="54" customFormat="1" ht="12">
      <c r="A401"/>
      <c r="B401"/>
      <c r="C401"/>
      <c r="D401"/>
      <c r="E401"/>
      <c r="F401"/>
      <c r="G401"/>
    </row>
    <row r="402" spans="1:7" s="54" customFormat="1" ht="12">
      <c r="A402"/>
      <c r="B402"/>
      <c r="C402"/>
      <c r="D402"/>
      <c r="E402"/>
      <c r="F402"/>
      <c r="G402"/>
    </row>
    <row r="403" spans="1:7" s="54" customFormat="1" ht="12">
      <c r="A403"/>
      <c r="B403"/>
      <c r="C403"/>
      <c r="D403"/>
      <c r="E403"/>
      <c r="F403"/>
      <c r="G403"/>
    </row>
    <row r="404" spans="1:7" s="54" customFormat="1" ht="12">
      <c r="A404"/>
      <c r="B404"/>
      <c r="C404"/>
      <c r="D404"/>
      <c r="E404"/>
      <c r="F404"/>
      <c r="G404"/>
    </row>
    <row r="405" spans="1:7" s="54" customFormat="1" ht="12">
      <c r="A405"/>
      <c r="B405"/>
      <c r="C405"/>
      <c r="D405"/>
      <c r="E405"/>
      <c r="F405"/>
      <c r="G405"/>
    </row>
    <row r="406" spans="1:7" s="54" customFormat="1" ht="12">
      <c r="A406"/>
      <c r="B406"/>
      <c r="C406"/>
      <c r="D406"/>
      <c r="E406"/>
      <c r="F406"/>
      <c r="G406"/>
    </row>
    <row r="407" spans="1:7" s="54" customFormat="1" ht="12">
      <c r="A407"/>
      <c r="B407"/>
      <c r="C407"/>
      <c r="D407"/>
      <c r="E407"/>
      <c r="F407"/>
      <c r="G407"/>
    </row>
    <row r="408" spans="1:7" s="54" customFormat="1" ht="12">
      <c r="A408"/>
      <c r="B408"/>
      <c r="C408"/>
      <c r="D408"/>
      <c r="E408"/>
      <c r="F408"/>
      <c r="G408"/>
    </row>
    <row r="409" spans="1:7" s="54" customFormat="1" ht="12">
      <c r="A409"/>
      <c r="B409"/>
      <c r="C409"/>
      <c r="D409"/>
      <c r="E409"/>
      <c r="F409"/>
      <c r="G409"/>
    </row>
    <row r="410" spans="1:7" s="54" customFormat="1" ht="12">
      <c r="A410"/>
      <c r="B410"/>
      <c r="C410"/>
      <c r="D410"/>
      <c r="E410"/>
      <c r="F410"/>
      <c r="G410"/>
    </row>
    <row r="411" spans="1:7" s="54" customFormat="1" ht="12">
      <c r="A411"/>
      <c r="B411"/>
      <c r="C411"/>
      <c r="D411"/>
      <c r="E411"/>
      <c r="F411"/>
      <c r="G411"/>
    </row>
    <row r="412" spans="1:7" s="54" customFormat="1" ht="12">
      <c r="A412"/>
      <c r="B412"/>
      <c r="C412"/>
      <c r="D412"/>
      <c r="E412"/>
      <c r="F412"/>
      <c r="G412"/>
    </row>
    <row r="413" spans="1:7" s="54" customFormat="1" ht="12">
      <c r="A413"/>
      <c r="B413"/>
      <c r="C413"/>
      <c r="D413"/>
      <c r="E413"/>
      <c r="F413"/>
      <c r="G413"/>
    </row>
    <row r="414" spans="1:7" s="54" customFormat="1" ht="12">
      <c r="A414"/>
      <c r="B414"/>
      <c r="C414"/>
      <c r="D414"/>
      <c r="E414"/>
      <c r="F414"/>
      <c r="G414"/>
    </row>
    <row r="415" spans="1:7" s="54" customFormat="1" ht="12">
      <c r="A415"/>
      <c r="B415"/>
      <c r="C415"/>
      <c r="D415"/>
      <c r="E415"/>
      <c r="F415"/>
      <c r="G415"/>
    </row>
    <row r="416" spans="1:7" s="54" customFormat="1" ht="12">
      <c r="A416"/>
      <c r="B416"/>
      <c r="C416"/>
      <c r="D416"/>
      <c r="E416"/>
      <c r="F416"/>
      <c r="G416"/>
    </row>
    <row r="417" spans="1:7" s="54" customFormat="1" ht="12">
      <c r="A417"/>
      <c r="B417"/>
      <c r="C417"/>
      <c r="D417"/>
      <c r="E417"/>
      <c r="F417"/>
      <c r="G417"/>
    </row>
    <row r="418" spans="1:7" s="54" customFormat="1" ht="12">
      <c r="A418"/>
      <c r="B418"/>
      <c r="C418"/>
      <c r="D418"/>
      <c r="E418"/>
      <c r="F418"/>
      <c r="G418"/>
    </row>
    <row r="419" spans="1:7" s="54" customFormat="1" ht="12">
      <c r="A419"/>
      <c r="B419"/>
      <c r="C419"/>
      <c r="D419"/>
      <c r="E419"/>
      <c r="F419"/>
      <c r="G419"/>
    </row>
    <row r="420" spans="1:7" s="54" customFormat="1" ht="12">
      <c r="A420"/>
      <c r="B420"/>
      <c r="C420"/>
      <c r="D420"/>
      <c r="E420"/>
      <c r="F420"/>
      <c r="G420"/>
    </row>
    <row r="421" spans="1:7" s="54" customFormat="1" ht="12">
      <c r="A421"/>
      <c r="B421"/>
      <c r="C421"/>
      <c r="D421"/>
      <c r="E421"/>
      <c r="F421"/>
      <c r="G421"/>
    </row>
    <row r="422" spans="1:7" s="54" customFormat="1" ht="12">
      <c r="A422"/>
      <c r="B422"/>
      <c r="C422"/>
      <c r="D422"/>
      <c r="E422"/>
      <c r="F422"/>
      <c r="G422"/>
    </row>
    <row r="423" spans="1:7" s="54" customFormat="1" ht="12">
      <c r="A423"/>
      <c r="B423"/>
      <c r="C423"/>
      <c r="D423"/>
      <c r="E423"/>
      <c r="F423"/>
      <c r="G423"/>
    </row>
    <row r="424" spans="1:7" s="54" customFormat="1" ht="12">
      <c r="A424"/>
      <c r="B424"/>
      <c r="C424"/>
      <c r="D424"/>
      <c r="E424"/>
      <c r="F424"/>
      <c r="G424"/>
    </row>
    <row r="425" spans="1:7" s="54" customFormat="1" ht="12">
      <c r="A425"/>
      <c r="B425"/>
      <c r="C425"/>
      <c r="D425"/>
      <c r="E425"/>
      <c r="F425"/>
      <c r="G425"/>
    </row>
    <row r="426" spans="1:7" s="54" customFormat="1" ht="12">
      <c r="A426"/>
      <c r="B426"/>
      <c r="C426"/>
      <c r="D426"/>
      <c r="E426"/>
      <c r="F426"/>
      <c r="G426"/>
    </row>
    <row r="427" spans="1:7" s="54" customFormat="1" ht="12">
      <c r="A427"/>
      <c r="B427"/>
      <c r="C427"/>
      <c r="D427"/>
      <c r="E427"/>
      <c r="F427"/>
      <c r="G427"/>
    </row>
    <row r="428" spans="1:7" s="54" customFormat="1" ht="12">
      <c r="A428"/>
      <c r="B428"/>
      <c r="C428"/>
      <c r="D428"/>
      <c r="E428"/>
      <c r="F428"/>
      <c r="G428"/>
    </row>
    <row r="429" spans="1:7" s="54" customFormat="1" ht="12">
      <c r="A429"/>
      <c r="B429"/>
      <c r="C429"/>
      <c r="D429"/>
      <c r="E429"/>
      <c r="F429"/>
      <c r="G429"/>
    </row>
    <row r="430" spans="1:7" s="54" customFormat="1" ht="12">
      <c r="A430"/>
      <c r="B430"/>
      <c r="C430"/>
      <c r="D430"/>
      <c r="E430"/>
      <c r="F430"/>
      <c r="G430"/>
    </row>
    <row r="431" spans="1:7" s="54" customFormat="1" ht="12">
      <c r="A431"/>
      <c r="B431"/>
      <c r="C431"/>
      <c r="D431"/>
      <c r="E431"/>
      <c r="F431"/>
      <c r="G431"/>
    </row>
    <row r="432" spans="1:7" s="54" customFormat="1" ht="12">
      <c r="A432"/>
      <c r="B432"/>
      <c r="C432"/>
      <c r="D432"/>
      <c r="E432"/>
      <c r="F432"/>
      <c r="G432"/>
    </row>
    <row r="433" spans="1:7" s="54" customFormat="1" ht="12">
      <c r="A433"/>
      <c r="B433"/>
      <c r="C433"/>
      <c r="D433"/>
      <c r="E433"/>
      <c r="F433"/>
      <c r="G433"/>
    </row>
    <row r="434" spans="1:7" s="54" customFormat="1" ht="12">
      <c r="A434"/>
      <c r="B434"/>
      <c r="C434"/>
      <c r="D434"/>
      <c r="E434"/>
      <c r="F434"/>
      <c r="G434"/>
    </row>
    <row r="435" spans="1:7" s="54" customFormat="1" ht="12">
      <c r="A435"/>
      <c r="B435"/>
      <c r="C435"/>
      <c r="D435"/>
      <c r="E435"/>
      <c r="F435"/>
      <c r="G435"/>
    </row>
    <row r="436" spans="1:7" s="54" customFormat="1" ht="12">
      <c r="A436"/>
      <c r="B436"/>
      <c r="C436"/>
      <c r="D436"/>
      <c r="E436"/>
      <c r="F436"/>
      <c r="G436"/>
    </row>
    <row r="437" spans="1:7" s="54" customFormat="1" ht="12">
      <c r="A437"/>
      <c r="B437"/>
      <c r="C437"/>
      <c r="D437"/>
      <c r="E437"/>
      <c r="F437"/>
      <c r="G437"/>
    </row>
    <row r="438" spans="1:7" s="54" customFormat="1" ht="12">
      <c r="A438"/>
      <c r="B438"/>
      <c r="C438"/>
      <c r="D438"/>
      <c r="E438"/>
      <c r="F438"/>
      <c r="G438"/>
    </row>
    <row r="439" spans="1:7" s="54" customFormat="1" ht="12">
      <c r="A439"/>
      <c r="B439"/>
      <c r="C439"/>
      <c r="D439"/>
      <c r="E439"/>
      <c r="F439"/>
      <c r="G439"/>
    </row>
    <row r="440" spans="1:7" s="54" customFormat="1" ht="12">
      <c r="A440"/>
      <c r="B440"/>
      <c r="C440"/>
      <c r="D440"/>
      <c r="E440"/>
      <c r="F440"/>
      <c r="G440"/>
    </row>
    <row r="441" spans="1:7" s="54" customFormat="1" ht="12">
      <c r="A441"/>
      <c r="B441"/>
      <c r="C441"/>
      <c r="D441"/>
      <c r="E441"/>
      <c r="F441"/>
      <c r="G441"/>
    </row>
    <row r="442" spans="1:7" s="54" customFormat="1" ht="12">
      <c r="A442"/>
      <c r="B442"/>
      <c r="C442"/>
      <c r="D442"/>
      <c r="E442"/>
      <c r="F442"/>
      <c r="G442"/>
    </row>
    <row r="443" spans="1:7" s="54" customFormat="1" ht="12">
      <c r="A443"/>
      <c r="B443"/>
      <c r="C443"/>
      <c r="D443"/>
      <c r="E443"/>
      <c r="F443"/>
      <c r="G443"/>
    </row>
    <row r="444" spans="1:7" s="54" customFormat="1" ht="12">
      <c r="A444"/>
      <c r="B444"/>
      <c r="C444"/>
      <c r="D444"/>
      <c r="E444"/>
      <c r="F444"/>
      <c r="G444"/>
    </row>
    <row r="445" spans="1:7" s="54" customFormat="1" ht="12">
      <c r="A445"/>
      <c r="B445"/>
      <c r="C445"/>
      <c r="D445"/>
      <c r="E445"/>
      <c r="F445"/>
      <c r="G445"/>
    </row>
    <row r="446" spans="1:7" s="54" customFormat="1" ht="12">
      <c r="A446"/>
      <c r="B446"/>
      <c r="C446"/>
      <c r="D446"/>
      <c r="E446"/>
      <c r="F446"/>
      <c r="G446"/>
    </row>
    <row r="447" spans="1:7" s="54" customFormat="1" ht="12">
      <c r="A447"/>
      <c r="B447"/>
      <c r="C447"/>
      <c r="D447"/>
      <c r="E447"/>
      <c r="F447"/>
      <c r="G447"/>
    </row>
    <row r="448" spans="1:7" s="54" customFormat="1" ht="12">
      <c r="A448"/>
      <c r="B448"/>
      <c r="C448"/>
      <c r="D448"/>
      <c r="E448"/>
      <c r="F448"/>
      <c r="G448"/>
    </row>
    <row r="449" spans="1:7" s="54" customFormat="1" ht="12">
      <c r="A449"/>
      <c r="B449"/>
      <c r="C449"/>
      <c r="D449"/>
      <c r="E449"/>
      <c r="F449"/>
      <c r="G449"/>
    </row>
    <row r="450" spans="1:7" s="54" customFormat="1" ht="12">
      <c r="A450"/>
      <c r="B450"/>
      <c r="C450"/>
      <c r="D450"/>
      <c r="E450"/>
      <c r="F450"/>
      <c r="G450"/>
    </row>
    <row r="451" spans="1:7" s="54" customFormat="1" ht="12">
      <c r="A451"/>
      <c r="B451"/>
      <c r="C451"/>
      <c r="D451"/>
      <c r="E451"/>
      <c r="F451"/>
      <c r="G451"/>
    </row>
    <row r="452" spans="1:7" s="54" customFormat="1" ht="12">
      <c r="A452"/>
      <c r="B452"/>
      <c r="C452"/>
      <c r="D452"/>
      <c r="E452"/>
      <c r="F452"/>
      <c r="G452"/>
    </row>
    <row r="453" spans="1:7" s="54" customFormat="1" ht="12">
      <c r="A453"/>
      <c r="B453"/>
      <c r="C453"/>
      <c r="D453"/>
      <c r="E453"/>
      <c r="F453"/>
      <c r="G453"/>
    </row>
    <row r="454" spans="1:7" s="54" customFormat="1" ht="12">
      <c r="A454"/>
      <c r="B454"/>
      <c r="C454"/>
      <c r="D454"/>
      <c r="E454"/>
      <c r="F454"/>
      <c r="G454"/>
    </row>
    <row r="455" spans="1:7" s="54" customFormat="1" ht="12">
      <c r="A455"/>
      <c r="B455"/>
      <c r="C455"/>
      <c r="D455"/>
      <c r="E455"/>
      <c r="F455"/>
      <c r="G455"/>
    </row>
    <row r="456" spans="1:7" s="54" customFormat="1" ht="12">
      <c r="A456"/>
      <c r="B456"/>
      <c r="C456"/>
      <c r="D456"/>
      <c r="E456"/>
      <c r="F456"/>
      <c r="G456"/>
    </row>
    <row r="457" spans="1:7" s="54" customFormat="1" ht="12">
      <c r="A457"/>
      <c r="B457"/>
      <c r="C457"/>
      <c r="D457"/>
      <c r="E457"/>
      <c r="F457"/>
      <c r="G457"/>
    </row>
    <row r="458" spans="1:7" s="54" customFormat="1" ht="12">
      <c r="A458"/>
      <c r="B458"/>
      <c r="C458"/>
      <c r="D458"/>
      <c r="E458"/>
      <c r="F458"/>
      <c r="G458"/>
    </row>
    <row r="459" spans="1:7" s="54" customFormat="1" ht="12">
      <c r="A459"/>
      <c r="B459"/>
      <c r="C459"/>
      <c r="D459"/>
      <c r="E459"/>
      <c r="F459"/>
      <c r="G459"/>
    </row>
    <row r="460" spans="1:7" s="54" customFormat="1" ht="12">
      <c r="A460"/>
      <c r="B460"/>
      <c r="C460"/>
      <c r="D460"/>
      <c r="E460"/>
      <c r="F460"/>
      <c r="G460"/>
    </row>
    <row r="461" spans="1:7" s="54" customFormat="1" ht="12">
      <c r="A461"/>
      <c r="B461"/>
      <c r="C461"/>
      <c r="D461"/>
      <c r="E461"/>
      <c r="F461"/>
      <c r="G461"/>
    </row>
    <row r="462" spans="1:7" s="54" customFormat="1" ht="12">
      <c r="A462"/>
      <c r="B462"/>
      <c r="C462"/>
      <c r="D462"/>
      <c r="E462"/>
      <c r="F462"/>
      <c r="G462"/>
    </row>
    <row r="463" spans="1:7" s="54" customFormat="1" ht="12">
      <c r="A463"/>
      <c r="B463"/>
      <c r="C463"/>
      <c r="D463"/>
      <c r="E463"/>
      <c r="F463"/>
      <c r="G463"/>
    </row>
    <row r="464" spans="1:7" s="54" customFormat="1" ht="12">
      <c r="A464"/>
      <c r="B464"/>
      <c r="C464"/>
      <c r="D464"/>
      <c r="E464"/>
      <c r="F464"/>
      <c r="G464"/>
    </row>
    <row r="465" spans="1:7" s="54" customFormat="1" ht="12">
      <c r="A465"/>
      <c r="B465"/>
      <c r="C465"/>
      <c r="D465"/>
      <c r="E465"/>
      <c r="F465"/>
      <c r="G465"/>
    </row>
    <row r="466" spans="1:7" s="54" customFormat="1" ht="12">
      <c r="A466"/>
      <c r="B466"/>
      <c r="C466"/>
      <c r="D466"/>
      <c r="E466"/>
      <c r="F466"/>
      <c r="G466"/>
    </row>
    <row r="467" spans="1:7" s="54" customFormat="1" ht="12">
      <c r="A467"/>
      <c r="B467"/>
      <c r="C467"/>
      <c r="D467"/>
      <c r="E467"/>
      <c r="F467"/>
      <c r="G467"/>
    </row>
    <row r="468" spans="1:7" s="54" customFormat="1" ht="12">
      <c r="A468"/>
      <c r="B468"/>
      <c r="C468"/>
      <c r="D468"/>
      <c r="E468"/>
      <c r="F468"/>
      <c r="G468"/>
    </row>
    <row r="469" spans="1:7" s="54" customFormat="1" ht="12">
      <c r="A469"/>
      <c r="B469"/>
      <c r="C469"/>
      <c r="D469"/>
      <c r="E469"/>
      <c r="F469"/>
      <c r="G469"/>
    </row>
    <row r="470" spans="1:7" s="54" customFormat="1" ht="12">
      <c r="A470"/>
      <c r="B470"/>
      <c r="C470"/>
      <c r="D470"/>
      <c r="E470"/>
      <c r="F470"/>
      <c r="G470"/>
    </row>
    <row r="471" spans="1:7" s="54" customFormat="1" ht="12">
      <c r="A471"/>
      <c r="B471"/>
      <c r="C471"/>
      <c r="D471"/>
      <c r="E471"/>
      <c r="F471"/>
      <c r="G471"/>
    </row>
    <row r="472" spans="1:7" s="54" customFormat="1" ht="12">
      <c r="A472"/>
      <c r="B472"/>
      <c r="C472"/>
      <c r="D472"/>
      <c r="E472"/>
      <c r="F472"/>
      <c r="G472"/>
    </row>
    <row r="473" spans="1:7" s="54" customFormat="1" ht="12">
      <c r="A473"/>
      <c r="B473"/>
      <c r="C473"/>
      <c r="D473"/>
      <c r="E473"/>
      <c r="F473"/>
      <c r="G473"/>
    </row>
    <row r="474" spans="1:7" s="54" customFormat="1" ht="12">
      <c r="A474"/>
      <c r="B474"/>
      <c r="C474"/>
      <c r="D474"/>
      <c r="E474"/>
      <c r="F474"/>
      <c r="G474"/>
    </row>
    <row r="475" spans="1:7" s="54" customFormat="1" ht="12">
      <c r="A475"/>
      <c r="B475"/>
      <c r="C475"/>
      <c r="D475"/>
      <c r="E475"/>
      <c r="F475"/>
      <c r="G475"/>
    </row>
    <row r="476" spans="1:7" s="54" customFormat="1" ht="12">
      <c r="A476"/>
      <c r="B476"/>
      <c r="C476"/>
      <c r="D476"/>
      <c r="E476"/>
      <c r="F476"/>
      <c r="G476"/>
    </row>
    <row r="477" spans="1:7" s="54" customFormat="1" ht="12">
      <c r="A477"/>
      <c r="B477"/>
      <c r="C477"/>
      <c r="D477"/>
      <c r="E477"/>
      <c r="F477"/>
      <c r="G477"/>
    </row>
    <row r="478" spans="1:7" s="54" customFormat="1" ht="12">
      <c r="A478"/>
      <c r="B478"/>
      <c r="C478"/>
      <c r="D478"/>
      <c r="E478"/>
      <c r="F478"/>
      <c r="G478"/>
    </row>
    <row r="479" spans="1:7" s="54" customFormat="1" ht="12">
      <c r="A479"/>
      <c r="B479"/>
      <c r="C479"/>
      <c r="D479"/>
      <c r="E479"/>
      <c r="F479"/>
      <c r="G479"/>
    </row>
    <row r="480" spans="1:7" s="54" customFormat="1" ht="12">
      <c r="A480"/>
      <c r="B480"/>
      <c r="C480"/>
      <c r="D480"/>
      <c r="E480"/>
      <c r="F480"/>
      <c r="G480"/>
    </row>
    <row r="481" spans="1:7" s="54" customFormat="1" ht="12">
      <c r="A481"/>
      <c r="B481"/>
      <c r="C481"/>
      <c r="D481"/>
      <c r="E481"/>
      <c r="F481"/>
      <c r="G481"/>
    </row>
    <row r="482" spans="1:7" s="54" customFormat="1" ht="12">
      <c r="A482"/>
      <c r="B482"/>
      <c r="C482"/>
      <c r="D482"/>
      <c r="E482"/>
      <c r="F482"/>
      <c r="G482"/>
    </row>
    <row r="483" spans="1:7" s="54" customFormat="1" ht="12">
      <c r="A483"/>
      <c r="B483"/>
      <c r="C483"/>
      <c r="D483"/>
      <c r="E483"/>
      <c r="F483"/>
      <c r="G483"/>
    </row>
    <row r="484" spans="1:7" s="54" customFormat="1" ht="12">
      <c r="A484"/>
      <c r="B484"/>
      <c r="C484"/>
      <c r="D484"/>
      <c r="E484"/>
      <c r="F484"/>
      <c r="G484"/>
    </row>
    <row r="485" spans="1:7" s="54" customFormat="1" ht="12">
      <c r="A485"/>
      <c r="B485"/>
      <c r="C485"/>
      <c r="D485"/>
      <c r="E485"/>
      <c r="F485"/>
      <c r="G485"/>
    </row>
    <row r="486" spans="1:7" s="54" customFormat="1" ht="12">
      <c r="A486"/>
      <c r="B486"/>
      <c r="C486"/>
      <c r="D486"/>
      <c r="E486"/>
      <c r="F486"/>
      <c r="G486"/>
    </row>
    <row r="487" spans="1:7" s="54" customFormat="1" ht="12">
      <c r="A487"/>
      <c r="B487"/>
      <c r="C487"/>
      <c r="D487"/>
      <c r="E487"/>
      <c r="F487"/>
      <c r="G487"/>
    </row>
    <row r="488" ht="12">
      <c r="A488"/>
    </row>
    <row r="489" ht="12">
      <c r="A489"/>
    </row>
    <row r="490" ht="12">
      <c r="A490"/>
    </row>
    <row r="491" ht="12">
      <c r="A491"/>
    </row>
    <row r="492" ht="12">
      <c r="A492"/>
    </row>
    <row r="493" ht="12">
      <c r="A493"/>
    </row>
    <row r="494" ht="12">
      <c r="A494"/>
    </row>
    <row r="495" ht="12">
      <c r="A495"/>
    </row>
    <row r="496" ht="12">
      <c r="A496"/>
    </row>
    <row r="497" ht="12">
      <c r="A497"/>
    </row>
    <row r="498" ht="12">
      <c r="A498"/>
    </row>
    <row r="499" ht="12">
      <c r="A499"/>
    </row>
    <row r="500" ht="12">
      <c r="A500"/>
    </row>
    <row r="501" ht="12">
      <c r="A501"/>
    </row>
    <row r="502" ht="12">
      <c r="A502"/>
    </row>
    <row r="503" ht="12">
      <c r="A503"/>
    </row>
    <row r="504" ht="12">
      <c r="A504"/>
    </row>
    <row r="505" ht="12">
      <c r="A505"/>
    </row>
    <row r="506" ht="12">
      <c r="A506"/>
    </row>
    <row r="507" ht="12">
      <c r="A507"/>
    </row>
    <row r="508" ht="12">
      <c r="A508"/>
    </row>
    <row r="509" ht="12">
      <c r="A509"/>
    </row>
    <row r="510" ht="12">
      <c r="A510"/>
    </row>
    <row r="511" ht="12">
      <c r="A511"/>
    </row>
    <row r="512" ht="12">
      <c r="A512"/>
    </row>
    <row r="513" ht="12">
      <c r="A513"/>
    </row>
    <row r="514" ht="12">
      <c r="A514"/>
    </row>
    <row r="515" ht="12">
      <c r="A515"/>
    </row>
    <row r="516" ht="12">
      <c r="A516"/>
    </row>
    <row r="517" ht="12">
      <c r="A517"/>
    </row>
    <row r="518" ht="12">
      <c r="A518"/>
    </row>
    <row r="519" ht="12">
      <c r="A519"/>
    </row>
    <row r="520" ht="12">
      <c r="A520"/>
    </row>
    <row r="521" ht="12">
      <c r="A521"/>
    </row>
    <row r="522" ht="12">
      <c r="A522"/>
    </row>
    <row r="523" ht="12">
      <c r="A523"/>
    </row>
    <row r="524" ht="12">
      <c r="A524"/>
    </row>
    <row r="525" ht="12">
      <c r="A5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57"/>
  <sheetViews>
    <sheetView defaultGridColor="0" zoomScale="125" zoomScaleNormal="125" colorId="8" workbookViewId="0" topLeftCell="A1">
      <selection activeCell="A25" sqref="A25:A33"/>
    </sheetView>
  </sheetViews>
  <sheetFormatPr defaultColWidth="9.00390625" defaultRowHeight="12"/>
  <cols>
    <col min="1" max="37" width="11.375" style="0" customWidth="1"/>
    <col min="38" max="51" width="13.25390625" style="0" customWidth="1"/>
    <col min="52" max="52" width="11.375" style="0" customWidth="1"/>
    <col min="53" max="53" width="15.25390625" style="0" customWidth="1"/>
    <col min="54" max="16384" width="11.375" style="0" customWidth="1"/>
  </cols>
  <sheetData>
    <row r="1" spans="1:53" ht="12.75">
      <c r="A1" s="30" t="s">
        <v>42</v>
      </c>
      <c r="B1" s="1"/>
      <c r="C1" s="1"/>
      <c r="D1" s="1"/>
      <c r="E1" s="1"/>
      <c r="F1" s="1"/>
      <c r="G1" s="1">
        <f>0.568-0.27</f>
        <v>0.29799999999999993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>
      <c r="A2" s="1"/>
      <c r="B2" s="72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" t="s">
        <v>155</v>
      </c>
      <c r="BA2" s="1"/>
    </row>
    <row r="3" spans="1:55" ht="12.75">
      <c r="A3" s="3" t="s">
        <v>196</v>
      </c>
      <c r="B3" s="3" t="s">
        <v>83</v>
      </c>
      <c r="C3" s="3"/>
      <c r="D3" s="3" t="s">
        <v>141</v>
      </c>
      <c r="E3" s="3" t="s">
        <v>84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 t="s">
        <v>157</v>
      </c>
      <c r="N3" s="3">
        <f aca="true" t="shared" si="0" ref="N3:U3">F3</f>
        <v>2003</v>
      </c>
      <c r="O3" s="3">
        <f t="shared" si="0"/>
        <v>2004</v>
      </c>
      <c r="P3" s="3">
        <f t="shared" si="0"/>
        <v>2005</v>
      </c>
      <c r="Q3" s="3">
        <f t="shared" si="0"/>
        <v>2006</v>
      </c>
      <c r="R3" s="3">
        <f t="shared" si="0"/>
        <v>2007</v>
      </c>
      <c r="S3" s="3">
        <f t="shared" si="0"/>
        <v>2008</v>
      </c>
      <c r="T3" s="3">
        <f t="shared" si="0"/>
        <v>2009</v>
      </c>
      <c r="U3" s="3" t="str">
        <f t="shared" si="0"/>
        <v>2011-2013</v>
      </c>
      <c r="V3" s="3">
        <f aca="true" t="shared" si="1" ref="V3:AC3">F3</f>
        <v>2003</v>
      </c>
      <c r="W3" s="3">
        <f t="shared" si="1"/>
        <v>2004</v>
      </c>
      <c r="X3" s="3">
        <f t="shared" si="1"/>
        <v>2005</v>
      </c>
      <c r="Y3" s="3">
        <f t="shared" si="1"/>
        <v>2006</v>
      </c>
      <c r="Z3" s="3">
        <f t="shared" si="1"/>
        <v>2007</v>
      </c>
      <c r="AA3" s="3">
        <f t="shared" si="1"/>
        <v>2008</v>
      </c>
      <c r="AB3" s="3">
        <f t="shared" si="1"/>
        <v>2009</v>
      </c>
      <c r="AC3" s="4" t="str">
        <f t="shared" si="1"/>
        <v>2011-2013</v>
      </c>
      <c r="AD3" s="3">
        <f aca="true" t="shared" si="2" ref="AD3:AK3">F3</f>
        <v>2003</v>
      </c>
      <c r="AE3" s="3">
        <f t="shared" si="2"/>
        <v>2004</v>
      </c>
      <c r="AF3" s="3">
        <f t="shared" si="2"/>
        <v>2005</v>
      </c>
      <c r="AG3" s="3">
        <f t="shared" si="2"/>
        <v>2006</v>
      </c>
      <c r="AH3" s="3">
        <f t="shared" si="2"/>
        <v>2007</v>
      </c>
      <c r="AI3" s="3">
        <f t="shared" si="2"/>
        <v>2008</v>
      </c>
      <c r="AJ3" s="3">
        <f t="shared" si="2"/>
        <v>2009</v>
      </c>
      <c r="AK3" s="3" t="str">
        <f t="shared" si="2"/>
        <v>2011-2013</v>
      </c>
      <c r="AL3" s="3">
        <f aca="true" t="shared" si="3" ref="AL3:AS3">F3</f>
        <v>2003</v>
      </c>
      <c r="AM3" s="3">
        <f t="shared" si="3"/>
        <v>2004</v>
      </c>
      <c r="AN3" s="3">
        <f t="shared" si="3"/>
        <v>2005</v>
      </c>
      <c r="AO3" s="3">
        <f t="shared" si="3"/>
        <v>2006</v>
      </c>
      <c r="AP3" s="3">
        <f t="shared" si="3"/>
        <v>2007</v>
      </c>
      <c r="AQ3" s="3">
        <f t="shared" si="3"/>
        <v>2008</v>
      </c>
      <c r="AR3" s="3">
        <f t="shared" si="3"/>
        <v>2009</v>
      </c>
      <c r="AS3" s="3" t="str">
        <f t="shared" si="3"/>
        <v>2011-2013</v>
      </c>
      <c r="AT3" s="3" t="s">
        <v>85</v>
      </c>
      <c r="AU3" s="3" t="s">
        <v>122</v>
      </c>
      <c r="AV3" s="3" t="s">
        <v>85</v>
      </c>
      <c r="AW3" s="3" t="s">
        <v>122</v>
      </c>
      <c r="AX3" s="3" t="s">
        <v>85</v>
      </c>
      <c r="AY3" s="3" t="s">
        <v>122</v>
      </c>
      <c r="AZ3" s="47">
        <v>2009</v>
      </c>
      <c r="BA3" s="3" t="s">
        <v>155</v>
      </c>
      <c r="BB3" s="3" t="s">
        <v>116</v>
      </c>
      <c r="BC3" s="3" t="s">
        <v>117</v>
      </c>
    </row>
    <row r="4" spans="1:53" ht="12.75">
      <c r="A4" s="3" t="s">
        <v>123</v>
      </c>
      <c r="B4" s="3" t="s">
        <v>88</v>
      </c>
      <c r="C4" s="3" t="s">
        <v>86</v>
      </c>
      <c r="D4" s="3" t="s">
        <v>19</v>
      </c>
      <c r="E4" s="3" t="s">
        <v>141</v>
      </c>
      <c r="F4" s="3" t="s">
        <v>142</v>
      </c>
      <c r="G4" s="3" t="s">
        <v>142</v>
      </c>
      <c r="H4" s="3" t="s">
        <v>142</v>
      </c>
      <c r="I4" s="3" t="s">
        <v>142</v>
      </c>
      <c r="J4" s="3" t="s">
        <v>142</v>
      </c>
      <c r="K4" s="3" t="s">
        <v>142</v>
      </c>
      <c r="L4" s="3" t="s">
        <v>142</v>
      </c>
      <c r="M4" s="3" t="s">
        <v>142</v>
      </c>
      <c r="N4" s="3" t="s">
        <v>143</v>
      </c>
      <c r="O4" s="3" t="s">
        <v>143</v>
      </c>
      <c r="P4" s="3" t="s">
        <v>143</v>
      </c>
      <c r="Q4" s="3" t="s">
        <v>143</v>
      </c>
      <c r="R4" s="3" t="s">
        <v>143</v>
      </c>
      <c r="S4" s="3" t="s">
        <v>143</v>
      </c>
      <c r="T4" s="3" t="s">
        <v>143</v>
      </c>
      <c r="U4" s="3" t="s">
        <v>143</v>
      </c>
      <c r="V4" s="3" t="s">
        <v>53</v>
      </c>
      <c r="W4" s="4" t="s">
        <v>53</v>
      </c>
      <c r="X4" s="4" t="s">
        <v>53</v>
      </c>
      <c r="Y4" s="4" t="s">
        <v>53</v>
      </c>
      <c r="Z4" s="4" t="s">
        <v>53</v>
      </c>
      <c r="AA4" s="4" t="s">
        <v>53</v>
      </c>
      <c r="AB4" s="4" t="s">
        <v>53</v>
      </c>
      <c r="AC4" s="4" t="s">
        <v>53</v>
      </c>
      <c r="AD4" s="3" t="s">
        <v>54</v>
      </c>
      <c r="AE4" s="3" t="s">
        <v>54</v>
      </c>
      <c r="AF4" s="3" t="s">
        <v>54</v>
      </c>
      <c r="AG4" s="3" t="s">
        <v>54</v>
      </c>
      <c r="AH4" s="3" t="s">
        <v>54</v>
      </c>
      <c r="AI4" s="3" t="s">
        <v>54</v>
      </c>
      <c r="AJ4" s="3" t="s">
        <v>54</v>
      </c>
      <c r="AK4" s="3" t="s">
        <v>54</v>
      </c>
      <c r="AL4" s="3" t="s">
        <v>55</v>
      </c>
      <c r="AM4" s="3" t="s">
        <v>55</v>
      </c>
      <c r="AN4" s="3" t="s">
        <v>55</v>
      </c>
      <c r="AO4" s="3" t="s">
        <v>55</v>
      </c>
      <c r="AP4" s="3" t="s">
        <v>55</v>
      </c>
      <c r="AQ4" s="3" t="s">
        <v>55</v>
      </c>
      <c r="AR4" s="3" t="s">
        <v>55</v>
      </c>
      <c r="AS4" s="3" t="s">
        <v>55</v>
      </c>
      <c r="AT4" s="3" t="s">
        <v>56</v>
      </c>
      <c r="AU4" s="3" t="s">
        <v>56</v>
      </c>
      <c r="AV4" s="3" t="s">
        <v>80</v>
      </c>
      <c r="AW4" s="3" t="s">
        <v>80</v>
      </c>
      <c r="AX4" s="3" t="s">
        <v>95</v>
      </c>
      <c r="AY4" s="3" t="s">
        <v>95</v>
      </c>
      <c r="AZ4" s="3" t="s">
        <v>142</v>
      </c>
      <c r="BA4" s="3" t="s">
        <v>96</v>
      </c>
    </row>
    <row r="5" spans="1:55" ht="12.75">
      <c r="A5" s="1" t="s">
        <v>33</v>
      </c>
      <c r="B5" s="58">
        <f>'$perShare'!F32</f>
        <v>30.21466666666667</v>
      </c>
      <c r="C5" s="1">
        <v>0.75</v>
      </c>
      <c r="D5" s="3" t="s">
        <v>115</v>
      </c>
      <c r="E5" s="1">
        <v>0.42</v>
      </c>
      <c r="F5" s="1">
        <v>2.08</v>
      </c>
      <c r="G5" s="1">
        <v>2.28</v>
      </c>
      <c r="H5" s="1">
        <v>2.48</v>
      </c>
      <c r="I5" s="1">
        <v>2.72</v>
      </c>
      <c r="J5" s="1">
        <v>2.72</v>
      </c>
      <c r="K5" s="1">
        <v>2.7</v>
      </c>
      <c r="L5" s="1">
        <v>2.8</v>
      </c>
      <c r="M5" s="1">
        <v>3.15</v>
      </c>
      <c r="N5" s="1">
        <v>1.11</v>
      </c>
      <c r="O5" s="1">
        <v>1.15</v>
      </c>
      <c r="P5" s="1">
        <v>1.3</v>
      </c>
      <c r="Q5" s="1">
        <v>1.48</v>
      </c>
      <c r="R5" s="1">
        <v>1.64</v>
      </c>
      <c r="S5" s="1">
        <v>1.68</v>
      </c>
      <c r="T5" s="1">
        <v>1.72</v>
      </c>
      <c r="U5" s="1">
        <v>1.84</v>
      </c>
      <c r="V5" s="1">
        <v>0.14</v>
      </c>
      <c r="W5" s="1">
        <v>0.11</v>
      </c>
      <c r="X5" s="1">
        <v>0.129</v>
      </c>
      <c r="Y5" s="1">
        <v>0.132</v>
      </c>
      <c r="Z5" s="1">
        <v>0.127</v>
      </c>
      <c r="AA5" s="1">
        <v>0.12</v>
      </c>
      <c r="AB5" s="1">
        <v>0.125</v>
      </c>
      <c r="AC5" s="1">
        <v>0.135</v>
      </c>
      <c r="AD5" s="1">
        <v>14.66</v>
      </c>
      <c r="AE5" s="1">
        <v>18.06</v>
      </c>
      <c r="AF5" s="1">
        <v>19.29</v>
      </c>
      <c r="AG5" s="1">
        <v>20.71</v>
      </c>
      <c r="AH5" s="1">
        <v>21.74</v>
      </c>
      <c r="AI5" s="1">
        <v>22.6</v>
      </c>
      <c r="AJ5" s="1">
        <v>22.75</v>
      </c>
      <c r="AK5" s="1">
        <v>23.15</v>
      </c>
      <c r="AL5" s="1">
        <v>64.5</v>
      </c>
      <c r="AM5" s="1">
        <v>76.7</v>
      </c>
      <c r="AN5" s="1">
        <v>77.7</v>
      </c>
      <c r="AO5" s="1">
        <v>77.7</v>
      </c>
      <c r="AP5" s="1">
        <v>76.4</v>
      </c>
      <c r="AQ5" s="1">
        <v>77</v>
      </c>
      <c r="AR5" s="1">
        <v>78</v>
      </c>
      <c r="AS5" s="1">
        <v>80</v>
      </c>
      <c r="AT5" s="1">
        <v>0.15</v>
      </c>
      <c r="AU5" s="1">
        <v>0.03</v>
      </c>
      <c r="AV5" s="1">
        <v>0.04</v>
      </c>
      <c r="AW5" s="1">
        <v>0.04</v>
      </c>
      <c r="AX5" s="1">
        <v>0.105</v>
      </c>
      <c r="AY5" s="1">
        <v>0.02</v>
      </c>
      <c r="AZ5" s="1">
        <f>L5</f>
        <v>2.8</v>
      </c>
      <c r="BA5" s="1">
        <f>Earnings!I6</f>
        <v>0.0425</v>
      </c>
      <c r="BB5">
        <f>AVERAGE(0.066,0.056,0.063,0.063,0.053)</f>
        <v>0.0602</v>
      </c>
      <c r="BC5">
        <v>0.055</v>
      </c>
    </row>
    <row r="6" spans="1:55" s="54" customFormat="1" ht="12.75">
      <c r="A6" s="1" t="s">
        <v>34</v>
      </c>
      <c r="B6" s="58">
        <f>'$perShare'!F67</f>
        <v>34.408</v>
      </c>
      <c r="C6" s="1">
        <v>0.7</v>
      </c>
      <c r="D6" s="3" t="s">
        <v>161</v>
      </c>
      <c r="E6" s="1">
        <v>0.465</v>
      </c>
      <c r="F6" s="1">
        <v>2.11</v>
      </c>
      <c r="G6" s="1">
        <v>2.22</v>
      </c>
      <c r="H6" s="1">
        <v>2.29</v>
      </c>
      <c r="I6" s="1">
        <v>2.87</v>
      </c>
      <c r="J6" s="1">
        <v>2.98</v>
      </c>
      <c r="K6" s="1">
        <v>2.25</v>
      </c>
      <c r="L6" s="63">
        <v>2.5</v>
      </c>
      <c r="M6" s="1">
        <v>3.45</v>
      </c>
      <c r="N6" s="1">
        <v>1.86</v>
      </c>
      <c r="O6" s="1">
        <v>1.86</v>
      </c>
      <c r="P6" s="1">
        <v>1.86</v>
      </c>
      <c r="Q6" s="1">
        <v>1.86</v>
      </c>
      <c r="R6" s="1">
        <v>1.86</v>
      </c>
      <c r="S6" s="1">
        <v>1.86</v>
      </c>
      <c r="T6" s="1">
        <v>1.86</v>
      </c>
      <c r="U6" s="1">
        <v>1.86</v>
      </c>
      <c r="V6" s="1">
        <v>0.123</v>
      </c>
      <c r="W6" s="1">
        <v>0.131</v>
      </c>
      <c r="X6" s="1">
        <v>0.125</v>
      </c>
      <c r="Y6" s="1">
        <v>0.147</v>
      </c>
      <c r="Z6" s="1">
        <v>0.143</v>
      </c>
      <c r="AA6" s="1">
        <v>0.115</v>
      </c>
      <c r="AB6" s="1">
        <v>0.115</v>
      </c>
      <c r="AC6" s="1">
        <v>0.135</v>
      </c>
      <c r="AD6" s="1">
        <v>17.13</v>
      </c>
      <c r="AE6" s="1">
        <v>16.99</v>
      </c>
      <c r="AF6" s="1">
        <v>18.36</v>
      </c>
      <c r="AG6" s="1">
        <v>19.43</v>
      </c>
      <c r="AH6" s="1">
        <v>20.58</v>
      </c>
      <c r="AI6" s="1">
        <v>20.75</v>
      </c>
      <c r="AJ6" s="1">
        <v>21.35</v>
      </c>
      <c r="AK6" s="1">
        <v>25.4</v>
      </c>
      <c r="AL6" s="1">
        <v>44.04</v>
      </c>
      <c r="AM6" s="1">
        <v>44.1</v>
      </c>
      <c r="AN6" s="1">
        <v>44.18</v>
      </c>
      <c r="AO6" s="1">
        <v>44.9</v>
      </c>
      <c r="AP6" s="1">
        <v>45.9</v>
      </c>
      <c r="AQ6" s="1">
        <v>45</v>
      </c>
      <c r="AR6" s="1">
        <v>45</v>
      </c>
      <c r="AS6" s="1">
        <v>45</v>
      </c>
      <c r="AT6" s="1">
        <v>-0.015</v>
      </c>
      <c r="AU6" s="1">
        <v>0.04</v>
      </c>
      <c r="AV6" s="1">
        <v>0.01</v>
      </c>
      <c r="AW6" s="1">
        <v>0</v>
      </c>
      <c r="AX6" s="1">
        <v>0.04</v>
      </c>
      <c r="AY6" s="1">
        <v>0.045</v>
      </c>
      <c r="AZ6" s="1">
        <f>Earnings!E7</f>
        <v>2.52</v>
      </c>
      <c r="BA6" s="1">
        <f>Earnings!I7</f>
        <v>0.0285</v>
      </c>
      <c r="BB6" s="54">
        <f>AVERAGE(0.015,0.021,0.023,0.052,0.054)</f>
        <v>0.033</v>
      </c>
      <c r="BC6" s="54">
        <v>0.065</v>
      </c>
    </row>
    <row r="7" spans="1:55" s="54" customFormat="1" ht="12.75">
      <c r="A7" s="1" t="s">
        <v>35</v>
      </c>
      <c r="B7" s="62">
        <f>'$perShare'!F102</f>
        <v>10.988666666666665</v>
      </c>
      <c r="C7" s="63">
        <v>0.75</v>
      </c>
      <c r="D7" s="60" t="s">
        <v>161</v>
      </c>
      <c r="E7" s="63">
        <v>0.23</v>
      </c>
      <c r="F7" s="63">
        <v>1.59</v>
      </c>
      <c r="G7" s="63">
        <v>1.62</v>
      </c>
      <c r="H7" s="63">
        <v>1.08</v>
      </c>
      <c r="I7" s="63">
        <v>1.14</v>
      </c>
      <c r="J7" s="63">
        <v>1.14</v>
      </c>
      <c r="K7" s="63">
        <v>1.25</v>
      </c>
      <c r="L7" s="63">
        <v>1.25</v>
      </c>
      <c r="M7" s="63">
        <v>1.5</v>
      </c>
      <c r="N7" s="63">
        <v>1.1</v>
      </c>
      <c r="O7" s="63">
        <v>0.92</v>
      </c>
      <c r="P7" s="63">
        <v>0.92</v>
      </c>
      <c r="Q7" s="63">
        <v>0.92</v>
      </c>
      <c r="R7" s="63">
        <v>0.92</v>
      </c>
      <c r="S7" s="63">
        <v>0.92</v>
      </c>
      <c r="T7" s="63">
        <v>0.92</v>
      </c>
      <c r="U7" s="63">
        <v>0.92</v>
      </c>
      <c r="V7" s="63">
        <v>0.094</v>
      </c>
      <c r="W7" s="63">
        <v>0.09</v>
      </c>
      <c r="X7" s="63">
        <v>0.06</v>
      </c>
      <c r="Y7" s="63">
        <v>0.063</v>
      </c>
      <c r="Z7" s="63">
        <v>0.061</v>
      </c>
      <c r="AA7" s="63">
        <v>0.065</v>
      </c>
      <c r="AB7" s="63">
        <v>0.065</v>
      </c>
      <c r="AC7" s="63">
        <v>0.075</v>
      </c>
      <c r="AD7" s="63">
        <v>16.81</v>
      </c>
      <c r="AE7" s="63">
        <v>17.69</v>
      </c>
      <c r="AF7" s="63">
        <v>18.09</v>
      </c>
      <c r="AG7" s="63">
        <v>18.32</v>
      </c>
      <c r="AH7" s="63">
        <v>18.52</v>
      </c>
      <c r="AI7" s="63">
        <v>18.75</v>
      </c>
      <c r="AJ7" s="63">
        <v>19.05</v>
      </c>
      <c r="AK7" s="63">
        <v>20.4</v>
      </c>
      <c r="AL7" s="63">
        <v>262.63</v>
      </c>
      <c r="AM7" s="63">
        <v>270.63</v>
      </c>
      <c r="AN7" s="63">
        <v>272.62</v>
      </c>
      <c r="AO7" s="63">
        <v>273.65</v>
      </c>
      <c r="AP7" s="63">
        <v>274.18</v>
      </c>
      <c r="AQ7" s="63">
        <v>274.5</v>
      </c>
      <c r="AR7" s="63">
        <v>275</v>
      </c>
      <c r="AS7" s="63">
        <v>276.5</v>
      </c>
      <c r="AT7" s="63">
        <v>-0.055</v>
      </c>
      <c r="AU7" s="63">
        <v>0.05</v>
      </c>
      <c r="AV7" s="63">
        <v>-0.025</v>
      </c>
      <c r="AW7" s="63">
        <v>0.015</v>
      </c>
      <c r="AX7" s="63">
        <v>0.02</v>
      </c>
      <c r="AY7" s="63">
        <v>0.02</v>
      </c>
      <c r="AZ7" s="1">
        <f>Earnings!E8</f>
        <v>1.2</v>
      </c>
      <c r="BA7" s="1">
        <f>Earnings!I8</f>
        <v>0.016</v>
      </c>
      <c r="BB7" s="54">
        <f>AVERAGE(0.03,0.039,0.009,0.012,0.012)</f>
        <v>0.020399999999999998</v>
      </c>
      <c r="BC7" s="54">
        <v>0.025</v>
      </c>
    </row>
    <row r="8" spans="1:55" s="54" customFormat="1" ht="12.75">
      <c r="A8" s="1" t="s">
        <v>36</v>
      </c>
      <c r="B8" s="62">
        <f>'$perShare'!F137</f>
        <v>43.47533333333333</v>
      </c>
      <c r="C8" s="63">
        <v>0.6</v>
      </c>
      <c r="D8" s="60" t="s">
        <v>161</v>
      </c>
      <c r="E8" s="63">
        <v>0.395</v>
      </c>
      <c r="F8" s="63">
        <v>1.76</v>
      </c>
      <c r="G8" s="63">
        <v>1.86</v>
      </c>
      <c r="H8" s="63">
        <v>2.11</v>
      </c>
      <c r="I8" s="63">
        <v>2.35</v>
      </c>
      <c r="J8" s="63">
        <v>2.76</v>
      </c>
      <c r="K8" s="63">
        <v>2.55</v>
      </c>
      <c r="L8" s="63">
        <v>2.8</v>
      </c>
      <c r="M8" s="63">
        <v>3.35</v>
      </c>
      <c r="N8" s="63">
        <v>1.27</v>
      </c>
      <c r="O8" s="63">
        <v>1.3</v>
      </c>
      <c r="P8" s="63">
        <v>1.32</v>
      </c>
      <c r="Q8" s="63">
        <v>1.39</v>
      </c>
      <c r="R8" s="63">
        <v>1.44</v>
      </c>
      <c r="S8" s="63">
        <v>1.52</v>
      </c>
      <c r="T8" s="63">
        <v>1.6</v>
      </c>
      <c r="U8" s="63">
        <v>1.88</v>
      </c>
      <c r="V8" s="63">
        <v>0.09</v>
      </c>
      <c r="W8" s="63">
        <v>0.089</v>
      </c>
      <c r="X8" s="63">
        <v>0.099</v>
      </c>
      <c r="Y8" s="63">
        <v>0.109</v>
      </c>
      <c r="Z8" s="63">
        <v>0.125</v>
      </c>
      <c r="AA8" s="63">
        <v>0.115</v>
      </c>
      <c r="AB8" s="63">
        <v>0.115</v>
      </c>
      <c r="AC8" s="63">
        <v>0.11</v>
      </c>
      <c r="AD8" s="63">
        <v>19.52</v>
      </c>
      <c r="AE8" s="63">
        <v>20.64</v>
      </c>
      <c r="AF8" s="63">
        <v>21.28</v>
      </c>
      <c r="AG8" s="63">
        <v>22.01</v>
      </c>
      <c r="AH8" s="63">
        <v>22.52</v>
      </c>
      <c r="AI8" s="63">
        <v>23.65</v>
      </c>
      <c r="AJ8" s="63">
        <v>23.75</v>
      </c>
      <c r="AK8" s="63">
        <v>26.5</v>
      </c>
      <c r="AL8" s="63">
        <v>25.94</v>
      </c>
      <c r="AM8" s="63">
        <v>27.55</v>
      </c>
      <c r="AN8" s="63">
        <v>27.58</v>
      </c>
      <c r="AO8" s="63">
        <v>27.24</v>
      </c>
      <c r="AP8" s="63">
        <v>26.41</v>
      </c>
      <c r="AQ8" s="63">
        <v>26.5</v>
      </c>
      <c r="AR8" s="63">
        <v>26.5</v>
      </c>
      <c r="AS8" s="63">
        <v>28</v>
      </c>
      <c r="AT8" s="63">
        <v>0.065</v>
      </c>
      <c r="AU8" s="63">
        <v>0.07</v>
      </c>
      <c r="AV8" s="63">
        <v>0.02</v>
      </c>
      <c r="AW8" s="63">
        <v>0.055</v>
      </c>
      <c r="AX8" s="63">
        <v>0.035</v>
      </c>
      <c r="AY8" s="63">
        <v>0.035</v>
      </c>
      <c r="AZ8" s="1">
        <f>Earnings!E9</f>
        <v>2.72</v>
      </c>
      <c r="BA8" s="1">
        <f>Earnings!I9</f>
        <v>0.0475</v>
      </c>
      <c r="BB8" s="54">
        <f>AVERAGE(0.026,0.027,0.037,0.045,0.06)</f>
        <v>0.039</v>
      </c>
      <c r="BC8" s="54">
        <v>0.05</v>
      </c>
    </row>
    <row r="9" spans="1:55" s="54" customFormat="1" ht="12.75">
      <c r="A9" s="1" t="s">
        <v>37</v>
      </c>
      <c r="B9" s="62">
        <f>'$perShare'!F172</f>
        <v>29.67566666666666</v>
      </c>
      <c r="C9" s="63">
        <v>0.7</v>
      </c>
      <c r="D9" s="60" t="s">
        <v>115</v>
      </c>
      <c r="E9" s="63">
        <v>0.26</v>
      </c>
      <c r="F9" s="63">
        <v>1.11</v>
      </c>
      <c r="G9" s="63">
        <v>1.27</v>
      </c>
      <c r="H9" s="63">
        <v>1.32</v>
      </c>
      <c r="I9" s="63">
        <v>1.27</v>
      </c>
      <c r="J9" s="63">
        <v>1.4</v>
      </c>
      <c r="K9" s="63">
        <v>1.55</v>
      </c>
      <c r="L9" s="63">
        <v>1.6</v>
      </c>
      <c r="M9" s="63">
        <v>2.05</v>
      </c>
      <c r="N9" s="63">
        <v>0.82</v>
      </c>
      <c r="O9" s="63">
        <v>0.85</v>
      </c>
      <c r="P9" s="63">
        <v>0.91</v>
      </c>
      <c r="Q9" s="63">
        <v>0.95</v>
      </c>
      <c r="R9" s="63">
        <v>0.99</v>
      </c>
      <c r="S9" s="63">
        <v>1.03</v>
      </c>
      <c r="T9" s="63">
        <v>1.07</v>
      </c>
      <c r="U9" s="63">
        <v>1.19</v>
      </c>
      <c r="V9" s="63">
        <v>0.118</v>
      </c>
      <c r="W9" s="63">
        <v>0.111</v>
      </c>
      <c r="X9" s="63">
        <v>0.115</v>
      </c>
      <c r="Y9" s="63">
        <v>0.11</v>
      </c>
      <c r="Z9" s="63">
        <v>0.119</v>
      </c>
      <c r="AA9" s="63">
        <v>0.125</v>
      </c>
      <c r="AB9" s="63">
        <v>0.125</v>
      </c>
      <c r="AC9" s="63">
        <v>0.135</v>
      </c>
      <c r="AD9" s="63">
        <v>9.36</v>
      </c>
      <c r="AE9" s="63">
        <v>11.15</v>
      </c>
      <c r="AF9" s="63">
        <v>11.53</v>
      </c>
      <c r="AG9" s="63">
        <v>11.83</v>
      </c>
      <c r="AH9" s="63">
        <v>11.99</v>
      </c>
      <c r="AI9" s="63">
        <v>12.6</v>
      </c>
      <c r="AJ9" s="63">
        <v>13.15</v>
      </c>
      <c r="AK9" s="63">
        <v>15.45</v>
      </c>
      <c r="AL9" s="63">
        <v>67.31</v>
      </c>
      <c r="AM9" s="63">
        <v>76.67</v>
      </c>
      <c r="AN9" s="63">
        <v>76.7</v>
      </c>
      <c r="AO9" s="63">
        <v>74.61</v>
      </c>
      <c r="AP9" s="63">
        <v>73.23</v>
      </c>
      <c r="AQ9" s="63">
        <v>73.5</v>
      </c>
      <c r="AR9" s="63">
        <v>73.5</v>
      </c>
      <c r="AS9" s="63">
        <v>73</v>
      </c>
      <c r="AT9" s="63">
        <v>0.06</v>
      </c>
      <c r="AU9" s="63">
        <v>0.075</v>
      </c>
      <c r="AV9" s="63">
        <v>0.045</v>
      </c>
      <c r="AW9" s="63">
        <v>0.04</v>
      </c>
      <c r="AX9" s="63">
        <v>0.065</v>
      </c>
      <c r="AY9" s="63">
        <v>0.045</v>
      </c>
      <c r="AZ9" s="1">
        <f>Earnings!E10</f>
        <v>1.72</v>
      </c>
      <c r="BA9" s="1">
        <f>Earnings!I10</f>
        <v>0.0713</v>
      </c>
      <c r="BB9" s="54">
        <f>AVERAGE(0.031,0.037,0.036,0.028,0.035)</f>
        <v>0.0334</v>
      </c>
      <c r="BC9" s="54">
        <v>0.055</v>
      </c>
    </row>
    <row r="10" spans="1:55" ht="12.75">
      <c r="A10" s="1" t="s">
        <v>38</v>
      </c>
      <c r="B10" s="58">
        <f>'$perShare'!F207</f>
        <v>37.17166666666667</v>
      </c>
      <c r="C10" s="1">
        <v>0.75</v>
      </c>
      <c r="D10" s="3" t="s">
        <v>161</v>
      </c>
      <c r="E10" s="1">
        <v>0.298</v>
      </c>
      <c r="F10" s="1">
        <v>1.37</v>
      </c>
      <c r="G10" s="1">
        <v>1.58</v>
      </c>
      <c r="H10" s="1">
        <v>1.71</v>
      </c>
      <c r="I10" s="1">
        <v>2.46</v>
      </c>
      <c r="J10" s="1">
        <v>2.09</v>
      </c>
      <c r="K10" s="1">
        <v>2.3</v>
      </c>
      <c r="L10" s="1">
        <v>2.5</v>
      </c>
      <c r="M10" s="1">
        <v>3</v>
      </c>
      <c r="N10" s="1">
        <v>0.78</v>
      </c>
      <c r="O10" s="1">
        <v>0.82</v>
      </c>
      <c r="P10" s="1">
        <v>0.86</v>
      </c>
      <c r="Q10" s="1">
        <v>0.92</v>
      </c>
      <c r="R10" s="1">
        <v>1.01</v>
      </c>
      <c r="S10" s="1">
        <v>1.11</v>
      </c>
      <c r="T10" s="1">
        <v>1.2</v>
      </c>
      <c r="U10" s="1">
        <v>1.3</v>
      </c>
      <c r="V10" s="1">
        <v>0.116</v>
      </c>
      <c r="W10" s="1">
        <v>0.125</v>
      </c>
      <c r="X10" s="1">
        <v>0.124</v>
      </c>
      <c r="Y10" s="1">
        <v>0.163</v>
      </c>
      <c r="Z10" s="1">
        <v>0.128</v>
      </c>
      <c r="AA10" s="1">
        <v>0.135</v>
      </c>
      <c r="AB10" s="1">
        <v>0.145</v>
      </c>
      <c r="AC10" s="1">
        <v>0.16</v>
      </c>
      <c r="AD10" s="1">
        <v>11.26</v>
      </c>
      <c r="AE10" s="1">
        <v>12.41</v>
      </c>
      <c r="AF10" s="1">
        <v>13.5</v>
      </c>
      <c r="AG10" s="1">
        <v>15.11</v>
      </c>
      <c r="AH10" s="1">
        <v>16.25</v>
      </c>
      <c r="AI10" s="1">
        <v>17.35</v>
      </c>
      <c r="AJ10" s="1">
        <v>17.75</v>
      </c>
      <c r="AK10" s="1">
        <v>19.55</v>
      </c>
      <c r="AL10" s="1">
        <v>26.46</v>
      </c>
      <c r="AM10" s="1">
        <v>27.76</v>
      </c>
      <c r="AN10" s="1">
        <v>28.98</v>
      </c>
      <c r="AO10" s="1">
        <v>29.33</v>
      </c>
      <c r="AP10" s="1">
        <v>29.61</v>
      </c>
      <c r="AQ10" s="1">
        <v>30</v>
      </c>
      <c r="AR10" s="1">
        <v>31</v>
      </c>
      <c r="AS10" s="1">
        <v>32</v>
      </c>
      <c r="AT10" s="1">
        <v>0.125</v>
      </c>
      <c r="AU10" s="1">
        <v>0.06</v>
      </c>
      <c r="AV10" s="1">
        <v>0.045</v>
      </c>
      <c r="AW10" s="1">
        <v>0.055</v>
      </c>
      <c r="AX10" s="1">
        <v>0.125</v>
      </c>
      <c r="AY10" s="1">
        <v>0.045</v>
      </c>
      <c r="AZ10" s="1">
        <f>Earnings!E11</f>
        <v>2.4</v>
      </c>
      <c r="BA10" s="1">
        <f>Earnings!I11</f>
        <v>0.075</v>
      </c>
      <c r="BB10">
        <f>AVERAGE(0.05,0.059,0.062,0.102,0.067)</f>
        <v>0.06799999999999999</v>
      </c>
      <c r="BC10" s="54">
        <v>0.095</v>
      </c>
    </row>
    <row r="11" spans="1:55" s="54" customFormat="1" ht="12.75">
      <c r="A11" s="1" t="s">
        <v>39</v>
      </c>
      <c r="B11" s="62">
        <f>'$perShare'!F242</f>
        <v>24.576666666666668</v>
      </c>
      <c r="C11" s="63">
        <v>0.75</v>
      </c>
      <c r="D11" s="60" t="s">
        <v>115</v>
      </c>
      <c r="E11" s="63">
        <v>0.225</v>
      </c>
      <c r="F11" s="1">
        <v>1.13</v>
      </c>
      <c r="G11" s="1">
        <v>1.66</v>
      </c>
      <c r="H11" s="1">
        <v>1.25</v>
      </c>
      <c r="I11" s="1">
        <v>1.98</v>
      </c>
      <c r="J11" s="1">
        <v>1.95</v>
      </c>
      <c r="K11" s="1">
        <v>1.75</v>
      </c>
      <c r="L11" s="1">
        <v>2</v>
      </c>
      <c r="M11" s="1">
        <v>2.5</v>
      </c>
      <c r="N11" s="1">
        <v>0.82</v>
      </c>
      <c r="O11" s="1">
        <v>0.82</v>
      </c>
      <c r="P11" s="1">
        <v>0.82</v>
      </c>
      <c r="Q11" s="1">
        <v>0.82</v>
      </c>
      <c r="R11" s="1">
        <v>0.86</v>
      </c>
      <c r="S11" s="1">
        <v>0.9</v>
      </c>
      <c r="T11" s="1">
        <v>0.94</v>
      </c>
      <c r="U11" s="1">
        <v>1.06</v>
      </c>
      <c r="V11" s="1">
        <v>0.061</v>
      </c>
      <c r="W11" s="1">
        <v>0.083</v>
      </c>
      <c r="X11" s="1">
        <v>0.064</v>
      </c>
      <c r="Y11" s="1">
        <v>0.089</v>
      </c>
      <c r="Z11" s="1">
        <v>0.085</v>
      </c>
      <c r="AA11" s="1">
        <v>0.075</v>
      </c>
      <c r="AB11" s="1">
        <v>0.08</v>
      </c>
      <c r="AC11" s="1">
        <v>0.095</v>
      </c>
      <c r="AD11" s="1">
        <v>18.42</v>
      </c>
      <c r="AE11" s="1">
        <v>19.18</v>
      </c>
      <c r="AF11" s="1">
        <v>19.1</v>
      </c>
      <c r="AG11" s="1">
        <v>21.58</v>
      </c>
      <c r="AH11" s="1">
        <v>22.98</v>
      </c>
      <c r="AI11" s="1">
        <v>23.3</v>
      </c>
      <c r="AJ11" s="1">
        <v>24.45</v>
      </c>
      <c r="AK11" s="1">
        <v>26.55</v>
      </c>
      <c r="AL11" s="1">
        <v>34.23</v>
      </c>
      <c r="AM11" s="1">
        <v>36.79</v>
      </c>
      <c r="AN11" s="1">
        <v>39.33</v>
      </c>
      <c r="AO11" s="1">
        <v>41.77</v>
      </c>
      <c r="AP11" s="1">
        <v>42.81</v>
      </c>
      <c r="AQ11" s="1">
        <v>44</v>
      </c>
      <c r="AR11" s="1">
        <v>45</v>
      </c>
      <c r="AS11" s="1">
        <v>48</v>
      </c>
      <c r="AT11" s="1">
        <v>0.06</v>
      </c>
      <c r="AU11" s="1">
        <v>0.065</v>
      </c>
      <c r="AV11" s="1">
        <v>0</v>
      </c>
      <c r="AW11" s="1">
        <v>0.04</v>
      </c>
      <c r="AX11" s="1">
        <v>0.035</v>
      </c>
      <c r="AY11" s="1">
        <v>0.04</v>
      </c>
      <c r="AZ11" s="1">
        <f>Earnings!E12</f>
        <v>2.18</v>
      </c>
      <c r="BA11" s="1">
        <f>Earnings!I12</f>
        <v>0.06</v>
      </c>
      <c r="BB11" s="54">
        <f>AVERAGE(0.017,0.043,0.022,0.052,0.048)</f>
        <v>0.0364</v>
      </c>
      <c r="BC11" s="54">
        <v>0.055</v>
      </c>
    </row>
    <row r="12" spans="1:55" ht="12.75">
      <c r="A12" s="1" t="s">
        <v>40</v>
      </c>
      <c r="B12" s="58">
        <f>'$perShare'!F277</f>
        <v>31.78700000000001</v>
      </c>
      <c r="C12" s="1">
        <v>0.75</v>
      </c>
      <c r="D12" s="3" t="s">
        <v>115</v>
      </c>
      <c r="E12" s="1">
        <v>0.36</v>
      </c>
      <c r="F12" s="1">
        <v>2.3</v>
      </c>
      <c r="G12" s="1">
        <v>1.98</v>
      </c>
      <c r="H12" s="1">
        <v>2.11</v>
      </c>
      <c r="I12" s="1">
        <v>1.94</v>
      </c>
      <c r="J12" s="1">
        <v>2.1</v>
      </c>
      <c r="K12" s="1">
        <v>2.33</v>
      </c>
      <c r="L12" s="1">
        <v>2.4</v>
      </c>
      <c r="M12" s="1">
        <v>2.55</v>
      </c>
      <c r="N12" s="1">
        <v>1.28</v>
      </c>
      <c r="O12" s="1">
        <v>1.3</v>
      </c>
      <c r="P12" s="1">
        <v>1.32</v>
      </c>
      <c r="Q12" s="1">
        <v>1.34</v>
      </c>
      <c r="R12" s="1">
        <v>1.37</v>
      </c>
      <c r="S12" s="1">
        <v>1.42</v>
      </c>
      <c r="T12" s="1">
        <v>1.44</v>
      </c>
      <c r="U12" s="1">
        <v>1.56</v>
      </c>
      <c r="V12" s="1">
        <v>0.14</v>
      </c>
      <c r="W12" s="1">
        <v>0.117</v>
      </c>
      <c r="X12" s="1">
        <v>0.12</v>
      </c>
      <c r="Y12" s="1">
        <v>0.102</v>
      </c>
      <c r="Z12" s="1">
        <v>0.104</v>
      </c>
      <c r="AA12" s="1">
        <v>0.116</v>
      </c>
      <c r="AB12" s="1">
        <v>0.115</v>
      </c>
      <c r="AC12" s="1">
        <v>0.105</v>
      </c>
      <c r="AD12" s="1">
        <v>16.25</v>
      </c>
      <c r="AE12" s="1">
        <v>16.95</v>
      </c>
      <c r="AF12" s="1">
        <v>17.8</v>
      </c>
      <c r="AG12" s="1">
        <v>18.28</v>
      </c>
      <c r="AH12" s="1">
        <v>19.83</v>
      </c>
      <c r="AI12" s="1">
        <v>21.06</v>
      </c>
      <c r="AJ12" s="1">
        <v>22</v>
      </c>
      <c r="AK12" s="1">
        <v>25</v>
      </c>
      <c r="AL12" s="1">
        <v>48.63</v>
      </c>
      <c r="AM12" s="1">
        <v>48.67</v>
      </c>
      <c r="AN12" s="1">
        <v>48.65</v>
      </c>
      <c r="AO12" s="1">
        <v>48.89</v>
      </c>
      <c r="AP12" s="1">
        <v>49.45</v>
      </c>
      <c r="AQ12" s="1">
        <v>49.61</v>
      </c>
      <c r="AR12" s="1">
        <v>49.65</v>
      </c>
      <c r="AS12" s="1">
        <v>50</v>
      </c>
      <c r="AT12" s="1">
        <v>0.05</v>
      </c>
      <c r="AU12" s="1">
        <v>0.035</v>
      </c>
      <c r="AV12" s="1">
        <v>0.015</v>
      </c>
      <c r="AW12" s="1">
        <v>0.025</v>
      </c>
      <c r="AX12" s="1">
        <v>0.035</v>
      </c>
      <c r="AY12" s="1">
        <v>0.05</v>
      </c>
      <c r="AZ12" s="1">
        <f>Earnings!E13</f>
        <v>2.38</v>
      </c>
      <c r="BA12" s="1">
        <f>Earnings!I13</f>
        <v>0.04</v>
      </c>
      <c r="BB12">
        <f>AVERAGE(0.062,0.041,0.046,0.031,0.035)</f>
        <v>0.043000000000000003</v>
      </c>
      <c r="BC12" s="54">
        <v>0.04</v>
      </c>
    </row>
    <row r="13" spans="1:55" ht="12.75">
      <c r="A13" s="1" t="s">
        <v>41</v>
      </c>
      <c r="B13" s="58">
        <f>'$perShare'!F312</f>
        <v>30.599000000000004</v>
      </c>
      <c r="C13" s="1">
        <v>0.7</v>
      </c>
      <c r="D13" s="3" t="s">
        <v>161</v>
      </c>
      <c r="E13" s="1">
        <v>0.305</v>
      </c>
      <c r="F13" s="1">
        <v>1.76</v>
      </c>
      <c r="G13" s="1">
        <v>1.64</v>
      </c>
      <c r="H13" s="1">
        <v>1.77</v>
      </c>
      <c r="I13" s="1">
        <v>1.72</v>
      </c>
      <c r="J13" s="1">
        <v>1.94</v>
      </c>
      <c r="K13" s="1">
        <v>1.98</v>
      </c>
      <c r="L13" s="1" t="s">
        <v>188</v>
      </c>
      <c r="M13" s="1">
        <v>2.14</v>
      </c>
      <c r="N13" s="1">
        <v>1.1</v>
      </c>
      <c r="O13" s="1">
        <v>1.12</v>
      </c>
      <c r="P13" s="1">
        <v>1.14</v>
      </c>
      <c r="Q13" s="1">
        <v>1.16</v>
      </c>
      <c r="R13" s="1">
        <v>1.18</v>
      </c>
      <c r="S13" s="1">
        <v>1.2</v>
      </c>
      <c r="T13" s="1" t="s">
        <v>188</v>
      </c>
      <c r="U13" s="1" t="s">
        <v>188</v>
      </c>
      <c r="V13" s="1">
        <v>0.138</v>
      </c>
      <c r="W13" s="1">
        <v>0.122</v>
      </c>
      <c r="X13" s="1">
        <v>0.123</v>
      </c>
      <c r="Y13" s="1">
        <v>0.095</v>
      </c>
      <c r="Z13" s="1">
        <v>0.111</v>
      </c>
      <c r="AA13" s="1" t="s">
        <v>188</v>
      </c>
      <c r="AB13" s="1" t="s">
        <v>188</v>
      </c>
      <c r="AC13" s="1" t="s">
        <v>188</v>
      </c>
      <c r="AD13" s="1">
        <v>12.89</v>
      </c>
      <c r="AE13" s="1">
        <v>13.6</v>
      </c>
      <c r="AF13" s="1">
        <v>14.41</v>
      </c>
      <c r="AG13" s="1">
        <v>16.62</v>
      </c>
      <c r="AH13" s="1">
        <v>17.64</v>
      </c>
      <c r="AI13" s="1" t="s">
        <v>188</v>
      </c>
      <c r="AJ13" s="1" t="s">
        <v>188</v>
      </c>
      <c r="AK13" s="1" t="s">
        <v>188</v>
      </c>
      <c r="AL13" s="1">
        <v>5.66</v>
      </c>
      <c r="AM13" s="1">
        <v>5.73</v>
      </c>
      <c r="AN13" s="1">
        <v>5.88</v>
      </c>
      <c r="AO13" s="1">
        <v>6.69</v>
      </c>
      <c r="AP13" s="1">
        <v>6.78</v>
      </c>
      <c r="AQ13" s="1" t="s">
        <v>188</v>
      </c>
      <c r="AR13" s="1" t="s">
        <v>188</v>
      </c>
      <c r="AS13" s="1" t="s">
        <v>188</v>
      </c>
      <c r="AT13" s="1">
        <v>0.08</v>
      </c>
      <c r="AU13" s="1">
        <v>0.068</v>
      </c>
      <c r="AV13" s="1">
        <v>0.015</v>
      </c>
      <c r="AW13" s="1" t="s">
        <v>188</v>
      </c>
      <c r="AX13" s="1">
        <v>0.06</v>
      </c>
      <c r="AY13" s="1" t="s">
        <v>188</v>
      </c>
      <c r="AZ13" s="1">
        <f>Earnings!E14</f>
        <v>2.14</v>
      </c>
      <c r="BA13" s="1">
        <f>Earnings!I14</f>
        <v>0.051</v>
      </c>
      <c r="BB13">
        <f>AVERAGE(0.054,0.051,0.055,0.041,0.052)</f>
        <v>0.0506</v>
      </c>
      <c r="BC13" s="1" t="s">
        <v>188</v>
      </c>
    </row>
    <row r="21" spans="1:53" s="54" customFormat="1" ht="12.75">
      <c r="A21" s="70"/>
      <c r="B21" s="62"/>
      <c r="C21" s="63">
        <f>AVERAGE(C5:C18)</f>
        <v>0.7166666666666667</v>
      </c>
      <c r="D21" s="60"/>
      <c r="E21" s="63"/>
      <c r="F21" s="63"/>
      <c r="G21" s="63"/>
      <c r="H21" s="63"/>
      <c r="I21" s="63"/>
      <c r="J21" s="63"/>
      <c r="K21" s="63"/>
      <c r="L21" s="63"/>
      <c r="M21" s="63">
        <f>(M11/F11)^(1/9)-1</f>
        <v>0.09223968429422347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1"/>
      <c r="BA21" s="1"/>
    </row>
    <row r="22" spans="1:53" s="54" customFormat="1" ht="12.75">
      <c r="A22" s="70"/>
      <c r="B22" s="62"/>
      <c r="C22" s="63"/>
      <c r="D22" s="60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1"/>
      <c r="BA22" s="1"/>
    </row>
    <row r="23" spans="1:53" ht="12.75">
      <c r="A23" s="20"/>
      <c r="B23" s="1"/>
      <c r="K23" s="1"/>
      <c r="L23" s="1"/>
      <c r="M23" s="1"/>
      <c r="N23" s="82"/>
      <c r="O23" s="8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6" ht="12.75">
      <c r="B24" s="1"/>
      <c r="C24" t="s">
        <v>31</v>
      </c>
      <c r="D24" t="s">
        <v>32</v>
      </c>
      <c r="K24" s="1"/>
      <c r="L24" s="3"/>
      <c r="M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  <c r="AA24" s="2"/>
      <c r="AB24" s="2"/>
      <c r="AC24" s="2"/>
      <c r="AD24" s="2"/>
      <c r="AE24" s="2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2.75">
      <c r="A25" s="1" t="s">
        <v>22</v>
      </c>
      <c r="B25" s="1"/>
      <c r="C25" s="79">
        <v>64.62686567164178</v>
      </c>
      <c r="D25" s="79">
        <v>41.0769597331427</v>
      </c>
      <c r="K25" s="1"/>
      <c r="L25" s="1"/>
      <c r="M25" s="1"/>
      <c r="O25" s="1"/>
      <c r="P25" s="1"/>
      <c r="Q25" s="74"/>
      <c r="R25" s="74"/>
      <c r="S25" s="1"/>
      <c r="T25" s="1"/>
      <c r="U25" s="1"/>
      <c r="V25" s="1"/>
      <c r="W25" s="1"/>
      <c r="X25" s="1"/>
      <c r="Y25" s="1">
        <f aca="true" t="shared" si="4" ref="Y25:AF25">AVERAGE(V5:V17)</f>
        <v>0.10866666666666665</v>
      </c>
      <c r="Z25" s="1">
        <f t="shared" si="4"/>
        <v>0.10655555555555556</v>
      </c>
      <c r="AA25" s="1">
        <f t="shared" si="4"/>
        <v>0.11222222222222222</v>
      </c>
      <c r="AB25" s="1">
        <f t="shared" si="4"/>
        <v>0.11144444444444443</v>
      </c>
      <c r="AC25" s="1">
        <f t="shared" si="4"/>
        <v>0.10825</v>
      </c>
      <c r="AD25" s="1">
        <f t="shared" si="4"/>
        <v>0.11062499999999999</v>
      </c>
      <c r="AE25" s="1">
        <f t="shared" si="4"/>
        <v>0.11875000000000001</v>
      </c>
      <c r="AF25" s="1">
        <f t="shared" si="4"/>
        <v>15.144444444444446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.75">
      <c r="A26" s="1" t="s">
        <v>23</v>
      </c>
      <c r="B26" s="1"/>
      <c r="C26" s="79">
        <v>84.23932372171915</v>
      </c>
      <c r="D26" s="79">
        <v>50.4678331659354</v>
      </c>
      <c r="K26" s="1"/>
      <c r="L26" s="1"/>
      <c r="M26" s="1"/>
      <c r="O26" s="1"/>
      <c r="P26" s="1"/>
      <c r="Q26" s="74"/>
      <c r="R26" s="74"/>
      <c r="S26" s="1"/>
      <c r="T26" s="1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.75">
      <c r="A27" s="1" t="s">
        <v>24</v>
      </c>
      <c r="B27" s="1"/>
      <c r="C27" s="80">
        <v>62</v>
      </c>
      <c r="D27" s="80">
        <v>38.04512503054493</v>
      </c>
      <c r="K27" s="1"/>
      <c r="L27" s="63"/>
      <c r="M27" s="63"/>
      <c r="P27" s="1"/>
      <c r="Q27" s="74"/>
      <c r="R27" s="74"/>
      <c r="S27" s="1"/>
      <c r="T27" s="1"/>
      <c r="U27" s="1"/>
      <c r="V27" s="1"/>
      <c r="W27" s="1"/>
      <c r="X27" s="1"/>
      <c r="Y27" s="1"/>
      <c r="Z27" s="2"/>
      <c r="AA27" s="2"/>
      <c r="AB27" s="2"/>
      <c r="AC27" s="2"/>
      <c r="AD27" s="2"/>
      <c r="AE27" s="2"/>
      <c r="AF27" s="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2.75">
      <c r="A28" s="68" t="s">
        <v>25</v>
      </c>
      <c r="B28" s="1"/>
      <c r="C28" s="79">
        <v>98.18653713080417</v>
      </c>
      <c r="D28" s="79">
        <v>46.82758732815599</v>
      </c>
      <c r="K28" s="1"/>
      <c r="L28" s="63"/>
      <c r="M28" s="63"/>
      <c r="O28" s="1"/>
      <c r="P28" s="1"/>
      <c r="Q28" s="74"/>
      <c r="R28" s="74"/>
      <c r="S28" s="1"/>
      <c r="T28" s="1"/>
      <c r="U28" s="1"/>
      <c r="V28" s="1"/>
      <c r="W28" s="1"/>
      <c r="X28" s="1"/>
      <c r="Y28" s="21"/>
      <c r="Z28" s="22"/>
      <c r="AA28" s="22">
        <f>AVERAGE(Y25:AC25)</f>
        <v>0.10942777777777776</v>
      </c>
      <c r="AB28" s="22"/>
      <c r="AC28" s="23">
        <f>AVERAGE(AA25:AC25)</f>
        <v>0.11063888888888888</v>
      </c>
      <c r="AD28" s="24"/>
      <c r="AE28" s="22">
        <f>AF25</f>
        <v>15.144444444444446</v>
      </c>
      <c r="AF28" s="23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 s="1" t="s">
        <v>26</v>
      </c>
      <c r="B29" s="1"/>
      <c r="C29" s="79">
        <v>82.1</v>
      </c>
      <c r="D29" s="79">
        <v>48.11562628205998</v>
      </c>
      <c r="K29" s="1"/>
      <c r="L29" s="63"/>
      <c r="M29" s="63"/>
      <c r="O29" s="1"/>
      <c r="P29" s="1"/>
      <c r="Q29" s="74"/>
      <c r="R29" s="74"/>
      <c r="S29" s="1"/>
      <c r="T29" s="1"/>
      <c r="U29" s="1"/>
      <c r="V29" s="1"/>
      <c r="W29" s="1"/>
      <c r="X29" s="1"/>
      <c r="Y29" s="1"/>
      <c r="Z29" s="2"/>
      <c r="AA29" s="2"/>
      <c r="AB29" s="2"/>
      <c r="AC29" s="2"/>
      <c r="AD29" s="2"/>
      <c r="AE29" s="2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.75">
      <c r="A30" s="1" t="s">
        <v>27</v>
      </c>
      <c r="B30" s="1"/>
      <c r="C30" s="79">
        <v>59.013136593538896</v>
      </c>
      <c r="D30" s="79">
        <v>49.83798850240985</v>
      </c>
      <c r="K30" s="1"/>
      <c r="L30" s="1"/>
      <c r="M30" s="63"/>
      <c r="O30" s="1"/>
      <c r="P30" s="1"/>
      <c r="Q30" s="74"/>
      <c r="R30" s="74"/>
      <c r="S30" s="1"/>
      <c r="T30" s="1"/>
      <c r="U30" s="1"/>
      <c r="V30" s="1"/>
      <c r="W30" s="1"/>
      <c r="X30" s="1"/>
      <c r="Y30" s="1"/>
      <c r="Z30" s="2"/>
      <c r="AA30" s="2"/>
      <c r="AB30" s="2"/>
      <c r="AC30" s="2"/>
      <c r="AD30" s="2"/>
      <c r="AE30" s="2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 s="1" t="s">
        <v>28</v>
      </c>
      <c r="B31" s="1"/>
      <c r="C31" s="79">
        <v>83.41620954945336</v>
      </c>
      <c r="D31" s="79">
        <v>45.20125818502117</v>
      </c>
      <c r="K31" s="1"/>
      <c r="L31" s="63"/>
      <c r="M31" s="63"/>
      <c r="O31" s="1"/>
      <c r="P31" s="1"/>
      <c r="Q31" s="74"/>
      <c r="R31" s="74"/>
      <c r="S31" s="1"/>
      <c r="T31" s="1"/>
      <c r="U31" s="1"/>
      <c r="V31" s="1"/>
      <c r="W31" s="1"/>
      <c r="X31" s="1"/>
      <c r="Y31" s="1"/>
      <c r="Z31" s="2"/>
      <c r="AA31" s="2"/>
      <c r="AB31" s="2"/>
      <c r="AC31" s="2"/>
      <c r="AD31" s="2"/>
      <c r="AE31" s="2"/>
      <c r="AF31" s="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 s="1" t="s">
        <v>29</v>
      </c>
      <c r="B32" s="1"/>
      <c r="C32" s="79">
        <v>58.46002996734639</v>
      </c>
      <c r="D32" s="79">
        <v>51.695202978251345</v>
      </c>
      <c r="K32" s="1"/>
      <c r="L32" s="1"/>
      <c r="M32" s="63"/>
      <c r="O32" s="1"/>
      <c r="P32" s="1"/>
      <c r="Q32" s="74"/>
      <c r="R32" s="74"/>
      <c r="S32" s="1"/>
      <c r="T32" s="1"/>
      <c r="U32" s="1"/>
      <c r="V32" s="1"/>
      <c r="W32" s="1"/>
      <c r="X32" s="1"/>
      <c r="Y32" s="1"/>
      <c r="Z32" s="2"/>
      <c r="AA32" s="2"/>
      <c r="AB32" s="2"/>
      <c r="AC32" s="2"/>
      <c r="AD32" s="2"/>
      <c r="AE32" s="2"/>
      <c r="AF32" s="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.75">
      <c r="A33" s="1" t="s">
        <v>30</v>
      </c>
      <c r="B33" s="1"/>
      <c r="C33" s="79">
        <v>71.21264161618393</v>
      </c>
      <c r="D33" s="79">
        <v>48.1017101183628</v>
      </c>
      <c r="K33" s="1"/>
      <c r="L33" s="1"/>
      <c r="M33" s="63"/>
      <c r="O33" s="1"/>
      <c r="P33" s="1"/>
      <c r="Q33" s="74"/>
      <c r="R33" s="74"/>
      <c r="S33" s="1"/>
      <c r="T33" s="1"/>
      <c r="U33" s="1"/>
      <c r="V33" s="1"/>
      <c r="W33" s="1"/>
      <c r="X33" s="1"/>
      <c r="Y33" s="1"/>
      <c r="Z33" s="2"/>
      <c r="AA33" s="2"/>
      <c r="AB33" s="2"/>
      <c r="AC33" s="2"/>
      <c r="AD33" s="2"/>
      <c r="AE33" s="2"/>
      <c r="AF33" s="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2.75">
      <c r="A34" s="1"/>
      <c r="B34" s="1"/>
      <c r="C34" s="79">
        <f>AVERAGE(C25:C33)</f>
        <v>73.69497158340975</v>
      </c>
      <c r="D34" s="79">
        <f>AVERAGE(D25:D33)</f>
        <v>46.596587924876026</v>
      </c>
      <c r="K34" s="1"/>
      <c r="L34" s="1"/>
      <c r="M34" s="63"/>
      <c r="O34" s="1"/>
      <c r="P34" s="1"/>
      <c r="Q34" s="74"/>
      <c r="R34" s="74"/>
      <c r="S34" s="1"/>
      <c r="T34" s="1"/>
      <c r="U34" s="1"/>
      <c r="V34" s="1"/>
      <c r="W34" s="1"/>
      <c r="X34" s="1"/>
      <c r="Y34" s="1"/>
      <c r="Z34" s="2"/>
      <c r="AA34" s="2"/>
      <c r="AB34" s="2"/>
      <c r="AC34" s="2"/>
      <c r="AD34" s="2"/>
      <c r="AE34" s="2"/>
      <c r="AF34" s="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0:56" ht="12.75">
      <c r="J35" s="48"/>
      <c r="K35" s="1"/>
      <c r="L35" s="1"/>
      <c r="M35" s="63"/>
      <c r="O35" s="1"/>
      <c r="P35" s="1"/>
      <c r="Q35" s="74"/>
      <c r="R35" s="74"/>
      <c r="S35" s="1"/>
      <c r="T35" s="1"/>
      <c r="U35" s="1"/>
      <c r="V35" s="1"/>
      <c r="W35" s="1"/>
      <c r="X35" s="1"/>
      <c r="Y35" s="1"/>
      <c r="Z35" s="2"/>
      <c r="AA35" s="2"/>
      <c r="AB35" s="2"/>
      <c r="AC35" s="2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0:56" ht="12.75">
      <c r="J36" s="48"/>
      <c r="K36" s="1"/>
      <c r="L36" s="1"/>
      <c r="M36" s="63"/>
      <c r="O36" s="1"/>
      <c r="P36" s="1"/>
      <c r="Q36" s="74"/>
      <c r="R36" s="74"/>
      <c r="S36" s="1"/>
      <c r="T36" s="1"/>
      <c r="U36" s="1"/>
      <c r="V36" s="1"/>
      <c r="W36" s="1"/>
      <c r="X36" s="1"/>
      <c r="Y36" s="1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0:56" ht="12.75">
      <c r="J37" s="48"/>
      <c r="K37" s="1"/>
      <c r="L37" s="63"/>
      <c r="M37" s="63"/>
      <c r="O37" s="1"/>
      <c r="P37" s="1"/>
      <c r="Q37" s="74"/>
      <c r="R37" s="74"/>
      <c r="S37" s="1"/>
      <c r="T37" s="1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0:18" ht="12.75">
      <c r="J38" s="48"/>
      <c r="L38" s="63"/>
      <c r="M38" s="63"/>
      <c r="O38" s="1"/>
      <c r="Q38" s="75"/>
      <c r="R38" s="75"/>
    </row>
    <row r="41" spans="17:18" ht="12">
      <c r="Q41" s="75"/>
      <c r="R41" s="75"/>
    </row>
    <row r="42" spans="10:15" ht="12">
      <c r="J42" s="48"/>
      <c r="K42" s="69"/>
      <c r="L42" s="29"/>
      <c r="M42" s="29"/>
      <c r="N42" s="29"/>
      <c r="O42" s="29"/>
    </row>
    <row r="43" spans="10:11" ht="12">
      <c r="J43" s="54"/>
      <c r="K43" s="69"/>
    </row>
    <row r="66" spans="1:6" ht="12.75">
      <c r="A66" s="53"/>
      <c r="B66" s="54"/>
      <c r="C66" s="54"/>
      <c r="D66" s="54"/>
      <c r="E66" s="54"/>
      <c r="F66" s="54"/>
    </row>
    <row r="67" spans="1:6" ht="12.75">
      <c r="A67" s="53"/>
      <c r="B67" s="54"/>
      <c r="C67" s="54"/>
      <c r="D67" s="54"/>
      <c r="E67" s="54"/>
      <c r="F67" s="54"/>
    </row>
    <row r="68" spans="1:6" ht="12.75">
      <c r="A68" s="53"/>
      <c r="B68" s="54"/>
      <c r="C68" s="54"/>
      <c r="D68" s="54"/>
      <c r="E68" s="54"/>
      <c r="F68" s="54"/>
    </row>
    <row r="69" spans="1:6" ht="12.75">
      <c r="A69" s="53"/>
      <c r="B69" s="54"/>
      <c r="C69" s="54"/>
      <c r="D69" s="54"/>
      <c r="E69" s="54"/>
      <c r="F69" s="54"/>
    </row>
    <row r="70" spans="1:6" ht="12.75">
      <c r="A70" s="53"/>
      <c r="B70" s="54"/>
      <c r="C70" s="54"/>
      <c r="D70" s="54"/>
      <c r="E70" s="54"/>
      <c r="F70" s="54"/>
    </row>
    <row r="71" spans="1:6" ht="12.75">
      <c r="A71" s="53"/>
      <c r="B71" s="54"/>
      <c r="C71" s="54"/>
      <c r="D71" s="54"/>
      <c r="E71" s="54"/>
      <c r="F71" s="54"/>
    </row>
    <row r="72" spans="1:6" ht="12.75">
      <c r="A72" s="53"/>
      <c r="B72" s="54"/>
      <c r="C72" s="54"/>
      <c r="D72" s="54"/>
      <c r="E72" s="54"/>
      <c r="F72" s="54"/>
    </row>
    <row r="73" spans="1:6" ht="12.75">
      <c r="A73" s="53"/>
      <c r="B73" s="54"/>
      <c r="C73" s="54"/>
      <c r="D73" s="54"/>
      <c r="E73" s="54"/>
      <c r="F73" s="54"/>
    </row>
    <row r="74" spans="1:6" ht="12.75">
      <c r="A74" s="53"/>
      <c r="B74" s="54"/>
      <c r="C74" s="54"/>
      <c r="D74" s="54"/>
      <c r="E74" s="54"/>
      <c r="F74" s="54"/>
    </row>
    <row r="75" spans="1:6" ht="12.75">
      <c r="A75" s="53"/>
      <c r="B75" s="54"/>
      <c r="C75" s="54"/>
      <c r="D75" s="54"/>
      <c r="E75" s="54"/>
      <c r="F75" s="54"/>
    </row>
    <row r="76" spans="1:6" ht="12.75">
      <c r="A76" s="53"/>
      <c r="B76" s="54"/>
      <c r="C76" s="54"/>
      <c r="D76" s="54"/>
      <c r="E76" s="54"/>
      <c r="F76" s="54"/>
    </row>
    <row r="77" spans="1:6" ht="12.75">
      <c r="A77" s="53"/>
      <c r="B77" s="54"/>
      <c r="C77" s="54"/>
      <c r="D77" s="54"/>
      <c r="E77" s="54"/>
      <c r="F77" s="54"/>
    </row>
    <row r="78" spans="1:6" ht="12.75">
      <c r="A78" s="53"/>
      <c r="B78" s="54"/>
      <c r="C78" s="54"/>
      <c r="D78" s="54"/>
      <c r="E78" s="54"/>
      <c r="F78" s="54"/>
    </row>
    <row r="79" spans="1:6" ht="12.75">
      <c r="A79" s="53"/>
      <c r="B79" s="54"/>
      <c r="C79" s="54"/>
      <c r="D79" s="54"/>
      <c r="E79" s="54"/>
      <c r="F79" s="54"/>
    </row>
    <row r="80" spans="1:6" ht="12.75">
      <c r="A80" s="53"/>
      <c r="B80" s="54"/>
      <c r="C80" s="54"/>
      <c r="D80" s="54"/>
      <c r="E80" s="54"/>
      <c r="F80" s="54"/>
    </row>
    <row r="81" spans="1:6" ht="12.75">
      <c r="A81" s="53"/>
      <c r="B81" s="54"/>
      <c r="C81" s="54"/>
      <c r="D81" s="54"/>
      <c r="E81" s="54"/>
      <c r="F81" s="54"/>
    </row>
    <row r="82" spans="1:6" ht="12.75">
      <c r="A82" s="53"/>
      <c r="B82" s="54"/>
      <c r="C82" s="54"/>
      <c r="D82" s="54"/>
      <c r="E82" s="54"/>
      <c r="F82" s="54"/>
    </row>
    <row r="83" spans="1:6" ht="12.75">
      <c r="A83" s="53"/>
      <c r="B83" s="54"/>
      <c r="C83" s="54"/>
      <c r="D83" s="54"/>
      <c r="E83" s="54"/>
      <c r="F83" s="54"/>
    </row>
    <row r="84" spans="1:6" ht="12.75">
      <c r="A84" s="53"/>
      <c r="B84" s="54"/>
      <c r="C84" s="54"/>
      <c r="D84" s="54"/>
      <c r="E84" s="54"/>
      <c r="F84" s="54"/>
    </row>
    <row r="85" spans="1:6" ht="12.75">
      <c r="A85" s="53"/>
      <c r="B85" s="54"/>
      <c r="C85" s="54"/>
      <c r="D85" s="54"/>
      <c r="E85" s="54"/>
      <c r="F85" s="54"/>
    </row>
    <row r="86" spans="1:6" ht="12.75">
      <c r="A86" s="53"/>
      <c r="B86" s="54"/>
      <c r="C86" s="54"/>
      <c r="D86" s="54"/>
      <c r="E86" s="54"/>
      <c r="F86" s="54"/>
    </row>
    <row r="87" spans="1:6" ht="12.75">
      <c r="A87" s="53"/>
      <c r="B87" s="54"/>
      <c r="C87" s="54"/>
      <c r="D87" s="54"/>
      <c r="E87" s="54"/>
      <c r="F87" s="54"/>
    </row>
    <row r="88" spans="1:6" ht="12.75">
      <c r="A88" s="53"/>
      <c r="B88" s="54"/>
      <c r="C88" s="54"/>
      <c r="D88" s="54"/>
      <c r="E88" s="54"/>
      <c r="F88" s="54"/>
    </row>
    <row r="89" spans="1:6" ht="12.75">
      <c r="A89" s="53"/>
      <c r="B89" s="54"/>
      <c r="C89" s="54"/>
      <c r="D89" s="54"/>
      <c r="E89" s="54"/>
      <c r="F89" s="54"/>
    </row>
    <row r="90" spans="1:6" ht="12.75">
      <c r="A90" s="53"/>
      <c r="B90" s="54"/>
      <c r="C90" s="54"/>
      <c r="D90" s="54"/>
      <c r="E90" s="54"/>
      <c r="F90" s="54"/>
    </row>
    <row r="91" spans="1:6" ht="12.75">
      <c r="A91" s="53"/>
      <c r="B91" s="54"/>
      <c r="C91" s="54"/>
      <c r="D91" s="54"/>
      <c r="E91" s="54"/>
      <c r="F91" s="54"/>
    </row>
    <row r="92" spans="1:6" ht="12.75">
      <c r="A92" s="53"/>
      <c r="B92" s="54"/>
      <c r="C92" s="54"/>
      <c r="D92" s="54"/>
      <c r="E92" s="54"/>
      <c r="F92" s="54"/>
    </row>
    <row r="93" spans="1:6" ht="12.75">
      <c r="A93" s="53"/>
      <c r="B93" s="54"/>
      <c r="C93" s="54"/>
      <c r="D93" s="54"/>
      <c r="E93" s="54"/>
      <c r="F93" s="54"/>
    </row>
    <row r="94" spans="1:6" ht="12.75">
      <c r="A94" s="53"/>
      <c r="B94" s="54"/>
      <c r="C94" s="54"/>
      <c r="D94" s="54"/>
      <c r="E94" s="54"/>
      <c r="F94" s="54"/>
    </row>
    <row r="95" spans="1:6" ht="12.75">
      <c r="A95" s="53"/>
      <c r="B95" s="54"/>
      <c r="C95" s="54"/>
      <c r="D95" s="54"/>
      <c r="E95" s="54"/>
      <c r="F95" s="54"/>
    </row>
    <row r="96" spans="1:6" ht="12.75">
      <c r="A96" s="53"/>
      <c r="B96" s="54"/>
      <c r="C96" s="54"/>
      <c r="D96" s="54"/>
      <c r="E96" s="54"/>
      <c r="F96" s="54"/>
    </row>
    <row r="97" spans="1:6" ht="12.75">
      <c r="A97" s="53"/>
      <c r="B97" s="54"/>
      <c r="C97" s="54"/>
      <c r="D97" s="54"/>
      <c r="E97" s="54"/>
      <c r="F97" s="54"/>
    </row>
    <row r="98" spans="1:6" ht="12.75">
      <c r="A98" s="53"/>
      <c r="B98" s="54"/>
      <c r="C98" s="54"/>
      <c r="D98" s="54"/>
      <c r="E98" s="54"/>
      <c r="F98" s="54"/>
    </row>
    <row r="99" spans="1:6" ht="12.75">
      <c r="A99" s="53"/>
      <c r="B99" s="54"/>
      <c r="C99" s="54"/>
      <c r="D99" s="54"/>
      <c r="E99" s="54"/>
      <c r="F99" s="54"/>
    </row>
    <row r="100" spans="1:6" ht="12.75">
      <c r="A100" s="53"/>
      <c r="B100" s="54"/>
      <c r="C100" s="54"/>
      <c r="D100" s="54"/>
      <c r="E100" s="54"/>
      <c r="F100" s="54"/>
    </row>
    <row r="101" spans="1:6" ht="12.75">
      <c r="A101" s="53"/>
      <c r="B101" s="54"/>
      <c r="C101" s="54"/>
      <c r="D101" s="54"/>
      <c r="E101" s="54"/>
      <c r="F101" s="54"/>
    </row>
    <row r="102" spans="1:6" ht="12.75">
      <c r="A102" s="53"/>
      <c r="B102" s="54"/>
      <c r="C102" s="54"/>
      <c r="D102" s="54"/>
      <c r="E102" s="54"/>
      <c r="F102" s="54"/>
    </row>
    <row r="103" spans="1:6" ht="12.75">
      <c r="A103" s="53"/>
      <c r="B103" s="54"/>
      <c r="C103" s="54"/>
      <c r="D103" s="54"/>
      <c r="E103" s="54"/>
      <c r="F103" s="54"/>
    </row>
    <row r="104" spans="1:6" ht="12.75">
      <c r="A104" s="53"/>
      <c r="B104" s="54"/>
      <c r="C104" s="54"/>
      <c r="D104" s="54"/>
      <c r="E104" s="54"/>
      <c r="F104" s="54"/>
    </row>
    <row r="105" spans="1:6" ht="12.75">
      <c r="A105" s="53"/>
      <c r="B105" s="54"/>
      <c r="C105" s="54"/>
      <c r="D105" s="54"/>
      <c r="E105" s="54"/>
      <c r="F105" s="54"/>
    </row>
    <row r="106" spans="1:6" ht="12.75">
      <c r="A106" s="53"/>
      <c r="B106" s="54"/>
      <c r="C106" s="54"/>
      <c r="D106" s="54"/>
      <c r="E106" s="54"/>
      <c r="F106" s="54"/>
    </row>
    <row r="107" spans="1:6" ht="12.75">
      <c r="A107" s="53"/>
      <c r="B107" s="54"/>
      <c r="C107" s="54"/>
      <c r="D107" s="54"/>
      <c r="E107" s="54"/>
      <c r="F107" s="54"/>
    </row>
    <row r="108" spans="1:6" ht="12.75">
      <c r="A108" s="53"/>
      <c r="B108" s="54"/>
      <c r="C108" s="54"/>
      <c r="D108" s="54"/>
      <c r="E108" s="54"/>
      <c r="F108" s="54"/>
    </row>
    <row r="109" spans="1:7" ht="12.75">
      <c r="A109" s="53"/>
      <c r="B109" s="54"/>
      <c r="C109" s="54"/>
      <c r="D109" s="54"/>
      <c r="E109" s="54"/>
      <c r="F109" s="54"/>
      <c r="G109" s="52"/>
    </row>
    <row r="110" spans="1:6" ht="12.75">
      <c r="A110" s="53"/>
      <c r="B110" s="54"/>
      <c r="C110" s="54"/>
      <c r="D110" s="54"/>
      <c r="E110" s="54"/>
      <c r="F110" s="54"/>
    </row>
    <row r="111" spans="1:6" ht="12.75">
      <c r="A111" s="53"/>
      <c r="B111" s="54"/>
      <c r="C111" s="54"/>
      <c r="D111" s="54"/>
      <c r="E111" s="54"/>
      <c r="F111" s="54"/>
    </row>
    <row r="112" spans="1:6" ht="12.75">
      <c r="A112" s="53"/>
      <c r="B112" s="54"/>
      <c r="C112" s="54"/>
      <c r="D112" s="54"/>
      <c r="E112" s="54"/>
      <c r="F112" s="54"/>
    </row>
    <row r="113" spans="1:6" ht="12.75">
      <c r="A113" s="53"/>
      <c r="B113" s="54"/>
      <c r="C113" s="54"/>
      <c r="D113" s="54"/>
      <c r="E113" s="54"/>
      <c r="F113" s="54"/>
    </row>
    <row r="114" spans="1:6" ht="12.75">
      <c r="A114" s="53"/>
      <c r="B114" s="54"/>
      <c r="C114" s="54"/>
      <c r="D114" s="54"/>
      <c r="E114" s="54"/>
      <c r="F114" s="54"/>
    </row>
    <row r="115" spans="1:6" ht="12.75">
      <c r="A115" s="53"/>
      <c r="B115" s="54"/>
      <c r="C115" s="54"/>
      <c r="D115" s="54"/>
      <c r="E115" s="54"/>
      <c r="F115" s="54"/>
    </row>
    <row r="116" spans="1:6" ht="12.75">
      <c r="A116" s="53"/>
      <c r="B116" s="54"/>
      <c r="C116" s="54"/>
      <c r="D116" s="54"/>
      <c r="E116" s="54"/>
      <c r="F116" s="54"/>
    </row>
    <row r="117" spans="1:6" ht="12.75">
      <c r="A117" s="53"/>
      <c r="B117" s="54"/>
      <c r="C117" s="54"/>
      <c r="D117" s="54"/>
      <c r="E117" s="54"/>
      <c r="F117" s="54"/>
    </row>
    <row r="118" spans="1:6" ht="12.75">
      <c r="A118" s="53"/>
      <c r="B118" s="54"/>
      <c r="C118" s="54"/>
      <c r="D118" s="54"/>
      <c r="E118" s="54"/>
      <c r="F118" s="54"/>
    </row>
    <row r="119" spans="1:6" ht="12.75">
      <c r="A119" s="53"/>
      <c r="B119" s="54"/>
      <c r="C119" s="54"/>
      <c r="D119" s="54"/>
      <c r="E119" s="54"/>
      <c r="F119" s="54"/>
    </row>
    <row r="120" spans="1:6" ht="12.75">
      <c r="A120" s="53"/>
      <c r="B120" s="54"/>
      <c r="C120" s="54"/>
      <c r="D120" s="54"/>
      <c r="E120" s="54"/>
      <c r="F120" s="54"/>
    </row>
    <row r="121" spans="1:6" ht="12.75">
      <c r="A121" s="53"/>
      <c r="B121" s="54"/>
      <c r="C121" s="54"/>
      <c r="D121" s="54"/>
      <c r="E121" s="54"/>
      <c r="F121" s="54"/>
    </row>
    <row r="122" spans="1:6" ht="12.75">
      <c r="A122" s="53"/>
      <c r="B122" s="54"/>
      <c r="C122" s="54"/>
      <c r="D122" s="54"/>
      <c r="E122" s="54"/>
      <c r="F122" s="54"/>
    </row>
    <row r="123" spans="1:6" ht="12.75">
      <c r="A123" s="53"/>
      <c r="B123" s="54"/>
      <c r="C123" s="54"/>
      <c r="D123" s="54"/>
      <c r="E123" s="54"/>
      <c r="F123" s="54"/>
    </row>
    <row r="124" spans="1:6" ht="12.75">
      <c r="A124" s="53"/>
      <c r="B124" s="54"/>
      <c r="C124" s="54"/>
      <c r="D124" s="54"/>
      <c r="E124" s="54"/>
      <c r="F124" s="54"/>
    </row>
    <row r="125" spans="1:6" ht="12.75">
      <c r="A125" s="53"/>
      <c r="B125" s="54"/>
      <c r="C125" s="54"/>
      <c r="D125" s="54"/>
      <c r="E125" s="54"/>
      <c r="F125" s="54"/>
    </row>
    <row r="126" spans="1:6" ht="12.75">
      <c r="A126" s="53"/>
      <c r="B126" s="54"/>
      <c r="C126" s="54"/>
      <c r="D126" s="54"/>
      <c r="E126" s="54"/>
      <c r="F126" s="54"/>
    </row>
    <row r="127" spans="1:6" ht="12.75">
      <c r="A127" s="53"/>
      <c r="B127" s="54"/>
      <c r="C127" s="54"/>
      <c r="D127" s="54"/>
      <c r="E127" s="54"/>
      <c r="F127" s="54"/>
    </row>
    <row r="128" spans="1:6" ht="12.75">
      <c r="A128" s="53"/>
      <c r="B128" s="54"/>
      <c r="C128" s="54"/>
      <c r="D128" s="54"/>
      <c r="E128" s="54"/>
      <c r="F128" s="54"/>
    </row>
    <row r="129" spans="1:6" ht="12.75">
      <c r="A129" s="53"/>
      <c r="B129" s="54"/>
      <c r="C129" s="54"/>
      <c r="D129" s="54"/>
      <c r="E129" s="54"/>
      <c r="F129" s="54"/>
    </row>
    <row r="130" spans="1:6" ht="12.75">
      <c r="A130" s="53"/>
      <c r="B130" s="54"/>
      <c r="C130" s="54"/>
      <c r="D130" s="54"/>
      <c r="E130" s="54"/>
      <c r="F130" s="54"/>
    </row>
    <row r="131" spans="1:6" ht="12.75">
      <c r="A131" s="53"/>
      <c r="B131" s="54"/>
      <c r="C131" s="54"/>
      <c r="D131" s="54"/>
      <c r="E131" s="54"/>
      <c r="F131" s="54"/>
    </row>
    <row r="132" spans="1:6" ht="12.75">
      <c r="A132" s="53"/>
      <c r="B132" s="54"/>
      <c r="C132" s="54"/>
      <c r="D132" s="54"/>
      <c r="E132" s="54"/>
      <c r="F132" s="54"/>
    </row>
    <row r="133" spans="1:6" ht="12.75">
      <c r="A133" s="53"/>
      <c r="B133" s="54"/>
      <c r="C133" s="54"/>
      <c r="D133" s="54"/>
      <c r="E133" s="54"/>
      <c r="F133" s="54"/>
    </row>
    <row r="134" spans="1:6" ht="12.75">
      <c r="A134" s="53"/>
      <c r="B134" s="54"/>
      <c r="C134" s="54"/>
      <c r="D134" s="54"/>
      <c r="E134" s="54"/>
      <c r="F134" s="54"/>
    </row>
    <row r="135" spans="1:7" ht="12.75">
      <c r="A135" s="53"/>
      <c r="B135" s="54"/>
      <c r="C135" s="54"/>
      <c r="D135" s="54"/>
      <c r="E135" s="54"/>
      <c r="F135" s="54"/>
      <c r="G135" s="52"/>
    </row>
    <row r="136" spans="1:6" ht="12.75">
      <c r="A136" s="53"/>
      <c r="B136" s="54"/>
      <c r="C136" s="54"/>
      <c r="D136" s="54"/>
      <c r="E136" s="54"/>
      <c r="F136" s="54"/>
    </row>
    <row r="137" spans="1:6" ht="12.75">
      <c r="A137" s="53"/>
      <c r="B137" s="54"/>
      <c r="C137" s="54"/>
      <c r="D137" s="54"/>
      <c r="E137" s="54"/>
      <c r="F137" s="54"/>
    </row>
    <row r="138" spans="1:6" ht="12.75">
      <c r="A138" s="53"/>
      <c r="B138" s="54"/>
      <c r="C138" s="54"/>
      <c r="D138" s="54"/>
      <c r="E138" s="54"/>
      <c r="F138" s="54"/>
    </row>
    <row r="139" spans="1:6" ht="12.75">
      <c r="A139" s="53"/>
      <c r="B139" s="54"/>
      <c r="C139" s="54"/>
      <c r="D139" s="54"/>
      <c r="E139" s="54"/>
      <c r="F139" s="54"/>
    </row>
    <row r="140" spans="1:6" ht="12.75">
      <c r="A140" s="53"/>
      <c r="B140" s="54"/>
      <c r="C140" s="54"/>
      <c r="D140" s="54"/>
      <c r="E140" s="54"/>
      <c r="F140" s="54"/>
    </row>
    <row r="141" spans="1:6" ht="12.75">
      <c r="A141" s="53"/>
      <c r="B141" s="54"/>
      <c r="C141" s="54"/>
      <c r="D141" s="54"/>
      <c r="E141" s="54"/>
      <c r="F141" s="54"/>
    </row>
    <row r="142" spans="1:6" ht="12.75">
      <c r="A142" s="53"/>
      <c r="B142" s="54"/>
      <c r="C142" s="54"/>
      <c r="D142" s="54"/>
      <c r="E142" s="54"/>
      <c r="F142" s="54"/>
    </row>
    <row r="143" spans="1:6" ht="12.75">
      <c r="A143" s="53"/>
      <c r="B143" s="54"/>
      <c r="C143" s="54"/>
      <c r="D143" s="54"/>
      <c r="E143" s="54"/>
      <c r="F143" s="54"/>
    </row>
    <row r="144" spans="1:6" ht="12.75">
      <c r="A144" s="53"/>
      <c r="B144" s="54"/>
      <c r="C144" s="54"/>
      <c r="D144" s="54"/>
      <c r="E144" s="54"/>
      <c r="F144" s="54"/>
    </row>
    <row r="145" spans="1:6" ht="12.75">
      <c r="A145" s="53"/>
      <c r="B145" s="54"/>
      <c r="C145" s="54"/>
      <c r="D145" s="54"/>
      <c r="E145" s="54"/>
      <c r="F145" s="54"/>
    </row>
    <row r="146" spans="1:6" ht="12.75">
      <c r="A146" s="53"/>
      <c r="B146" s="54"/>
      <c r="C146" s="54"/>
      <c r="D146" s="54"/>
      <c r="E146" s="54"/>
      <c r="F146" s="54"/>
    </row>
    <row r="147" spans="1:6" ht="12.75">
      <c r="A147" s="53"/>
      <c r="B147" s="54"/>
      <c r="C147" s="54"/>
      <c r="D147" s="54"/>
      <c r="E147" s="54"/>
      <c r="F147" s="54"/>
    </row>
    <row r="148" spans="1:6" ht="12.75">
      <c r="A148" s="53"/>
      <c r="B148" s="54"/>
      <c r="C148" s="54"/>
      <c r="D148" s="54"/>
      <c r="E148" s="54"/>
      <c r="F148" s="54"/>
    </row>
    <row r="149" spans="1:6" ht="12.75">
      <c r="A149" s="53"/>
      <c r="B149" s="54"/>
      <c r="C149" s="54"/>
      <c r="D149" s="54"/>
      <c r="E149" s="54"/>
      <c r="F149" s="54"/>
    </row>
    <row r="150" spans="1:6" ht="12.75">
      <c r="A150" s="53"/>
      <c r="B150" s="54"/>
      <c r="C150" s="54"/>
      <c r="D150" s="54"/>
      <c r="E150" s="54"/>
      <c r="F150" s="54"/>
    </row>
    <row r="151" spans="1:6" ht="12.75">
      <c r="A151" s="53"/>
      <c r="B151" s="54"/>
      <c r="C151" s="54"/>
      <c r="D151" s="54"/>
      <c r="E151" s="54"/>
      <c r="F151" s="54"/>
    </row>
    <row r="152" spans="1:6" ht="12.75">
      <c r="A152" s="53"/>
      <c r="B152" s="54"/>
      <c r="C152" s="54"/>
      <c r="D152" s="54"/>
      <c r="E152" s="54"/>
      <c r="F152" s="54"/>
    </row>
    <row r="153" spans="1:6" ht="12.75">
      <c r="A153" s="53"/>
      <c r="B153" s="54"/>
      <c r="C153" s="54"/>
      <c r="D153" s="54"/>
      <c r="E153" s="54"/>
      <c r="F153" s="54"/>
    </row>
    <row r="154" spans="1:6" ht="12.75">
      <c r="A154" s="53"/>
      <c r="B154" s="54"/>
      <c r="C154" s="54"/>
      <c r="D154" s="54"/>
      <c r="E154" s="54"/>
      <c r="F154" s="54"/>
    </row>
    <row r="155" spans="1:6" ht="12.75">
      <c r="A155" s="53"/>
      <c r="B155" s="54"/>
      <c r="C155" s="54"/>
      <c r="D155" s="54"/>
      <c r="E155" s="54"/>
      <c r="F155" s="54"/>
    </row>
    <row r="156" spans="1:6" ht="12.75">
      <c r="A156" s="53"/>
      <c r="B156" s="54"/>
      <c r="C156" s="54"/>
      <c r="D156" s="54"/>
      <c r="E156" s="54"/>
      <c r="F156" s="54"/>
    </row>
    <row r="157" spans="1:6" ht="12.75">
      <c r="A157" s="53"/>
      <c r="B157" s="54"/>
      <c r="C157" s="54"/>
      <c r="D157" s="54"/>
      <c r="E157" s="54"/>
      <c r="F157" s="54"/>
    </row>
    <row r="158" spans="1:6" ht="12.75">
      <c r="A158" s="53"/>
      <c r="B158" s="54"/>
      <c r="C158" s="54"/>
      <c r="D158" s="54"/>
      <c r="E158" s="54"/>
      <c r="F158" s="54"/>
    </row>
    <row r="159" spans="1:6" ht="12.75">
      <c r="A159" s="53"/>
      <c r="B159" s="54"/>
      <c r="C159" s="54"/>
      <c r="D159" s="54"/>
      <c r="E159" s="54"/>
      <c r="F159" s="54"/>
    </row>
    <row r="160" spans="1:6" ht="12.75">
      <c r="A160" s="53"/>
      <c r="B160" s="54"/>
      <c r="C160" s="54"/>
      <c r="D160" s="54"/>
      <c r="E160" s="54"/>
      <c r="F160" s="54"/>
    </row>
    <row r="161" spans="1:7" ht="12.75">
      <c r="A161" s="53"/>
      <c r="B161" s="54"/>
      <c r="C161" s="54"/>
      <c r="D161" s="54"/>
      <c r="E161" s="54"/>
      <c r="F161" s="54"/>
      <c r="G161" s="52"/>
    </row>
    <row r="162" spans="1:6" ht="12.75">
      <c r="A162" s="53"/>
      <c r="B162" s="54"/>
      <c r="C162" s="54"/>
      <c r="D162" s="54"/>
      <c r="E162" s="54"/>
      <c r="F162" s="54"/>
    </row>
    <row r="163" spans="1:6" ht="12.75">
      <c r="A163" s="53"/>
      <c r="B163" s="54"/>
      <c r="C163" s="54"/>
      <c r="D163" s="54"/>
      <c r="E163" s="54"/>
      <c r="F163" s="54"/>
    </row>
    <row r="164" spans="1:6" ht="12.75">
      <c r="A164" s="53"/>
      <c r="B164" s="54"/>
      <c r="C164" s="54"/>
      <c r="D164" s="54"/>
      <c r="E164" s="54"/>
      <c r="F164" s="54"/>
    </row>
    <row r="165" spans="1:6" ht="12.75">
      <c r="A165" s="53"/>
      <c r="B165" s="54"/>
      <c r="C165" s="54"/>
      <c r="D165" s="54"/>
      <c r="E165" s="54"/>
      <c r="F165" s="54"/>
    </row>
    <row r="166" spans="1:6" ht="12.75">
      <c r="A166" s="53"/>
      <c r="B166" s="54"/>
      <c r="C166" s="54"/>
      <c r="D166" s="54"/>
      <c r="E166" s="54"/>
      <c r="F166" s="54"/>
    </row>
    <row r="167" spans="1:6" ht="12.75">
      <c r="A167" s="53"/>
      <c r="B167" s="54"/>
      <c r="C167" s="54"/>
      <c r="D167" s="54"/>
      <c r="E167" s="54"/>
      <c r="F167" s="54"/>
    </row>
    <row r="168" spans="1:6" ht="12.75">
      <c r="A168" s="53"/>
      <c r="B168" s="54"/>
      <c r="C168" s="54"/>
      <c r="D168" s="54"/>
      <c r="E168" s="54"/>
      <c r="F168" s="54"/>
    </row>
    <row r="169" spans="1:6" ht="12.75">
      <c r="A169" s="53"/>
      <c r="B169" s="54"/>
      <c r="C169" s="54"/>
      <c r="D169" s="54"/>
      <c r="E169" s="54"/>
      <c r="F169" s="54"/>
    </row>
    <row r="170" spans="1:6" ht="12.75">
      <c r="A170" s="53"/>
      <c r="B170" s="54"/>
      <c r="C170" s="54"/>
      <c r="D170" s="54"/>
      <c r="E170" s="54"/>
      <c r="F170" s="54"/>
    </row>
    <row r="171" spans="1:6" ht="12.75">
      <c r="A171" s="53"/>
      <c r="B171" s="54"/>
      <c r="C171" s="54"/>
      <c r="D171" s="54"/>
      <c r="E171" s="54"/>
      <c r="F171" s="54"/>
    </row>
    <row r="172" spans="1:6" ht="12.75">
      <c r="A172" s="53"/>
      <c r="B172" s="54"/>
      <c r="C172" s="54"/>
      <c r="D172" s="54"/>
      <c r="E172" s="54"/>
      <c r="F172" s="54"/>
    </row>
    <row r="173" spans="1:6" ht="12.75">
      <c r="A173" s="53"/>
      <c r="B173" s="54"/>
      <c r="C173" s="54"/>
      <c r="D173" s="54"/>
      <c r="E173" s="54"/>
      <c r="F173" s="54"/>
    </row>
    <row r="174" spans="1:6" ht="12.75">
      <c r="A174" s="53"/>
      <c r="B174" s="54"/>
      <c r="C174" s="54"/>
      <c r="D174" s="54"/>
      <c r="E174" s="54"/>
      <c r="F174" s="54"/>
    </row>
    <row r="175" spans="1:6" ht="12.75">
      <c r="A175" s="53"/>
      <c r="B175" s="54"/>
      <c r="C175" s="54"/>
      <c r="D175" s="54"/>
      <c r="E175" s="54"/>
      <c r="F175" s="54"/>
    </row>
    <row r="176" spans="1:6" ht="12.75">
      <c r="A176" s="53"/>
      <c r="B176" s="54"/>
      <c r="C176" s="54"/>
      <c r="D176" s="54"/>
      <c r="E176" s="54"/>
      <c r="F176" s="54"/>
    </row>
    <row r="177" spans="1:6" ht="12.75">
      <c r="A177" s="53"/>
      <c r="B177" s="54"/>
      <c r="C177" s="54"/>
      <c r="D177" s="54"/>
      <c r="E177" s="54"/>
      <c r="F177" s="54"/>
    </row>
    <row r="178" spans="1:6" ht="12.75">
      <c r="A178" s="53"/>
      <c r="B178" s="54"/>
      <c r="C178" s="54"/>
      <c r="D178" s="54"/>
      <c r="E178" s="54"/>
      <c r="F178" s="54"/>
    </row>
    <row r="179" spans="1:6" ht="12.75">
      <c r="A179" s="53"/>
      <c r="B179" s="54"/>
      <c r="C179" s="54"/>
      <c r="D179" s="54"/>
      <c r="E179" s="54"/>
      <c r="F179" s="54"/>
    </row>
    <row r="180" spans="1:6" ht="12.75">
      <c r="A180" s="53"/>
      <c r="B180" s="54"/>
      <c r="C180" s="54"/>
      <c r="D180" s="54"/>
      <c r="E180" s="54"/>
      <c r="F180" s="54"/>
    </row>
    <row r="181" spans="1:6" ht="12.75">
      <c r="A181" s="53"/>
      <c r="B181" s="54"/>
      <c r="C181" s="54"/>
      <c r="D181" s="54"/>
      <c r="E181" s="54"/>
      <c r="F181" s="54"/>
    </row>
    <row r="182" spans="1:6" ht="12.75">
      <c r="A182" s="53"/>
      <c r="B182" s="54"/>
      <c r="C182" s="54"/>
      <c r="D182" s="54"/>
      <c r="E182" s="54"/>
      <c r="F182" s="54"/>
    </row>
    <row r="183" spans="1:6" ht="12.75">
      <c r="A183" s="53"/>
      <c r="B183" s="54"/>
      <c r="C183" s="54"/>
      <c r="D183" s="54"/>
      <c r="E183" s="54"/>
      <c r="F183" s="54"/>
    </row>
    <row r="184" spans="1:6" ht="12.75">
      <c r="A184" s="53"/>
      <c r="B184" s="54"/>
      <c r="C184" s="54"/>
      <c r="D184" s="54"/>
      <c r="E184" s="54"/>
      <c r="F184" s="54"/>
    </row>
    <row r="185" spans="1:6" ht="12.75">
      <c r="A185" s="53"/>
      <c r="B185" s="54"/>
      <c r="C185" s="54"/>
      <c r="D185" s="54"/>
      <c r="E185" s="54"/>
      <c r="F185" s="54"/>
    </row>
    <row r="186" spans="1:7" ht="12.75">
      <c r="A186" s="53"/>
      <c r="B186" s="54"/>
      <c r="C186" s="54"/>
      <c r="D186" s="54"/>
      <c r="E186" s="54"/>
      <c r="F186" s="54"/>
      <c r="G186" s="52"/>
    </row>
    <row r="187" spans="1:6" ht="12.75">
      <c r="A187" s="53"/>
      <c r="B187" s="54"/>
      <c r="C187" s="54"/>
      <c r="D187" s="54"/>
      <c r="E187" s="54"/>
      <c r="F187" s="54"/>
    </row>
    <row r="188" spans="1:6" ht="12.75">
      <c r="A188" s="53"/>
      <c r="B188" s="54"/>
      <c r="C188" s="54"/>
      <c r="D188" s="54"/>
      <c r="E188" s="54"/>
      <c r="F188" s="54"/>
    </row>
    <row r="189" spans="1:6" ht="12.75">
      <c r="A189" s="53"/>
      <c r="B189" s="54"/>
      <c r="C189" s="54"/>
      <c r="D189" s="54"/>
      <c r="E189" s="54"/>
      <c r="F189" s="54"/>
    </row>
    <row r="190" spans="1:6" ht="12.75">
      <c r="A190" s="53"/>
      <c r="B190" s="54"/>
      <c r="C190" s="54"/>
      <c r="D190" s="54"/>
      <c r="E190" s="54"/>
      <c r="F190" s="54"/>
    </row>
    <row r="191" spans="1:6" ht="12.75">
      <c r="A191" s="53"/>
      <c r="B191" s="54"/>
      <c r="C191" s="54"/>
      <c r="D191" s="54"/>
      <c r="E191" s="54"/>
      <c r="F191" s="54"/>
    </row>
    <row r="192" spans="1:6" ht="12.75">
      <c r="A192" s="53"/>
      <c r="B192" s="54"/>
      <c r="C192" s="54"/>
      <c r="D192" s="54"/>
      <c r="E192" s="54"/>
      <c r="F192" s="54"/>
    </row>
    <row r="193" spans="1:6" ht="12.75">
      <c r="A193" s="53"/>
      <c r="B193" s="54"/>
      <c r="C193" s="54"/>
      <c r="D193" s="54"/>
      <c r="E193" s="54"/>
      <c r="F193" s="54"/>
    </row>
    <row r="194" spans="1:6" ht="12.75">
      <c r="A194" s="53"/>
      <c r="B194" s="54"/>
      <c r="C194" s="54"/>
      <c r="D194" s="54"/>
      <c r="E194" s="54"/>
      <c r="F194" s="54"/>
    </row>
    <row r="195" spans="1:6" ht="12.75">
      <c r="A195" s="53"/>
      <c r="B195" s="54"/>
      <c r="C195" s="54"/>
      <c r="D195" s="54"/>
      <c r="E195" s="54"/>
      <c r="F195" s="54"/>
    </row>
    <row r="196" spans="1:6" ht="12.75">
      <c r="A196" s="53"/>
      <c r="B196" s="54"/>
      <c r="C196" s="54"/>
      <c r="D196" s="54"/>
      <c r="E196" s="54"/>
      <c r="F196" s="54"/>
    </row>
    <row r="197" spans="1:6" ht="12.75">
      <c r="A197" s="53"/>
      <c r="B197" s="54"/>
      <c r="C197" s="54"/>
      <c r="D197" s="54"/>
      <c r="E197" s="54"/>
      <c r="F197" s="54"/>
    </row>
    <row r="198" spans="1:6" ht="12.75">
      <c r="A198" s="53"/>
      <c r="B198" s="54"/>
      <c r="C198" s="54"/>
      <c r="D198" s="54"/>
      <c r="E198" s="54"/>
      <c r="F198" s="54"/>
    </row>
    <row r="199" spans="1:6" ht="12.75">
      <c r="A199" s="53"/>
      <c r="B199" s="54"/>
      <c r="C199" s="54"/>
      <c r="D199" s="54"/>
      <c r="E199" s="54"/>
      <c r="F199" s="54"/>
    </row>
    <row r="200" spans="1:6" ht="12.75">
      <c r="A200" s="53"/>
      <c r="B200" s="54"/>
      <c r="C200" s="54"/>
      <c r="D200" s="54"/>
      <c r="E200" s="54"/>
      <c r="F200" s="54"/>
    </row>
    <row r="201" spans="1:6" ht="12.75">
      <c r="A201" s="53"/>
      <c r="B201" s="54"/>
      <c r="C201" s="54"/>
      <c r="D201" s="54"/>
      <c r="E201" s="54"/>
      <c r="F201" s="54"/>
    </row>
    <row r="202" spans="1:6" ht="12.75">
      <c r="A202" s="53"/>
      <c r="B202" s="54"/>
      <c r="C202" s="54"/>
      <c r="D202" s="54"/>
      <c r="E202" s="54"/>
      <c r="F202" s="54"/>
    </row>
    <row r="203" spans="1:6" ht="12.75">
      <c r="A203" s="53"/>
      <c r="B203" s="54"/>
      <c r="C203" s="54"/>
      <c r="D203" s="54"/>
      <c r="E203" s="54"/>
      <c r="F203" s="54"/>
    </row>
    <row r="204" spans="1:6" ht="12.75">
      <c r="A204" s="53"/>
      <c r="B204" s="54"/>
      <c r="C204" s="54"/>
      <c r="D204" s="54"/>
      <c r="E204" s="54"/>
      <c r="F204" s="54"/>
    </row>
    <row r="205" spans="1:6" ht="12.75">
      <c r="A205" s="53"/>
      <c r="B205" s="54"/>
      <c r="C205" s="54"/>
      <c r="D205" s="54"/>
      <c r="E205" s="54"/>
      <c r="F205" s="54"/>
    </row>
    <row r="206" spans="1:6" ht="12.75">
      <c r="A206" s="53"/>
      <c r="B206" s="54"/>
      <c r="C206" s="54"/>
      <c r="D206" s="54"/>
      <c r="E206" s="54"/>
      <c r="F206" s="54"/>
    </row>
    <row r="207" spans="1:6" ht="12.75">
      <c r="A207" s="53"/>
      <c r="B207" s="54"/>
      <c r="C207" s="54"/>
      <c r="D207" s="54"/>
      <c r="E207" s="54"/>
      <c r="F207" s="54"/>
    </row>
    <row r="208" spans="1:6" ht="12.75">
      <c r="A208" s="53"/>
      <c r="B208" s="54"/>
      <c r="C208" s="54"/>
      <c r="D208" s="54"/>
      <c r="E208" s="54"/>
      <c r="F208" s="54"/>
    </row>
    <row r="209" spans="1:6" ht="12.75">
      <c r="A209" s="53"/>
      <c r="B209" s="54"/>
      <c r="C209" s="54"/>
      <c r="D209" s="54"/>
      <c r="E209" s="54"/>
      <c r="F209" s="54"/>
    </row>
    <row r="210" spans="1:6" ht="12.75">
      <c r="A210" s="53"/>
      <c r="B210" s="54"/>
      <c r="C210" s="54"/>
      <c r="D210" s="54"/>
      <c r="E210" s="54"/>
      <c r="F210" s="54"/>
    </row>
    <row r="211" spans="1:6" ht="12.75">
      <c r="A211" s="53"/>
      <c r="B211" s="54"/>
      <c r="C211" s="54"/>
      <c r="D211" s="54"/>
      <c r="E211" s="54"/>
      <c r="F211" s="54"/>
    </row>
    <row r="212" spans="1:7" ht="12.75">
      <c r="A212" s="53"/>
      <c r="B212" s="54"/>
      <c r="C212" s="54"/>
      <c r="D212" s="54"/>
      <c r="E212" s="54"/>
      <c r="F212" s="54"/>
      <c r="G212" s="52"/>
    </row>
    <row r="213" spans="1:6" ht="12.75">
      <c r="A213" s="53"/>
      <c r="B213" s="54"/>
      <c r="C213" s="54"/>
      <c r="D213" s="54"/>
      <c r="E213" s="54"/>
      <c r="F213" s="54"/>
    </row>
    <row r="214" spans="1:6" ht="12.75">
      <c r="A214" s="53"/>
      <c r="B214" s="54"/>
      <c r="C214" s="54"/>
      <c r="D214" s="54"/>
      <c r="E214" s="54"/>
      <c r="F214" s="54"/>
    </row>
    <row r="215" spans="1:6" ht="12.75">
      <c r="A215" s="53"/>
      <c r="B215" s="54"/>
      <c r="C215" s="54"/>
      <c r="D215" s="54"/>
      <c r="E215" s="54"/>
      <c r="F215" s="54"/>
    </row>
    <row r="216" spans="1:6" ht="12.75">
      <c r="A216" s="53"/>
      <c r="B216" s="54"/>
      <c r="C216" s="54"/>
      <c r="D216" s="54"/>
      <c r="E216" s="54"/>
      <c r="F216" s="54"/>
    </row>
    <row r="217" spans="1:6" ht="12.75">
      <c r="A217" s="53"/>
      <c r="B217" s="54"/>
      <c r="C217" s="54"/>
      <c r="D217" s="54"/>
      <c r="E217" s="54"/>
      <c r="F217" s="54"/>
    </row>
    <row r="218" spans="1:6" ht="12.75">
      <c r="A218" s="53"/>
      <c r="B218" s="54"/>
      <c r="C218" s="54"/>
      <c r="D218" s="54"/>
      <c r="E218" s="54"/>
      <c r="F218" s="54"/>
    </row>
    <row r="219" spans="1:6" ht="12.75">
      <c r="A219" s="53"/>
      <c r="B219" s="54"/>
      <c r="C219" s="54"/>
      <c r="D219" s="54"/>
      <c r="E219" s="54"/>
      <c r="F219" s="54"/>
    </row>
    <row r="220" spans="1:6" ht="12.75">
      <c r="A220" s="53"/>
      <c r="B220" s="54"/>
      <c r="C220" s="54"/>
      <c r="D220" s="54"/>
      <c r="E220" s="54"/>
      <c r="F220" s="54"/>
    </row>
    <row r="221" spans="1:6" ht="12.75">
      <c r="A221" s="53"/>
      <c r="B221" s="54"/>
      <c r="C221" s="54"/>
      <c r="D221" s="54"/>
      <c r="E221" s="54"/>
      <c r="F221" s="54"/>
    </row>
    <row r="222" spans="1:6" ht="12.75">
      <c r="A222" s="53"/>
      <c r="B222" s="54"/>
      <c r="C222" s="54"/>
      <c r="D222" s="54"/>
      <c r="E222" s="54"/>
      <c r="F222" s="54"/>
    </row>
    <row r="223" spans="1:6" ht="12.75">
      <c r="A223" s="53"/>
      <c r="B223" s="54"/>
      <c r="C223" s="54"/>
      <c r="D223" s="54"/>
      <c r="E223" s="54"/>
      <c r="F223" s="54"/>
    </row>
    <row r="224" spans="1:6" ht="12.75">
      <c r="A224" s="53"/>
      <c r="B224" s="54"/>
      <c r="C224" s="54"/>
      <c r="D224" s="54"/>
      <c r="E224" s="54"/>
      <c r="F224" s="54"/>
    </row>
    <row r="225" spans="1:6" ht="12.75">
      <c r="A225" s="53"/>
      <c r="B225" s="54"/>
      <c r="C225" s="54"/>
      <c r="D225" s="54"/>
      <c r="E225" s="54"/>
      <c r="F225" s="54"/>
    </row>
    <row r="226" spans="1:6" ht="12.75">
      <c r="A226" s="53"/>
      <c r="B226" s="54"/>
      <c r="C226" s="54"/>
      <c r="D226" s="54"/>
      <c r="E226" s="54"/>
      <c r="F226" s="54"/>
    </row>
    <row r="227" spans="1:6" ht="12.75">
      <c r="A227" s="53"/>
      <c r="B227" s="54"/>
      <c r="C227" s="54"/>
      <c r="D227" s="54"/>
      <c r="E227" s="54"/>
      <c r="F227" s="54"/>
    </row>
    <row r="228" spans="1:6" ht="12.75">
      <c r="A228" s="53"/>
      <c r="B228" s="54"/>
      <c r="C228" s="54"/>
      <c r="D228" s="54"/>
      <c r="E228" s="54"/>
      <c r="F228" s="54"/>
    </row>
    <row r="229" spans="1:6" ht="12.75">
      <c r="A229" s="53"/>
      <c r="B229" s="54"/>
      <c r="C229" s="54"/>
      <c r="D229" s="54"/>
      <c r="E229" s="54"/>
      <c r="F229" s="54"/>
    </row>
    <row r="230" spans="1:6" ht="12.75">
      <c r="A230" s="53"/>
      <c r="B230" s="54"/>
      <c r="C230" s="54"/>
      <c r="D230" s="54"/>
      <c r="E230" s="54"/>
      <c r="F230" s="54"/>
    </row>
    <row r="231" spans="1:6" ht="12.75">
      <c r="A231" s="53"/>
      <c r="B231" s="54"/>
      <c r="C231" s="54"/>
      <c r="D231" s="54"/>
      <c r="E231" s="54"/>
      <c r="F231" s="54"/>
    </row>
    <row r="232" spans="1:6" ht="12.75">
      <c r="A232" s="53"/>
      <c r="B232" s="54"/>
      <c r="C232" s="54"/>
      <c r="D232" s="54"/>
      <c r="E232" s="54"/>
      <c r="F232" s="54"/>
    </row>
    <row r="233" spans="1:6" ht="12.75">
      <c r="A233" s="53"/>
      <c r="B233" s="54"/>
      <c r="C233" s="54"/>
      <c r="D233" s="54"/>
      <c r="E233" s="54"/>
      <c r="F233" s="54"/>
    </row>
    <row r="234" spans="1:6" ht="12.75">
      <c r="A234" s="53"/>
      <c r="B234" s="54"/>
      <c r="C234" s="54"/>
      <c r="D234" s="54"/>
      <c r="E234" s="54"/>
      <c r="F234" s="54"/>
    </row>
    <row r="235" spans="1:6" ht="12.75">
      <c r="A235" s="53"/>
      <c r="B235" s="54"/>
      <c r="C235" s="54"/>
      <c r="D235" s="54"/>
      <c r="E235" s="54"/>
      <c r="F235" s="54"/>
    </row>
    <row r="236" spans="1:6" ht="12.75">
      <c r="A236" s="53"/>
      <c r="B236" s="54"/>
      <c r="C236" s="54"/>
      <c r="D236" s="54"/>
      <c r="E236" s="54"/>
      <c r="F236" s="54"/>
    </row>
    <row r="237" spans="1:6" ht="12.75">
      <c r="A237" s="53"/>
      <c r="B237" s="54"/>
      <c r="C237" s="54"/>
      <c r="D237" s="54"/>
      <c r="E237" s="54"/>
      <c r="F237" s="54"/>
    </row>
    <row r="238" spans="1:7" ht="12.75">
      <c r="A238" s="53"/>
      <c r="B238" s="54"/>
      <c r="C238" s="54"/>
      <c r="D238" s="54"/>
      <c r="E238" s="54"/>
      <c r="F238" s="54"/>
      <c r="G238" s="52"/>
    </row>
    <row r="239" spans="1:6" ht="12.75">
      <c r="A239" s="53"/>
      <c r="B239" s="54"/>
      <c r="C239" s="54"/>
      <c r="D239" s="54"/>
      <c r="E239" s="54"/>
      <c r="F239" s="54"/>
    </row>
    <row r="240" spans="1:6" ht="12.75">
      <c r="A240" s="53"/>
      <c r="B240" s="54"/>
      <c r="C240" s="54"/>
      <c r="D240" s="54"/>
      <c r="E240" s="54"/>
      <c r="F240" s="54"/>
    </row>
    <row r="241" spans="1:6" ht="12.75">
      <c r="A241" s="53"/>
      <c r="B241" s="54"/>
      <c r="C241" s="54"/>
      <c r="D241" s="54"/>
      <c r="E241" s="54"/>
      <c r="F241" s="54"/>
    </row>
    <row r="242" spans="1:6" ht="12.75">
      <c r="A242" s="53"/>
      <c r="B242" s="54"/>
      <c r="C242" s="54"/>
      <c r="D242" s="54"/>
      <c r="E242" s="54"/>
      <c r="F242" s="54"/>
    </row>
    <row r="243" spans="1:6" ht="12.75">
      <c r="A243" s="53"/>
      <c r="B243" s="54"/>
      <c r="C243" s="54"/>
      <c r="D243" s="54"/>
      <c r="E243" s="54"/>
      <c r="F243" s="54"/>
    </row>
    <row r="244" spans="1:6" ht="12.75">
      <c r="A244" s="53"/>
      <c r="B244" s="54"/>
      <c r="C244" s="54"/>
      <c r="D244" s="54"/>
      <c r="E244" s="54"/>
      <c r="F244" s="54"/>
    </row>
    <row r="245" spans="1:6" ht="12.75">
      <c r="A245" s="53"/>
      <c r="B245" s="54"/>
      <c r="C245" s="54"/>
      <c r="D245" s="54"/>
      <c r="E245" s="54"/>
      <c r="F245" s="54"/>
    </row>
    <row r="246" spans="1:6" ht="12.75">
      <c r="A246" s="53"/>
      <c r="B246" s="54"/>
      <c r="C246" s="54"/>
      <c r="D246" s="54"/>
      <c r="E246" s="54"/>
      <c r="F246" s="54"/>
    </row>
    <row r="247" spans="1:6" ht="12.75">
      <c r="A247" s="53"/>
      <c r="B247" s="54"/>
      <c r="C247" s="54"/>
      <c r="D247" s="54"/>
      <c r="E247" s="54"/>
      <c r="F247" s="54"/>
    </row>
    <row r="248" spans="1:6" ht="12.75">
      <c r="A248" s="53"/>
      <c r="B248" s="54"/>
      <c r="C248" s="54"/>
      <c r="D248" s="54"/>
      <c r="E248" s="54"/>
      <c r="F248" s="54"/>
    </row>
    <row r="249" spans="1:6" ht="12.75">
      <c r="A249" s="53"/>
      <c r="B249" s="54"/>
      <c r="C249" s="54"/>
      <c r="D249" s="54"/>
      <c r="E249" s="54"/>
      <c r="F249" s="54"/>
    </row>
    <row r="250" spans="1:6" ht="12.75">
      <c r="A250" s="53"/>
      <c r="B250" s="54"/>
      <c r="C250" s="54"/>
      <c r="D250" s="54"/>
      <c r="E250" s="54"/>
      <c r="F250" s="54"/>
    </row>
    <row r="251" spans="1:6" ht="12.75">
      <c r="A251" s="53"/>
      <c r="B251" s="54"/>
      <c r="C251" s="54"/>
      <c r="D251" s="54"/>
      <c r="E251" s="54"/>
      <c r="F251" s="54"/>
    </row>
    <row r="252" spans="1:6" ht="12.75">
      <c r="A252" s="53"/>
      <c r="B252" s="54"/>
      <c r="C252" s="54"/>
      <c r="D252" s="54"/>
      <c r="E252" s="54"/>
      <c r="F252" s="54"/>
    </row>
    <row r="253" spans="1:6" ht="12.75">
      <c r="A253" s="53"/>
      <c r="B253" s="54"/>
      <c r="C253" s="54"/>
      <c r="D253" s="54"/>
      <c r="E253" s="54"/>
      <c r="F253" s="54"/>
    </row>
    <row r="254" spans="1:6" ht="12.75">
      <c r="A254" s="53"/>
      <c r="B254" s="54"/>
      <c r="C254" s="54"/>
      <c r="D254" s="54"/>
      <c r="E254" s="54"/>
      <c r="F254" s="54"/>
    </row>
    <row r="255" spans="1:6" ht="12.75">
      <c r="A255" s="53"/>
      <c r="B255" s="54"/>
      <c r="C255" s="54"/>
      <c r="D255" s="54"/>
      <c r="E255" s="54"/>
      <c r="F255" s="54"/>
    </row>
    <row r="256" spans="1:6" ht="12.75">
      <c r="A256" s="53"/>
      <c r="B256" s="54"/>
      <c r="C256" s="54"/>
      <c r="D256" s="54"/>
      <c r="E256" s="54"/>
      <c r="F256" s="54"/>
    </row>
    <row r="257" spans="1:6" ht="12.75">
      <c r="A257" s="53"/>
      <c r="B257" s="54"/>
      <c r="C257" s="54"/>
      <c r="D257" s="54"/>
      <c r="E257" s="54"/>
      <c r="F257" s="54"/>
    </row>
    <row r="258" spans="1:6" ht="12.75">
      <c r="A258" s="53"/>
      <c r="B258" s="54"/>
      <c r="C258" s="54"/>
      <c r="D258" s="54"/>
      <c r="E258" s="54"/>
      <c r="F258" s="54"/>
    </row>
    <row r="259" spans="1:6" ht="12.75">
      <c r="A259" s="53"/>
      <c r="B259" s="54"/>
      <c r="C259" s="54"/>
      <c r="D259" s="54"/>
      <c r="E259" s="54"/>
      <c r="F259" s="54"/>
    </row>
    <row r="260" spans="1:6" ht="12.75">
      <c r="A260" s="53"/>
      <c r="B260" s="54"/>
      <c r="C260" s="54"/>
      <c r="D260" s="54"/>
      <c r="E260" s="54"/>
      <c r="F260" s="54"/>
    </row>
    <row r="261" spans="1:6" ht="12.75">
      <c r="A261" s="53"/>
      <c r="B261" s="54"/>
      <c r="C261" s="54"/>
      <c r="D261" s="54"/>
      <c r="E261" s="54"/>
      <c r="F261" s="54"/>
    </row>
    <row r="262" spans="1:6" ht="12.75">
      <c r="A262" s="53"/>
      <c r="B262" s="54"/>
      <c r="C262" s="54"/>
      <c r="D262" s="54"/>
      <c r="E262" s="54"/>
      <c r="F262" s="54"/>
    </row>
    <row r="263" spans="1:6" ht="12.75">
      <c r="A263" s="53"/>
      <c r="B263" s="54"/>
      <c r="C263" s="54"/>
      <c r="D263" s="54"/>
      <c r="E263" s="54"/>
      <c r="F263" s="54"/>
    </row>
    <row r="264" spans="1:7" ht="12.75">
      <c r="A264" s="53"/>
      <c r="B264" s="54"/>
      <c r="C264" s="54"/>
      <c r="D264" s="54"/>
      <c r="E264" s="54"/>
      <c r="F264" s="54"/>
      <c r="G264" s="52"/>
    </row>
    <row r="265" spans="1:6" ht="12.75">
      <c r="A265" s="53"/>
      <c r="B265" s="54"/>
      <c r="C265" s="54"/>
      <c r="D265" s="54"/>
      <c r="E265" s="54"/>
      <c r="F265" s="54"/>
    </row>
    <row r="266" spans="1:6" ht="12.75">
      <c r="A266" s="53"/>
      <c r="B266" s="54"/>
      <c r="C266" s="54"/>
      <c r="D266" s="54"/>
      <c r="E266" s="54"/>
      <c r="F266" s="54"/>
    </row>
    <row r="267" spans="1:6" ht="12.75">
      <c r="A267" s="53"/>
      <c r="B267" s="54"/>
      <c r="C267" s="54"/>
      <c r="D267" s="54"/>
      <c r="E267" s="54"/>
      <c r="F267" s="54"/>
    </row>
    <row r="268" spans="1:6" ht="12.75">
      <c r="A268" s="53"/>
      <c r="B268" s="54"/>
      <c r="C268" s="54"/>
      <c r="D268" s="54"/>
      <c r="E268" s="54"/>
      <c r="F268" s="54"/>
    </row>
    <row r="269" spans="1:6" ht="12.75">
      <c r="A269" s="53"/>
      <c r="B269" s="54"/>
      <c r="C269" s="54"/>
      <c r="D269" s="54"/>
      <c r="E269" s="54"/>
      <c r="F269" s="54"/>
    </row>
    <row r="270" spans="1:6" ht="12.75">
      <c r="A270" s="53"/>
      <c r="B270" s="54"/>
      <c r="C270" s="54"/>
      <c r="D270" s="54"/>
      <c r="E270" s="54"/>
      <c r="F270" s="54"/>
    </row>
    <row r="271" spans="1:6" ht="12.75">
      <c r="A271" s="53"/>
      <c r="B271" s="54"/>
      <c r="C271" s="54"/>
      <c r="D271" s="54"/>
      <c r="E271" s="54"/>
      <c r="F271" s="54"/>
    </row>
    <row r="272" spans="1:6" ht="12.75">
      <c r="A272" s="53"/>
      <c r="B272" s="54"/>
      <c r="C272" s="54"/>
      <c r="D272" s="54"/>
      <c r="E272" s="54"/>
      <c r="F272" s="54"/>
    </row>
    <row r="273" spans="1:6" ht="12.75">
      <c r="A273" s="53"/>
      <c r="B273" s="54"/>
      <c r="C273" s="54"/>
      <c r="D273" s="54"/>
      <c r="E273" s="54"/>
      <c r="F273" s="54"/>
    </row>
    <row r="274" spans="1:6" ht="12.75">
      <c r="A274" s="53"/>
      <c r="B274" s="54"/>
      <c r="C274" s="54"/>
      <c r="D274" s="54"/>
      <c r="E274" s="54"/>
      <c r="F274" s="54"/>
    </row>
    <row r="275" spans="1:6" ht="12.75">
      <c r="A275" s="53"/>
      <c r="B275" s="54"/>
      <c r="C275" s="54"/>
      <c r="D275" s="54"/>
      <c r="E275" s="54"/>
      <c r="F275" s="54"/>
    </row>
    <row r="276" spans="1:6" ht="12.75">
      <c r="A276" s="53"/>
      <c r="B276" s="54"/>
      <c r="C276" s="54"/>
      <c r="D276" s="54"/>
      <c r="E276" s="54"/>
      <c r="F276" s="54"/>
    </row>
    <row r="277" spans="1:6" ht="12.75">
      <c r="A277" s="53"/>
      <c r="B277" s="54"/>
      <c r="C277" s="54"/>
      <c r="D277" s="54"/>
      <c r="E277" s="54"/>
      <c r="F277" s="54"/>
    </row>
    <row r="278" spans="1:6" ht="12.75">
      <c r="A278" s="53"/>
      <c r="B278" s="54"/>
      <c r="C278" s="54"/>
      <c r="D278" s="54"/>
      <c r="E278" s="54"/>
      <c r="F278" s="54"/>
    </row>
    <row r="279" spans="1:6" ht="12.75">
      <c r="A279" s="53"/>
      <c r="B279" s="54"/>
      <c r="C279" s="54"/>
      <c r="D279" s="54"/>
      <c r="E279" s="54"/>
      <c r="F279" s="54"/>
    </row>
    <row r="280" spans="1:6" ht="12.75">
      <c r="A280" s="53"/>
      <c r="B280" s="54"/>
      <c r="C280" s="54"/>
      <c r="D280" s="54"/>
      <c r="E280" s="54"/>
      <c r="F280" s="54"/>
    </row>
    <row r="281" spans="1:6" ht="12.75">
      <c r="A281" s="53"/>
      <c r="B281" s="54"/>
      <c r="C281" s="54"/>
      <c r="D281" s="54"/>
      <c r="E281" s="54"/>
      <c r="F281" s="54"/>
    </row>
    <row r="282" spans="1:6" ht="12.75">
      <c r="A282" s="53"/>
      <c r="B282" s="54"/>
      <c r="C282" s="54"/>
      <c r="D282" s="54"/>
      <c r="E282" s="54"/>
      <c r="F282" s="54"/>
    </row>
    <row r="283" spans="1:6" ht="12.75">
      <c r="A283" s="53"/>
      <c r="B283" s="54"/>
      <c r="C283" s="54"/>
      <c r="D283" s="54"/>
      <c r="E283" s="54"/>
      <c r="F283" s="54"/>
    </row>
    <row r="284" spans="1:6" ht="12.75">
      <c r="A284" s="53"/>
      <c r="B284" s="54"/>
      <c r="C284" s="54"/>
      <c r="D284" s="54"/>
      <c r="E284" s="54"/>
      <c r="F284" s="54"/>
    </row>
    <row r="285" spans="1:6" ht="12.75">
      <c r="A285" s="53"/>
      <c r="B285" s="54"/>
      <c r="C285" s="54"/>
      <c r="D285" s="54"/>
      <c r="E285" s="54"/>
      <c r="F285" s="54"/>
    </row>
    <row r="286" spans="1:6" ht="12.75">
      <c r="A286" s="53"/>
      <c r="B286" s="54"/>
      <c r="C286" s="54"/>
      <c r="D286" s="54"/>
      <c r="E286" s="54"/>
      <c r="F286" s="54"/>
    </row>
    <row r="287" spans="1:6" ht="12.75">
      <c r="A287" s="53"/>
      <c r="B287" s="54"/>
      <c r="C287" s="54"/>
      <c r="D287" s="54"/>
      <c r="E287" s="54"/>
      <c r="F287" s="54"/>
    </row>
    <row r="288" spans="1:6" ht="12.75">
      <c r="A288" s="53"/>
      <c r="B288" s="54"/>
      <c r="C288" s="54"/>
      <c r="D288" s="54"/>
      <c r="E288" s="54"/>
      <c r="F288" s="54"/>
    </row>
    <row r="289" spans="1:6" ht="12.75">
      <c r="A289" s="53"/>
      <c r="B289" s="54"/>
      <c r="C289" s="54"/>
      <c r="D289" s="54"/>
      <c r="E289" s="54"/>
      <c r="F289" s="54"/>
    </row>
    <row r="290" spans="1:7" ht="12.75">
      <c r="A290" s="53"/>
      <c r="B290" s="54"/>
      <c r="C290" s="54"/>
      <c r="D290" s="54"/>
      <c r="E290" s="54"/>
      <c r="F290" s="54"/>
      <c r="G290" s="52"/>
    </row>
    <row r="291" spans="1:6" ht="12.75">
      <c r="A291" s="53"/>
      <c r="B291" s="54"/>
      <c r="C291" s="54"/>
      <c r="D291" s="54"/>
      <c r="E291" s="54"/>
      <c r="F291" s="54"/>
    </row>
    <row r="292" spans="1:6" ht="12.75">
      <c r="A292" s="53"/>
      <c r="B292" s="54"/>
      <c r="C292" s="54"/>
      <c r="D292" s="54"/>
      <c r="E292" s="54"/>
      <c r="F292" s="54"/>
    </row>
    <row r="293" spans="1:6" ht="12.75">
      <c r="A293" s="53"/>
      <c r="B293" s="54"/>
      <c r="C293" s="54"/>
      <c r="D293" s="54"/>
      <c r="E293" s="54"/>
      <c r="F293" s="54"/>
    </row>
    <row r="294" spans="1:6" ht="12.75">
      <c r="A294" s="53"/>
      <c r="B294" s="54"/>
      <c r="C294" s="54"/>
      <c r="D294" s="54"/>
      <c r="E294" s="54"/>
      <c r="F294" s="54"/>
    </row>
    <row r="295" spans="1:6" ht="12.75">
      <c r="A295" s="53"/>
      <c r="B295" s="54"/>
      <c r="C295" s="54"/>
      <c r="D295" s="54"/>
      <c r="E295" s="54"/>
      <c r="F295" s="54"/>
    </row>
    <row r="296" spans="1:6" ht="12.75">
      <c r="A296" s="53"/>
      <c r="B296" s="54"/>
      <c r="C296" s="54"/>
      <c r="D296" s="54"/>
      <c r="E296" s="54"/>
      <c r="F296" s="54"/>
    </row>
    <row r="297" spans="1:6" ht="12.75">
      <c r="A297" s="53"/>
      <c r="B297" s="54"/>
      <c r="C297" s="54"/>
      <c r="D297" s="54"/>
      <c r="E297" s="54"/>
      <c r="F297" s="54"/>
    </row>
    <row r="298" spans="1:6" ht="12.75">
      <c r="A298" s="53"/>
      <c r="B298" s="54"/>
      <c r="C298" s="54"/>
      <c r="D298" s="54"/>
      <c r="E298" s="54"/>
      <c r="F298" s="54"/>
    </row>
    <row r="299" spans="1:6" ht="12.75">
      <c r="A299" s="53"/>
      <c r="B299" s="54"/>
      <c r="C299" s="54"/>
      <c r="D299" s="54"/>
      <c r="E299" s="54"/>
      <c r="F299" s="54"/>
    </row>
    <row r="300" spans="1:6" ht="12.75">
      <c r="A300" s="53"/>
      <c r="B300" s="54"/>
      <c r="C300" s="54"/>
      <c r="D300" s="54"/>
      <c r="E300" s="54"/>
      <c r="F300" s="54"/>
    </row>
    <row r="301" spans="1:6" ht="12.75">
      <c r="A301" s="53"/>
      <c r="B301" s="54"/>
      <c r="C301" s="54"/>
      <c r="D301" s="54"/>
      <c r="E301" s="54"/>
      <c r="F301" s="54"/>
    </row>
    <row r="302" spans="1:6" ht="12.75">
      <c r="A302" s="53"/>
      <c r="B302" s="54"/>
      <c r="C302" s="54"/>
      <c r="D302" s="54"/>
      <c r="E302" s="54"/>
      <c r="F302" s="54"/>
    </row>
    <row r="303" spans="1:6" ht="12.75">
      <c r="A303" s="53"/>
      <c r="B303" s="54"/>
      <c r="C303" s="54"/>
      <c r="D303" s="54"/>
      <c r="E303" s="54"/>
      <c r="F303" s="54"/>
    </row>
    <row r="304" spans="1:6" ht="12.75">
      <c r="A304" s="53"/>
      <c r="B304" s="54"/>
      <c r="C304" s="54"/>
      <c r="D304" s="54"/>
      <c r="E304" s="54"/>
      <c r="F304" s="54"/>
    </row>
    <row r="305" spans="1:6" ht="12.75">
      <c r="A305" s="53"/>
      <c r="B305" s="54"/>
      <c r="C305" s="54"/>
      <c r="D305" s="54"/>
      <c r="E305" s="54"/>
      <c r="F305" s="54"/>
    </row>
    <row r="306" spans="1:6" ht="12.75">
      <c r="A306" s="53"/>
      <c r="B306" s="54"/>
      <c r="C306" s="54"/>
      <c r="D306" s="54"/>
      <c r="E306" s="54"/>
      <c r="F306" s="54"/>
    </row>
    <row r="307" spans="1:6" ht="12.75">
      <c r="A307" s="53"/>
      <c r="B307" s="54"/>
      <c r="C307" s="54"/>
      <c r="D307" s="54"/>
      <c r="E307" s="54"/>
      <c r="F307" s="54"/>
    </row>
    <row r="308" spans="1:6" ht="12.75">
      <c r="A308" s="53"/>
      <c r="B308" s="54"/>
      <c r="C308" s="54"/>
      <c r="D308" s="54"/>
      <c r="E308" s="54"/>
      <c r="F308" s="54"/>
    </row>
    <row r="309" spans="1:6" ht="12.75">
      <c r="A309" s="53"/>
      <c r="B309" s="54"/>
      <c r="C309" s="54"/>
      <c r="D309" s="54"/>
      <c r="E309" s="54"/>
      <c r="F309" s="54"/>
    </row>
    <row r="310" spans="1:6" ht="12.75">
      <c r="A310" s="53"/>
      <c r="B310" s="54"/>
      <c r="C310" s="54"/>
      <c r="D310" s="54"/>
      <c r="E310" s="54"/>
      <c r="F310" s="54"/>
    </row>
    <row r="311" spans="1:6" ht="12.75">
      <c r="A311" s="53"/>
      <c r="B311" s="54"/>
      <c r="C311" s="54"/>
      <c r="D311" s="54"/>
      <c r="E311" s="54"/>
      <c r="F311" s="54"/>
    </row>
    <row r="312" spans="1:6" ht="12.75">
      <c r="A312" s="53"/>
      <c r="B312" s="54"/>
      <c r="C312" s="54"/>
      <c r="D312" s="54"/>
      <c r="E312" s="54"/>
      <c r="F312" s="54"/>
    </row>
    <row r="313" spans="1:6" ht="12.75">
      <c r="A313" s="53"/>
      <c r="B313" s="54"/>
      <c r="C313" s="54"/>
      <c r="D313" s="54"/>
      <c r="E313" s="54"/>
      <c r="F313" s="54"/>
    </row>
    <row r="314" spans="1:6" ht="12.75">
      <c r="A314" s="53"/>
      <c r="B314" s="54"/>
      <c r="C314" s="54"/>
      <c r="D314" s="54"/>
      <c r="E314" s="54"/>
      <c r="F314" s="54"/>
    </row>
    <row r="315" spans="1:6" ht="12.75">
      <c r="A315" s="53"/>
      <c r="B315" s="54"/>
      <c r="C315" s="54"/>
      <c r="D315" s="54"/>
      <c r="E315" s="54"/>
      <c r="F315" s="54"/>
    </row>
    <row r="316" spans="1:7" ht="12.75">
      <c r="A316" s="53"/>
      <c r="B316" s="54"/>
      <c r="C316" s="54"/>
      <c r="D316" s="54"/>
      <c r="E316" s="54"/>
      <c r="F316" s="54"/>
      <c r="G316" s="52"/>
    </row>
    <row r="317" spans="1:6" ht="12.75">
      <c r="A317" s="53"/>
      <c r="B317" s="54"/>
      <c r="C317" s="54"/>
      <c r="D317" s="54"/>
      <c r="E317" s="54"/>
      <c r="F317" s="54"/>
    </row>
    <row r="318" spans="1:6" ht="12.75">
      <c r="A318" s="53"/>
      <c r="B318" s="54"/>
      <c r="C318" s="54"/>
      <c r="D318" s="54"/>
      <c r="E318" s="54"/>
      <c r="F318" s="54"/>
    </row>
    <row r="319" spans="1:6" ht="12.75">
      <c r="A319" s="53"/>
      <c r="B319" s="54"/>
      <c r="C319" s="54"/>
      <c r="D319" s="54"/>
      <c r="E319" s="54"/>
      <c r="F319" s="54"/>
    </row>
    <row r="320" spans="1:6" ht="12.75">
      <c r="A320" s="53"/>
      <c r="B320" s="54"/>
      <c r="C320" s="54"/>
      <c r="D320" s="54"/>
      <c r="E320" s="54"/>
      <c r="F320" s="54"/>
    </row>
    <row r="321" spans="1:6" ht="12.75">
      <c r="A321" s="53"/>
      <c r="B321" s="54"/>
      <c r="C321" s="54"/>
      <c r="D321" s="54"/>
      <c r="E321" s="54"/>
      <c r="F321" s="54"/>
    </row>
    <row r="322" spans="1:6" ht="12.75">
      <c r="A322" s="53"/>
      <c r="B322" s="54"/>
      <c r="C322" s="54"/>
      <c r="D322" s="54"/>
      <c r="E322" s="54"/>
      <c r="F322" s="54"/>
    </row>
    <row r="323" spans="1:6" ht="12.75">
      <c r="A323" s="53"/>
      <c r="B323" s="54"/>
      <c r="C323" s="54"/>
      <c r="D323" s="54"/>
      <c r="E323" s="54"/>
      <c r="F323" s="54"/>
    </row>
    <row r="324" spans="1:6" ht="12.75">
      <c r="A324" s="53"/>
      <c r="B324" s="54"/>
      <c r="C324" s="54"/>
      <c r="D324" s="54"/>
      <c r="E324" s="54"/>
      <c r="F324" s="54"/>
    </row>
    <row r="325" spans="1:6" ht="12.75">
      <c r="A325" s="53"/>
      <c r="B325" s="54"/>
      <c r="C325" s="54"/>
      <c r="D325" s="54"/>
      <c r="E325" s="54"/>
      <c r="F325" s="54"/>
    </row>
    <row r="326" spans="1:6" ht="12.75">
      <c r="A326" s="53"/>
      <c r="B326" s="54"/>
      <c r="C326" s="54"/>
      <c r="D326" s="54"/>
      <c r="E326" s="54"/>
      <c r="F326" s="54"/>
    </row>
    <row r="327" spans="1:6" ht="12.75">
      <c r="A327" s="53"/>
      <c r="B327" s="54"/>
      <c r="C327" s="54"/>
      <c r="D327" s="54"/>
      <c r="E327" s="54"/>
      <c r="F327" s="54"/>
    </row>
    <row r="328" spans="1:6" ht="12.75">
      <c r="A328" s="53"/>
      <c r="B328" s="54"/>
      <c r="C328" s="54"/>
      <c r="D328" s="54"/>
      <c r="E328" s="54"/>
      <c r="F328" s="54"/>
    </row>
    <row r="329" spans="1:6" ht="12.75">
      <c r="A329" s="53"/>
      <c r="B329" s="54"/>
      <c r="C329" s="54"/>
      <c r="D329" s="54"/>
      <c r="E329" s="54"/>
      <c r="F329" s="54"/>
    </row>
    <row r="330" spans="1:6" ht="12.75">
      <c r="A330" s="53"/>
      <c r="B330" s="54"/>
      <c r="C330" s="54"/>
      <c r="D330" s="54"/>
      <c r="E330" s="54"/>
      <c r="F330" s="54"/>
    </row>
    <row r="331" spans="1:6" ht="12.75">
      <c r="A331" s="53"/>
      <c r="B331" s="54"/>
      <c r="C331" s="54"/>
      <c r="D331" s="54"/>
      <c r="E331" s="54"/>
      <c r="F331" s="54"/>
    </row>
    <row r="332" spans="1:6" ht="12.75">
      <c r="A332" s="53"/>
      <c r="B332" s="54"/>
      <c r="C332" s="54"/>
      <c r="D332" s="54"/>
      <c r="E332" s="54"/>
      <c r="F332" s="54"/>
    </row>
    <row r="333" spans="1:6" ht="12.75">
      <c r="A333" s="53"/>
      <c r="B333" s="54"/>
      <c r="C333" s="54"/>
      <c r="D333" s="54"/>
      <c r="E333" s="54"/>
      <c r="F333" s="54"/>
    </row>
    <row r="334" spans="1:6" ht="12.75">
      <c r="A334" s="53"/>
      <c r="B334" s="54"/>
      <c r="C334" s="54"/>
      <c r="D334" s="54"/>
      <c r="E334" s="54"/>
      <c r="F334" s="54"/>
    </row>
    <row r="335" spans="1:6" ht="12.75">
      <c r="A335" s="53"/>
      <c r="B335" s="54"/>
      <c r="C335" s="54"/>
      <c r="D335" s="54"/>
      <c r="E335" s="54"/>
      <c r="F335" s="54"/>
    </row>
    <row r="336" spans="1:6" ht="12.75">
      <c r="A336" s="53"/>
      <c r="B336" s="54"/>
      <c r="C336" s="54"/>
      <c r="D336" s="54"/>
      <c r="E336" s="54"/>
      <c r="F336" s="54"/>
    </row>
    <row r="337" spans="1:6" ht="12.75">
      <c r="A337" s="53"/>
      <c r="B337" s="54"/>
      <c r="C337" s="54"/>
      <c r="D337" s="54"/>
      <c r="E337" s="54"/>
      <c r="F337" s="54"/>
    </row>
    <row r="338" spans="1:6" ht="12.75">
      <c r="A338" s="53"/>
      <c r="B338" s="54"/>
      <c r="C338" s="54"/>
      <c r="D338" s="54"/>
      <c r="E338" s="54"/>
      <c r="F338" s="54"/>
    </row>
    <row r="339" spans="1:6" ht="12.75">
      <c r="A339" s="53"/>
      <c r="B339" s="54"/>
      <c r="C339" s="54"/>
      <c r="D339" s="54"/>
      <c r="E339" s="54"/>
      <c r="F339" s="54"/>
    </row>
    <row r="340" spans="1:6" ht="12.75">
      <c r="A340" s="53"/>
      <c r="B340" s="54"/>
      <c r="C340" s="54"/>
      <c r="D340" s="54"/>
      <c r="E340" s="54"/>
      <c r="F340" s="54"/>
    </row>
    <row r="341" spans="1:6" ht="12.75">
      <c r="A341" s="53"/>
      <c r="B341" s="54"/>
      <c r="C341" s="54"/>
      <c r="D341" s="54"/>
      <c r="E341" s="54"/>
      <c r="F341" s="54"/>
    </row>
    <row r="342" spans="1:7" ht="12.75">
      <c r="A342" s="53"/>
      <c r="B342" s="54"/>
      <c r="C342" s="54"/>
      <c r="D342" s="54"/>
      <c r="E342" s="54"/>
      <c r="F342" s="54"/>
      <c r="G342" s="52"/>
    </row>
    <row r="343" spans="1:6" ht="12.75">
      <c r="A343" s="53"/>
      <c r="B343" s="54"/>
      <c r="C343" s="54"/>
      <c r="D343" s="54"/>
      <c r="E343" s="54"/>
      <c r="F343" s="54"/>
    </row>
    <row r="344" spans="1:6" ht="12.75">
      <c r="A344" s="53"/>
      <c r="B344" s="54"/>
      <c r="C344" s="54"/>
      <c r="D344" s="54"/>
      <c r="E344" s="54"/>
      <c r="F344" s="54"/>
    </row>
    <row r="345" spans="1:6" ht="12.75">
      <c r="A345" s="53"/>
      <c r="B345" s="54"/>
      <c r="C345" s="54"/>
      <c r="D345" s="54"/>
      <c r="E345" s="54"/>
      <c r="F345" s="54"/>
    </row>
    <row r="346" spans="1:6" ht="12.75">
      <c r="A346" s="53"/>
      <c r="B346" s="54"/>
      <c r="C346" s="54"/>
      <c r="D346" s="54"/>
      <c r="E346" s="54"/>
      <c r="F346" s="54"/>
    </row>
    <row r="347" spans="1:6" ht="12.75">
      <c r="A347" s="53"/>
      <c r="B347" s="54"/>
      <c r="C347" s="54"/>
      <c r="D347" s="54"/>
      <c r="E347" s="54"/>
      <c r="F347" s="54"/>
    </row>
    <row r="348" spans="1:6" ht="12.75">
      <c r="A348" s="53"/>
      <c r="B348" s="54"/>
      <c r="C348" s="54"/>
      <c r="D348" s="54"/>
      <c r="E348" s="54"/>
      <c r="F348" s="54"/>
    </row>
    <row r="349" spans="1:6" ht="12.75">
      <c r="A349" s="53"/>
      <c r="B349" s="54"/>
      <c r="C349" s="54"/>
      <c r="D349" s="54"/>
      <c r="E349" s="54"/>
      <c r="F349" s="54"/>
    </row>
    <row r="350" spans="1:6" ht="12.75">
      <c r="A350" s="53"/>
      <c r="B350" s="54"/>
      <c r="C350" s="54"/>
      <c r="D350" s="54"/>
      <c r="E350" s="54"/>
      <c r="F350" s="54"/>
    </row>
    <row r="351" spans="1:6" ht="12.75">
      <c r="A351" s="53"/>
      <c r="B351" s="54"/>
      <c r="C351" s="54"/>
      <c r="D351" s="54"/>
      <c r="E351" s="54"/>
      <c r="F351" s="54"/>
    </row>
    <row r="352" spans="1:6" ht="12.75">
      <c r="A352" s="53"/>
      <c r="B352" s="54"/>
      <c r="C352" s="54"/>
      <c r="D352" s="54"/>
      <c r="E352" s="54"/>
      <c r="F352" s="54"/>
    </row>
    <row r="353" spans="1:6" ht="12.75">
      <c r="A353" s="53"/>
      <c r="B353" s="54"/>
      <c r="C353" s="54"/>
      <c r="D353" s="54"/>
      <c r="E353" s="54"/>
      <c r="F353" s="54"/>
    </row>
    <row r="354" spans="1:6" ht="12.75">
      <c r="A354" s="53"/>
      <c r="B354" s="54"/>
      <c r="C354" s="54"/>
      <c r="D354" s="54"/>
      <c r="E354" s="54"/>
      <c r="F354" s="54"/>
    </row>
    <row r="355" spans="1:6" ht="12.75">
      <c r="A355" s="53"/>
      <c r="B355" s="54"/>
      <c r="C355" s="54"/>
      <c r="D355" s="54"/>
      <c r="E355" s="54"/>
      <c r="F355" s="54"/>
    </row>
    <row r="356" spans="1:6" ht="12.75">
      <c r="A356" s="53"/>
      <c r="B356" s="54"/>
      <c r="C356" s="54"/>
      <c r="D356" s="54"/>
      <c r="E356" s="54"/>
      <c r="F356" s="54"/>
    </row>
    <row r="357" spans="1:6" ht="12.75">
      <c r="A357" s="53"/>
      <c r="B357" s="54"/>
      <c r="C357" s="54"/>
      <c r="D357" s="54"/>
      <c r="E357" s="54"/>
      <c r="F357" s="54"/>
    </row>
    <row r="358" spans="1:6" ht="12.75">
      <c r="A358" s="53"/>
      <c r="B358" s="54"/>
      <c r="C358" s="54"/>
      <c r="D358" s="54"/>
      <c r="E358" s="54"/>
      <c r="F358" s="54"/>
    </row>
    <row r="359" spans="1:6" ht="12.75">
      <c r="A359" s="53"/>
      <c r="B359" s="54"/>
      <c r="C359" s="54"/>
      <c r="D359" s="54"/>
      <c r="E359" s="54"/>
      <c r="F359" s="54"/>
    </row>
    <row r="360" spans="1:6" ht="12.75">
      <c r="A360" s="53"/>
      <c r="B360" s="54"/>
      <c r="C360" s="54"/>
      <c r="D360" s="54"/>
      <c r="E360" s="54"/>
      <c r="F360" s="54"/>
    </row>
    <row r="361" spans="1:6" ht="12.75">
      <c r="A361" s="53"/>
      <c r="B361" s="54"/>
      <c r="C361" s="54"/>
      <c r="D361" s="54"/>
      <c r="E361" s="54"/>
      <c r="F361" s="54"/>
    </row>
    <row r="362" spans="1:6" ht="12.75">
      <c r="A362" s="53"/>
      <c r="B362" s="54"/>
      <c r="C362" s="54"/>
      <c r="D362" s="54"/>
      <c r="E362" s="54"/>
      <c r="F362" s="54"/>
    </row>
    <row r="363" spans="1:6" ht="12.75">
      <c r="A363" s="53"/>
      <c r="B363" s="54"/>
      <c r="C363" s="54"/>
      <c r="D363" s="54"/>
      <c r="E363" s="54"/>
      <c r="F363" s="54"/>
    </row>
    <row r="364" spans="1:6" ht="12.75">
      <c r="A364" s="53"/>
      <c r="B364" s="54"/>
      <c r="C364" s="54"/>
      <c r="D364" s="54"/>
      <c r="E364" s="54"/>
      <c r="F364" s="54"/>
    </row>
    <row r="365" spans="1:6" ht="12.75">
      <c r="A365" s="53"/>
      <c r="B365" s="54"/>
      <c r="C365" s="54"/>
      <c r="D365" s="54"/>
      <c r="E365" s="54"/>
      <c r="F365" s="54"/>
    </row>
    <row r="366" spans="1:6" ht="12.75">
      <c r="A366" s="53"/>
      <c r="B366" s="54"/>
      <c r="C366" s="54"/>
      <c r="D366" s="54"/>
      <c r="E366" s="54"/>
      <c r="F366" s="54"/>
    </row>
    <row r="367" spans="1:6" ht="12.75">
      <c r="A367" s="53"/>
      <c r="B367" s="54"/>
      <c r="C367" s="54"/>
      <c r="D367" s="54"/>
      <c r="E367" s="54"/>
      <c r="F367" s="54"/>
    </row>
    <row r="368" spans="1:7" ht="12.75">
      <c r="A368" s="53"/>
      <c r="B368" s="54"/>
      <c r="C368" s="54"/>
      <c r="D368" s="54"/>
      <c r="E368" s="54"/>
      <c r="F368" s="54"/>
      <c r="G368" s="52"/>
    </row>
    <row r="369" spans="1:6" ht="12.75">
      <c r="A369" s="53"/>
      <c r="B369" s="54"/>
      <c r="C369" s="54"/>
      <c r="D369" s="54"/>
      <c r="E369" s="54"/>
      <c r="F369" s="54"/>
    </row>
    <row r="370" spans="1:6" ht="12.75">
      <c r="A370" s="53"/>
      <c r="B370" s="54"/>
      <c r="C370" s="54"/>
      <c r="D370" s="54"/>
      <c r="E370" s="54"/>
      <c r="F370" s="54"/>
    </row>
    <row r="371" spans="1:6" ht="12.75">
      <c r="A371" s="53"/>
      <c r="B371" s="54"/>
      <c r="C371" s="54"/>
      <c r="D371" s="54"/>
      <c r="E371" s="54"/>
      <c r="F371" s="54"/>
    </row>
    <row r="372" spans="1:6" ht="12.75">
      <c r="A372" s="53"/>
      <c r="B372" s="54"/>
      <c r="C372" s="54"/>
      <c r="D372" s="54"/>
      <c r="E372" s="54"/>
      <c r="F372" s="54"/>
    </row>
    <row r="373" spans="1:6" ht="12.75">
      <c r="A373" s="53"/>
      <c r="B373" s="54"/>
      <c r="C373" s="54"/>
      <c r="D373" s="54"/>
      <c r="E373" s="54"/>
      <c r="F373" s="54"/>
    </row>
    <row r="374" spans="1:6" ht="12.75">
      <c r="A374" s="53"/>
      <c r="B374" s="54"/>
      <c r="C374" s="54"/>
      <c r="D374" s="54"/>
      <c r="E374" s="54"/>
      <c r="F374" s="54"/>
    </row>
    <row r="375" spans="1:6" ht="12.75">
      <c r="A375" s="53"/>
      <c r="B375" s="54"/>
      <c r="C375" s="54"/>
      <c r="D375" s="54"/>
      <c r="E375" s="54"/>
      <c r="F375" s="54"/>
    </row>
    <row r="376" spans="1:6" ht="12.75">
      <c r="A376" s="53"/>
      <c r="B376" s="54"/>
      <c r="C376" s="54"/>
      <c r="D376" s="54"/>
      <c r="E376" s="54"/>
      <c r="F376" s="54"/>
    </row>
    <row r="377" spans="1:6" ht="12.75">
      <c r="A377" s="53"/>
      <c r="B377" s="54"/>
      <c r="C377" s="54"/>
      <c r="D377" s="54"/>
      <c r="E377" s="54"/>
      <c r="F377" s="54"/>
    </row>
    <row r="378" spans="1:6" ht="12.75">
      <c r="A378" s="53"/>
      <c r="B378" s="54"/>
      <c r="C378" s="54"/>
      <c r="D378" s="54"/>
      <c r="E378" s="54"/>
      <c r="F378" s="54"/>
    </row>
    <row r="379" spans="1:6" ht="12.75">
      <c r="A379" s="53"/>
      <c r="B379" s="54"/>
      <c r="C379" s="54"/>
      <c r="D379" s="54"/>
      <c r="E379" s="54"/>
      <c r="F379" s="54"/>
    </row>
    <row r="380" spans="1:6" ht="12.75">
      <c r="A380" s="53"/>
      <c r="B380" s="54"/>
      <c r="C380" s="54"/>
      <c r="D380" s="54"/>
      <c r="E380" s="54"/>
      <c r="F380" s="54"/>
    </row>
    <row r="381" spans="1:6" ht="12.75">
      <c r="A381" s="53"/>
      <c r="B381" s="54"/>
      <c r="C381" s="54"/>
      <c r="D381" s="54"/>
      <c r="E381" s="54"/>
      <c r="F381" s="54"/>
    </row>
    <row r="382" spans="1:6" ht="12.75">
      <c r="A382" s="53"/>
      <c r="B382" s="54"/>
      <c r="C382" s="54"/>
      <c r="D382" s="54"/>
      <c r="E382" s="54"/>
      <c r="F382" s="54"/>
    </row>
    <row r="383" spans="1:6" ht="12.75">
      <c r="A383" s="53"/>
      <c r="B383" s="54"/>
      <c r="C383" s="54"/>
      <c r="D383" s="54"/>
      <c r="E383" s="54"/>
      <c r="F383" s="54"/>
    </row>
    <row r="384" spans="1:6" ht="12.75">
      <c r="A384" s="53"/>
      <c r="B384" s="54"/>
      <c r="C384" s="54"/>
      <c r="D384" s="54"/>
      <c r="E384" s="54"/>
      <c r="F384" s="54"/>
    </row>
    <row r="385" spans="1:6" ht="12.75">
      <c r="A385" s="53"/>
      <c r="B385" s="54"/>
      <c r="C385" s="54"/>
      <c r="D385" s="54"/>
      <c r="E385" s="54"/>
      <c r="F385" s="54"/>
    </row>
    <row r="386" spans="1:6" ht="12.75">
      <c r="A386" s="53"/>
      <c r="B386" s="54"/>
      <c r="C386" s="54"/>
      <c r="D386" s="54"/>
      <c r="E386" s="54"/>
      <c r="F386" s="54"/>
    </row>
    <row r="387" spans="1:6" ht="12.75">
      <c r="A387" s="53"/>
      <c r="B387" s="54"/>
      <c r="C387" s="54"/>
      <c r="D387" s="54"/>
      <c r="E387" s="54"/>
      <c r="F387" s="54"/>
    </row>
    <row r="388" spans="1:6" ht="12.75">
      <c r="A388" s="53"/>
      <c r="B388" s="54"/>
      <c r="C388" s="54"/>
      <c r="D388" s="54"/>
      <c r="E388" s="54"/>
      <c r="F388" s="54"/>
    </row>
    <row r="389" spans="1:6" ht="12.75">
      <c r="A389" s="53"/>
      <c r="B389" s="54"/>
      <c r="C389" s="54"/>
      <c r="D389" s="54"/>
      <c r="E389" s="54"/>
      <c r="F389" s="54"/>
    </row>
    <row r="390" spans="1:6" ht="12.75">
      <c r="A390" s="53"/>
      <c r="B390" s="54"/>
      <c r="C390" s="54"/>
      <c r="D390" s="54"/>
      <c r="E390" s="54"/>
      <c r="F390" s="54"/>
    </row>
    <row r="391" spans="1:6" ht="12.75">
      <c r="A391" s="53"/>
      <c r="B391" s="54"/>
      <c r="C391" s="54"/>
      <c r="D391" s="54"/>
      <c r="E391" s="54"/>
      <c r="F391" s="54"/>
    </row>
    <row r="392" spans="1:6" ht="12.75">
      <c r="A392" s="53"/>
      <c r="B392" s="54"/>
      <c r="C392" s="54"/>
      <c r="D392" s="54"/>
      <c r="E392" s="54"/>
      <c r="F392" s="54"/>
    </row>
    <row r="393" spans="1:6" ht="12.75">
      <c r="A393" s="53"/>
      <c r="B393" s="54"/>
      <c r="C393" s="54"/>
      <c r="D393" s="54"/>
      <c r="E393" s="54"/>
      <c r="F393" s="54"/>
    </row>
    <row r="394" spans="1:7" ht="12.75">
      <c r="A394" s="53"/>
      <c r="B394" s="54"/>
      <c r="C394" s="54"/>
      <c r="D394" s="54"/>
      <c r="E394" s="54"/>
      <c r="F394" s="54"/>
      <c r="G394" s="52"/>
    </row>
    <row r="395" spans="1:6" ht="12.75">
      <c r="A395" s="53"/>
      <c r="B395" s="54"/>
      <c r="C395" s="54"/>
      <c r="D395" s="54"/>
      <c r="E395" s="54"/>
      <c r="F395" s="54"/>
    </row>
    <row r="396" spans="1:6" ht="12.75">
      <c r="A396" s="53"/>
      <c r="B396" s="54"/>
      <c r="C396" s="54"/>
      <c r="D396" s="54"/>
      <c r="E396" s="54"/>
      <c r="F396" s="54"/>
    </row>
    <row r="397" spans="1:6" ht="12.75">
      <c r="A397" s="53"/>
      <c r="B397" s="54"/>
      <c r="C397" s="54"/>
      <c r="D397" s="54"/>
      <c r="E397" s="54"/>
      <c r="F397" s="54"/>
    </row>
    <row r="398" spans="1:6" ht="12.75">
      <c r="A398" s="53"/>
      <c r="B398" s="54"/>
      <c r="C398" s="54"/>
      <c r="D398" s="54"/>
      <c r="E398" s="54"/>
      <c r="F398" s="54"/>
    </row>
    <row r="399" spans="1:6" ht="12.75">
      <c r="A399" s="53"/>
      <c r="B399" s="54"/>
      <c r="C399" s="54"/>
      <c r="D399" s="54"/>
      <c r="E399" s="54"/>
      <c r="F399" s="54"/>
    </row>
    <row r="400" spans="1:6" ht="12.75">
      <c r="A400" s="53"/>
      <c r="B400" s="54"/>
      <c r="C400" s="54"/>
      <c r="D400" s="54"/>
      <c r="E400" s="54"/>
      <c r="F400" s="54"/>
    </row>
    <row r="401" spans="1:6" ht="12.75">
      <c r="A401" s="53"/>
      <c r="B401" s="54"/>
      <c r="C401" s="54"/>
      <c r="D401" s="54"/>
      <c r="E401" s="54"/>
      <c r="F401" s="54"/>
    </row>
    <row r="402" spans="1:6" ht="12.75">
      <c r="A402" s="53"/>
      <c r="B402" s="54"/>
      <c r="C402" s="54"/>
      <c r="D402" s="54"/>
      <c r="E402" s="54"/>
      <c r="F402" s="54"/>
    </row>
    <row r="403" spans="1:6" ht="12.75">
      <c r="A403" s="53"/>
      <c r="B403" s="54"/>
      <c r="C403" s="54"/>
      <c r="D403" s="54"/>
      <c r="E403" s="54"/>
      <c r="F403" s="54"/>
    </row>
    <row r="404" spans="1:6" ht="12.75">
      <c r="A404" s="53"/>
      <c r="B404" s="54"/>
      <c r="C404" s="54"/>
      <c r="D404" s="54"/>
      <c r="E404" s="54"/>
      <c r="F404" s="54"/>
    </row>
    <row r="405" spans="1:6" ht="12.75">
      <c r="A405" s="53"/>
      <c r="B405" s="54"/>
      <c r="C405" s="54"/>
      <c r="D405" s="54"/>
      <c r="E405" s="54"/>
      <c r="F405" s="54"/>
    </row>
    <row r="406" spans="1:6" ht="12.75">
      <c r="A406" s="53"/>
      <c r="B406" s="54"/>
      <c r="C406" s="54"/>
      <c r="D406" s="54"/>
      <c r="E406" s="54"/>
      <c r="F406" s="54"/>
    </row>
    <row r="407" spans="1:6" ht="12.75">
      <c r="A407" s="53"/>
      <c r="B407" s="54"/>
      <c r="C407" s="54"/>
      <c r="D407" s="54"/>
      <c r="E407" s="54"/>
      <c r="F407" s="54"/>
    </row>
    <row r="408" spans="1:6" ht="12.75">
      <c r="A408" s="53"/>
      <c r="B408" s="54"/>
      <c r="C408" s="54"/>
      <c r="D408" s="54"/>
      <c r="E408" s="54"/>
      <c r="F408" s="54"/>
    </row>
    <row r="409" spans="1:6" ht="12.75">
      <c r="A409" s="53"/>
      <c r="B409" s="54"/>
      <c r="C409" s="54"/>
      <c r="D409" s="54"/>
      <c r="E409" s="54"/>
      <c r="F409" s="54"/>
    </row>
    <row r="410" spans="1:6" ht="12.75">
      <c r="A410" s="53"/>
      <c r="B410" s="54"/>
      <c r="C410" s="54"/>
      <c r="D410" s="54"/>
      <c r="E410" s="54"/>
      <c r="F410" s="54"/>
    </row>
    <row r="411" spans="1:6" ht="12.75">
      <c r="A411" s="53"/>
      <c r="B411" s="54"/>
      <c r="C411" s="54"/>
      <c r="D411" s="54"/>
      <c r="E411" s="54"/>
      <c r="F411" s="54"/>
    </row>
    <row r="412" spans="1:6" ht="12.75">
      <c r="A412" s="53"/>
      <c r="B412" s="54"/>
      <c r="C412" s="54"/>
      <c r="D412" s="54"/>
      <c r="E412" s="54"/>
      <c r="F412" s="54"/>
    </row>
    <row r="413" spans="1:6" ht="12.75">
      <c r="A413" s="53"/>
      <c r="B413" s="54"/>
      <c r="C413" s="54"/>
      <c r="D413" s="54"/>
      <c r="E413" s="54"/>
      <c r="F413" s="54"/>
    </row>
    <row r="414" spans="1:6" ht="12.75">
      <c r="A414" s="53"/>
      <c r="B414" s="54"/>
      <c r="C414" s="54"/>
      <c r="D414" s="54"/>
      <c r="E414" s="54"/>
      <c r="F414" s="54"/>
    </row>
    <row r="415" spans="1:6" ht="12.75">
      <c r="A415" s="53"/>
      <c r="B415" s="54"/>
      <c r="C415" s="54"/>
      <c r="D415" s="54"/>
      <c r="E415" s="54"/>
      <c r="F415" s="54"/>
    </row>
    <row r="416" spans="1:6" ht="12.75">
      <c r="A416" s="53"/>
      <c r="B416" s="54"/>
      <c r="C416" s="54"/>
      <c r="D416" s="54"/>
      <c r="E416" s="54"/>
      <c r="F416" s="54"/>
    </row>
    <row r="417" spans="1:6" ht="12.75">
      <c r="A417" s="53"/>
      <c r="B417" s="54"/>
      <c r="C417" s="54"/>
      <c r="D417" s="54"/>
      <c r="E417" s="54"/>
      <c r="F417" s="54"/>
    </row>
    <row r="418" spans="1:6" ht="12.75">
      <c r="A418" s="53"/>
      <c r="B418" s="54"/>
      <c r="C418" s="54"/>
      <c r="D418" s="54"/>
      <c r="E418" s="54"/>
      <c r="F418" s="54"/>
    </row>
    <row r="419" spans="1:6" ht="12.75">
      <c r="A419" s="53"/>
      <c r="B419" s="54"/>
      <c r="C419" s="54"/>
      <c r="D419" s="54"/>
      <c r="E419" s="54"/>
      <c r="F419" s="54"/>
    </row>
    <row r="420" spans="1:7" ht="12.75">
      <c r="A420" s="53"/>
      <c r="B420" s="54"/>
      <c r="C420" s="54"/>
      <c r="D420" s="54"/>
      <c r="E420" s="54"/>
      <c r="F420" s="54"/>
      <c r="G420" s="52"/>
    </row>
    <row r="421" spans="1:6" ht="12.75">
      <c r="A421" s="53"/>
      <c r="B421" s="54"/>
      <c r="C421" s="54"/>
      <c r="D421" s="54"/>
      <c r="E421" s="54"/>
      <c r="F421" s="54"/>
    </row>
    <row r="422" spans="1:6" ht="12.75">
      <c r="A422" s="53"/>
      <c r="B422" s="54"/>
      <c r="C422" s="54"/>
      <c r="D422" s="54"/>
      <c r="E422" s="54"/>
      <c r="F422" s="54"/>
    </row>
    <row r="423" spans="1:6" ht="12.75">
      <c r="A423" s="53"/>
      <c r="B423" s="54"/>
      <c r="C423" s="54"/>
      <c r="D423" s="54"/>
      <c r="E423" s="54"/>
      <c r="F423" s="54"/>
    </row>
    <row r="424" spans="1:6" ht="12.75">
      <c r="A424" s="53"/>
      <c r="B424" s="54"/>
      <c r="C424" s="54"/>
      <c r="D424" s="54"/>
      <c r="E424" s="54"/>
      <c r="F424" s="54"/>
    </row>
    <row r="425" spans="1:6" ht="12.75">
      <c r="A425" s="53"/>
      <c r="B425" s="54"/>
      <c r="C425" s="54"/>
      <c r="D425" s="54"/>
      <c r="E425" s="54"/>
      <c r="F425" s="54"/>
    </row>
    <row r="426" spans="1:6" ht="12.75">
      <c r="A426" s="53"/>
      <c r="B426" s="54"/>
      <c r="C426" s="54"/>
      <c r="D426" s="54"/>
      <c r="E426" s="54"/>
      <c r="F426" s="54"/>
    </row>
    <row r="427" spans="1:6" ht="12.75">
      <c r="A427" s="53"/>
      <c r="B427" s="54"/>
      <c r="C427" s="54"/>
      <c r="D427" s="54"/>
      <c r="E427" s="54"/>
      <c r="F427" s="54"/>
    </row>
    <row r="428" spans="1:6" ht="12.75">
      <c r="A428" s="53"/>
      <c r="B428" s="54"/>
      <c r="C428" s="54"/>
      <c r="D428" s="54"/>
      <c r="E428" s="54"/>
      <c r="F428" s="54"/>
    </row>
    <row r="429" spans="1:6" ht="12.75">
      <c r="A429" s="53"/>
      <c r="B429" s="54"/>
      <c r="C429" s="54"/>
      <c r="D429" s="54"/>
      <c r="E429" s="54"/>
      <c r="F429" s="54"/>
    </row>
    <row r="430" spans="1:6" ht="12.75">
      <c r="A430" s="53"/>
      <c r="B430" s="54"/>
      <c r="C430" s="54"/>
      <c r="D430" s="54"/>
      <c r="E430" s="54"/>
      <c r="F430" s="54"/>
    </row>
    <row r="431" spans="1:6" ht="12.75">
      <c r="A431" s="53"/>
      <c r="B431" s="54"/>
      <c r="C431" s="54"/>
      <c r="D431" s="54"/>
      <c r="E431" s="54"/>
      <c r="F431" s="54"/>
    </row>
    <row r="432" spans="1:6" ht="12.75">
      <c r="A432" s="53"/>
      <c r="B432" s="54"/>
      <c r="C432" s="54"/>
      <c r="D432" s="54"/>
      <c r="E432" s="54"/>
      <c r="F432" s="54"/>
    </row>
    <row r="433" spans="1:6" ht="12.75">
      <c r="A433" s="53"/>
      <c r="B433" s="54"/>
      <c r="C433" s="54"/>
      <c r="D433" s="54"/>
      <c r="E433" s="54"/>
      <c r="F433" s="54"/>
    </row>
    <row r="434" spans="1:6" ht="12.75">
      <c r="A434" s="53"/>
      <c r="B434" s="54"/>
      <c r="C434" s="54"/>
      <c r="D434" s="54"/>
      <c r="E434" s="54"/>
      <c r="F434" s="54"/>
    </row>
    <row r="435" spans="1:6" ht="12.75">
      <c r="A435" s="53"/>
      <c r="B435" s="54"/>
      <c r="C435" s="54"/>
      <c r="D435" s="54"/>
      <c r="E435" s="54"/>
      <c r="F435" s="54"/>
    </row>
    <row r="436" spans="1:6" ht="12.75">
      <c r="A436" s="53"/>
      <c r="B436" s="54"/>
      <c r="C436" s="54"/>
      <c r="D436" s="54"/>
      <c r="E436" s="54"/>
      <c r="F436" s="54"/>
    </row>
    <row r="437" spans="1:6" ht="12.75">
      <c r="A437" s="53"/>
      <c r="B437" s="54"/>
      <c r="C437" s="54"/>
      <c r="D437" s="54"/>
      <c r="E437" s="54"/>
      <c r="F437" s="54"/>
    </row>
    <row r="438" spans="1:6" ht="12.75">
      <c r="A438" s="53"/>
      <c r="B438" s="54"/>
      <c r="C438" s="54"/>
      <c r="D438" s="54"/>
      <c r="E438" s="54"/>
      <c r="F438" s="54"/>
    </row>
    <row r="439" spans="1:6" ht="12.75">
      <c r="A439" s="53"/>
      <c r="B439" s="54"/>
      <c r="C439" s="54"/>
      <c r="D439" s="54"/>
      <c r="E439" s="54"/>
      <c r="F439" s="54"/>
    </row>
    <row r="440" spans="1:6" ht="12.75">
      <c r="A440" s="53"/>
      <c r="B440" s="54"/>
      <c r="C440" s="54"/>
      <c r="D440" s="54"/>
      <c r="E440" s="54"/>
      <c r="F440" s="54"/>
    </row>
    <row r="441" spans="1:6" ht="12.75">
      <c r="A441" s="53"/>
      <c r="B441" s="54"/>
      <c r="C441" s="54"/>
      <c r="D441" s="54"/>
      <c r="E441" s="54"/>
      <c r="F441" s="54"/>
    </row>
    <row r="442" spans="1:6" ht="12.75">
      <c r="A442" s="53"/>
      <c r="B442" s="54"/>
      <c r="C442" s="54"/>
      <c r="D442" s="54"/>
      <c r="E442" s="54"/>
      <c r="F442" s="54"/>
    </row>
    <row r="443" spans="1:6" ht="12.75">
      <c r="A443" s="53"/>
      <c r="B443" s="54"/>
      <c r="C443" s="54"/>
      <c r="D443" s="54"/>
      <c r="E443" s="54"/>
      <c r="F443" s="54"/>
    </row>
    <row r="444" spans="1:6" ht="12.75">
      <c r="A444" s="53"/>
      <c r="B444" s="54"/>
      <c r="C444" s="54"/>
      <c r="D444" s="54"/>
      <c r="E444" s="54"/>
      <c r="F444" s="54"/>
    </row>
    <row r="445" spans="1:6" ht="12.75">
      <c r="A445" s="53"/>
      <c r="B445" s="54"/>
      <c r="C445" s="54"/>
      <c r="D445" s="54"/>
      <c r="E445" s="54"/>
      <c r="F445" s="54"/>
    </row>
    <row r="446" spans="1:6" ht="12.75">
      <c r="A446" s="53"/>
      <c r="B446" s="54"/>
      <c r="C446" s="54"/>
      <c r="D446" s="54"/>
      <c r="E446" s="54"/>
      <c r="F446" s="54"/>
    </row>
    <row r="447" spans="1:6" ht="12.75">
      <c r="A447" s="53"/>
      <c r="B447" s="54"/>
      <c r="C447" s="54"/>
      <c r="D447" s="54"/>
      <c r="E447" s="54"/>
      <c r="F447" s="54"/>
    </row>
    <row r="448" spans="1:6" ht="12.75">
      <c r="A448" s="53"/>
      <c r="B448" s="54"/>
      <c r="C448" s="54"/>
      <c r="D448" s="54"/>
      <c r="E448" s="54"/>
      <c r="F448" s="54"/>
    </row>
    <row r="449" spans="1:6" ht="12.75">
      <c r="A449" s="53"/>
      <c r="B449" s="54"/>
      <c r="C449" s="54"/>
      <c r="D449" s="54"/>
      <c r="E449" s="54"/>
      <c r="F449" s="54"/>
    </row>
    <row r="450" spans="1:6" ht="12.75">
      <c r="A450" s="53"/>
      <c r="B450" s="54"/>
      <c r="C450" s="54"/>
      <c r="D450" s="54"/>
      <c r="E450" s="54"/>
      <c r="F450" s="54"/>
    </row>
    <row r="451" spans="1:6" ht="12.75">
      <c r="A451" s="53"/>
      <c r="B451" s="54"/>
      <c r="C451" s="54"/>
      <c r="D451" s="54"/>
      <c r="E451" s="54"/>
      <c r="F451" s="54"/>
    </row>
    <row r="452" spans="1:6" ht="12.75">
      <c r="A452" s="53"/>
      <c r="B452" s="54"/>
      <c r="C452" s="54"/>
      <c r="D452" s="54"/>
      <c r="E452" s="54"/>
      <c r="F452" s="54"/>
    </row>
    <row r="453" spans="1:6" ht="12.75">
      <c r="A453" s="53"/>
      <c r="B453" s="54"/>
      <c r="C453" s="54"/>
      <c r="D453" s="54"/>
      <c r="E453" s="54"/>
      <c r="F453" s="54"/>
    </row>
    <row r="454" spans="1:6" ht="12.75">
      <c r="A454" s="53"/>
      <c r="B454" s="54"/>
      <c r="C454" s="54"/>
      <c r="D454" s="54"/>
      <c r="E454" s="54"/>
      <c r="F454" s="54"/>
    </row>
    <row r="455" spans="1:6" ht="12.75">
      <c r="A455" s="53"/>
      <c r="B455" s="54"/>
      <c r="C455" s="54"/>
      <c r="D455" s="54"/>
      <c r="E455" s="54"/>
      <c r="F455" s="54"/>
    </row>
    <row r="456" spans="1:5" ht="12.75">
      <c r="A456" s="53"/>
      <c r="B456" s="54"/>
      <c r="C456" s="54"/>
      <c r="D456" s="54"/>
      <c r="E456" s="54"/>
    </row>
    <row r="457" spans="4:5" ht="12">
      <c r="D457" s="54"/>
      <c r="E457" s="54"/>
    </row>
  </sheetData>
  <mergeCells count="1">
    <mergeCell ref="N23:O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1"/>
  <sheetViews>
    <sheetView view="pageBreakPreview" zoomScale="60" workbookViewId="0" topLeftCell="A81">
      <selection activeCell="G42" sqref="G42"/>
    </sheetView>
  </sheetViews>
  <sheetFormatPr defaultColWidth="9.00390625" defaultRowHeight="12"/>
  <cols>
    <col min="1" max="1" width="9.875" style="0" customWidth="1"/>
    <col min="2" max="2" width="1.12109375" style="0" customWidth="1"/>
    <col min="3" max="3" width="11.375" style="0" customWidth="1"/>
    <col min="4" max="4" width="9.25390625" style="0" customWidth="1"/>
    <col min="5" max="5" width="9.00390625" style="0" customWidth="1"/>
    <col min="6" max="6" width="1.875" style="0" customWidth="1"/>
    <col min="7" max="7" width="11.375" style="0" customWidth="1"/>
    <col min="8" max="8" width="1.12109375" style="0" customWidth="1"/>
    <col min="9" max="9" width="12.00390625" style="29" customWidth="1"/>
    <col min="10" max="10" width="9.875" style="0" customWidth="1"/>
    <col min="11" max="11" width="2.25390625" style="0" customWidth="1"/>
    <col min="12" max="16384" width="11.375" style="0" customWidth="1"/>
  </cols>
  <sheetData>
    <row r="1" spans="1:11" ht="12.75">
      <c r="A1" s="3"/>
      <c r="B1" s="1"/>
      <c r="C1" s="5"/>
      <c r="D1" s="4"/>
      <c r="E1" s="6"/>
      <c r="F1" s="3"/>
      <c r="G1" s="3"/>
      <c r="H1" s="1"/>
      <c r="I1" s="25"/>
      <c r="J1" s="7" t="s">
        <v>190</v>
      </c>
      <c r="K1" s="1"/>
    </row>
    <row r="2" spans="1:11" ht="12.75">
      <c r="A2" s="3"/>
      <c r="B2" s="1"/>
      <c r="C2" s="5"/>
      <c r="D2" s="4"/>
      <c r="E2" s="6"/>
      <c r="F2" s="3"/>
      <c r="G2" s="3"/>
      <c r="H2" s="1"/>
      <c r="I2" s="25"/>
      <c r="J2" s="1" t="s">
        <v>105</v>
      </c>
      <c r="K2" s="1"/>
    </row>
    <row r="3" spans="1:11" ht="12.75">
      <c r="A3" s="3"/>
      <c r="B3" s="1"/>
      <c r="C3" s="5"/>
      <c r="D3" s="4"/>
      <c r="E3" s="6"/>
      <c r="F3" s="3"/>
      <c r="G3" s="3"/>
      <c r="H3" s="1"/>
      <c r="I3" s="25"/>
      <c r="J3" s="7" t="s">
        <v>106</v>
      </c>
      <c r="K3" s="1"/>
    </row>
    <row r="4" spans="1:11" ht="12.75">
      <c r="A4" s="3"/>
      <c r="B4" s="1"/>
      <c r="C4" s="5"/>
      <c r="D4" s="4"/>
      <c r="E4" s="6"/>
      <c r="F4" s="3"/>
      <c r="G4" s="3"/>
      <c r="H4" s="1"/>
      <c r="I4" s="25"/>
      <c r="J4" s="6"/>
      <c r="K4" s="1"/>
    </row>
    <row r="5" spans="1:11" ht="12.75">
      <c r="A5" s="3"/>
      <c r="B5" s="1"/>
      <c r="C5" s="5"/>
      <c r="D5" s="4"/>
      <c r="E5" s="6"/>
      <c r="F5" s="3"/>
      <c r="G5" s="3"/>
      <c r="H5" s="1"/>
      <c r="I5" s="25"/>
      <c r="J5" s="6"/>
      <c r="K5" s="1"/>
    </row>
    <row r="6" spans="1:11" ht="12.75">
      <c r="A6" s="3"/>
      <c r="B6" s="1"/>
      <c r="C6" s="5"/>
      <c r="D6" s="4"/>
      <c r="E6" s="8"/>
      <c r="F6" s="9" t="str">
        <f>DATA!A1</f>
        <v>KENTUCKY-AMERICAN WATER COMPANY</v>
      </c>
      <c r="G6" s="1"/>
      <c r="H6" s="1"/>
      <c r="I6" s="25"/>
      <c r="J6" s="6"/>
      <c r="K6" s="1"/>
    </row>
    <row r="7" spans="1:11" ht="12.75">
      <c r="A7" s="3"/>
      <c r="B7" s="1"/>
      <c r="C7" s="5"/>
      <c r="D7" s="4"/>
      <c r="E7" s="8"/>
      <c r="F7" s="9" t="s">
        <v>91</v>
      </c>
      <c r="G7" s="1"/>
      <c r="H7" s="1"/>
      <c r="I7" s="25"/>
      <c r="J7" s="6"/>
      <c r="K7" s="1"/>
    </row>
    <row r="8" spans="1:11" ht="12.75">
      <c r="A8" s="3"/>
      <c r="B8" s="1"/>
      <c r="C8" s="5"/>
      <c r="D8" s="4"/>
      <c r="E8" s="6"/>
      <c r="F8" s="3" t="s">
        <v>118</v>
      </c>
      <c r="G8" s="3"/>
      <c r="H8" s="1"/>
      <c r="I8" s="25"/>
      <c r="J8" s="6"/>
      <c r="K8" s="1"/>
    </row>
    <row r="9" spans="1:11" ht="12.75">
      <c r="A9" s="3"/>
      <c r="B9" s="1"/>
      <c r="C9" s="5"/>
      <c r="D9" s="4"/>
      <c r="E9" s="6"/>
      <c r="F9" s="3"/>
      <c r="G9" s="3"/>
      <c r="H9" s="1"/>
      <c r="I9" s="25"/>
      <c r="J9" s="6"/>
      <c r="K9" s="1"/>
    </row>
    <row r="10" spans="1:11" ht="12.75">
      <c r="A10" s="3"/>
      <c r="B10" s="1"/>
      <c r="C10" s="5"/>
      <c r="D10" s="4"/>
      <c r="E10" s="6"/>
      <c r="F10" s="3"/>
      <c r="G10" s="3"/>
      <c r="H10" s="1"/>
      <c r="I10" s="25"/>
      <c r="J10" s="6"/>
      <c r="K10" s="1"/>
    </row>
    <row r="11" spans="1:11" ht="12.75">
      <c r="A11" s="10" t="s">
        <v>92</v>
      </c>
      <c r="B11" s="1"/>
      <c r="C11" s="11"/>
      <c r="D11" s="12" t="s">
        <v>93</v>
      </c>
      <c r="E11" s="13" t="s">
        <v>94</v>
      </c>
      <c r="F11" s="10"/>
      <c r="G11" s="10"/>
      <c r="H11" s="1"/>
      <c r="I11" s="27" t="s">
        <v>200</v>
      </c>
      <c r="J11" s="14" t="s">
        <v>94</v>
      </c>
      <c r="K11" s="1"/>
    </row>
    <row r="12" spans="1:11" ht="12.75">
      <c r="A12" s="3"/>
      <c r="B12" s="1"/>
      <c r="C12" s="5"/>
      <c r="D12" s="4"/>
      <c r="E12" s="6"/>
      <c r="F12" s="3"/>
      <c r="G12" s="3"/>
      <c r="H12" s="1"/>
      <c r="I12" s="25"/>
      <c r="J12" s="6"/>
      <c r="K12" s="1"/>
    </row>
    <row r="13" spans="1:11" ht="12.75">
      <c r="A13" s="3"/>
      <c r="B13" s="1"/>
      <c r="C13" s="5" t="s">
        <v>201</v>
      </c>
      <c r="D13" s="4" t="s">
        <v>2</v>
      </c>
      <c r="E13" s="6"/>
      <c r="F13" s="3"/>
      <c r="G13" s="3" t="s">
        <v>191</v>
      </c>
      <c r="H13" s="1"/>
      <c r="I13" s="25" t="s">
        <v>192</v>
      </c>
      <c r="J13" s="6" t="s">
        <v>70</v>
      </c>
      <c r="K13" s="1"/>
    </row>
    <row r="14" spans="1:11" ht="12.75">
      <c r="A14" s="15" t="str">
        <f>DATA!A5</f>
        <v>ATG</v>
      </c>
      <c r="B14" s="1"/>
      <c r="C14" s="11" t="s">
        <v>71</v>
      </c>
      <c r="D14" s="12" t="s">
        <v>160</v>
      </c>
      <c r="E14" s="13" t="s">
        <v>127</v>
      </c>
      <c r="F14" s="10"/>
      <c r="G14" s="10" t="s">
        <v>183</v>
      </c>
      <c r="H14" s="1"/>
      <c r="I14" s="28" t="s">
        <v>184</v>
      </c>
      <c r="J14" s="13" t="s">
        <v>94</v>
      </c>
      <c r="K14" s="1"/>
    </row>
    <row r="15" spans="1:11" ht="12.75">
      <c r="A15" s="3">
        <f>DATA!F$3</f>
        <v>2003</v>
      </c>
      <c r="B15" s="1"/>
      <c r="C15" s="5">
        <f>1-DATA!N5/DATA!F5</f>
        <v>0.46634615384615385</v>
      </c>
      <c r="D15" s="4">
        <f>DATA!V$5</f>
        <v>0.14</v>
      </c>
      <c r="E15" s="6">
        <f>C15*D15</f>
        <v>0.06528846153846155</v>
      </c>
      <c r="F15" s="3"/>
      <c r="G15" s="25">
        <f>DATA!AD$5</f>
        <v>14.66</v>
      </c>
      <c r="H15" s="1"/>
      <c r="I15" s="25">
        <f>DATA!AL$5</f>
        <v>64.5</v>
      </c>
      <c r="J15" s="6"/>
      <c r="K15" s="1"/>
    </row>
    <row r="16" spans="1:11" ht="12.75">
      <c r="A16" s="3">
        <f>DATA!G$3</f>
        <v>2004</v>
      </c>
      <c r="B16" s="1"/>
      <c r="C16" s="5">
        <f>1-DATA!O5/DATA!G5</f>
        <v>0.4956140350877193</v>
      </c>
      <c r="D16" s="4">
        <f>DATA!W$5</f>
        <v>0.11</v>
      </c>
      <c r="E16" s="6">
        <f>C16*D16</f>
        <v>0.054517543859649124</v>
      </c>
      <c r="F16" s="3"/>
      <c r="G16" s="25">
        <f>DATA!AE$5</f>
        <v>18.06</v>
      </c>
      <c r="H16" s="1"/>
      <c r="I16" s="25">
        <f>DATA!AM$5</f>
        <v>76.7</v>
      </c>
      <c r="J16" s="6"/>
      <c r="K16" s="1"/>
    </row>
    <row r="17" spans="1:11" ht="12.75">
      <c r="A17" s="3">
        <f>DATA!H$3</f>
        <v>2005</v>
      </c>
      <c r="B17" s="1"/>
      <c r="C17" s="5">
        <f>1-DATA!P5/DATA!H5</f>
        <v>0.47580645161290325</v>
      </c>
      <c r="D17" s="4">
        <f>DATA!X$5</f>
        <v>0.129</v>
      </c>
      <c r="E17" s="6">
        <f>C17*D17</f>
        <v>0.06137903225806452</v>
      </c>
      <c r="F17" s="3"/>
      <c r="G17" s="25">
        <f>DATA!AF$5</f>
        <v>19.29</v>
      </c>
      <c r="H17" s="1"/>
      <c r="I17" s="25">
        <f>DATA!AN$5</f>
        <v>77.7</v>
      </c>
      <c r="J17" s="6"/>
      <c r="K17" s="1"/>
    </row>
    <row r="18" spans="1:11" ht="12.75">
      <c r="A18" s="3">
        <f>DATA!I$3</f>
        <v>2006</v>
      </c>
      <c r="B18" s="1"/>
      <c r="C18" s="5">
        <f>1-DATA!Q5/DATA!I5</f>
        <v>0.4558823529411765</v>
      </c>
      <c r="D18" s="4">
        <f>DATA!Y$5</f>
        <v>0.132</v>
      </c>
      <c r="E18" s="6">
        <f>C18*D18</f>
        <v>0.060176470588235303</v>
      </c>
      <c r="F18" s="3"/>
      <c r="G18" s="25">
        <f>DATA!AG$5</f>
        <v>20.71</v>
      </c>
      <c r="H18" s="1"/>
      <c r="I18" s="25">
        <f>DATA!AO$5</f>
        <v>77.7</v>
      </c>
      <c r="J18" s="6"/>
      <c r="K18" s="1"/>
    </row>
    <row r="19" spans="1:12" ht="12.75">
      <c r="A19" s="3">
        <f>DATA!J$3</f>
        <v>2007</v>
      </c>
      <c r="B19" s="1"/>
      <c r="C19" s="5">
        <f>1-DATA!R5/DATA!J5</f>
        <v>0.3970588235294118</v>
      </c>
      <c r="D19" s="4">
        <f>DATA!Z$5</f>
        <v>0.127</v>
      </c>
      <c r="E19" s="16">
        <f>C19*D19</f>
        <v>0.0504264705882353</v>
      </c>
      <c r="F19" s="17"/>
      <c r="G19" s="26">
        <f>DATA!AH$5</f>
        <v>21.74</v>
      </c>
      <c r="H19" s="18"/>
      <c r="I19" s="26">
        <f>DATA!AP$5</f>
        <v>76.4</v>
      </c>
      <c r="J19" s="6"/>
      <c r="K19" s="1"/>
      <c r="L19">
        <f>(I19/I16)^0.333-1</f>
        <v>-0.0013041798801209925</v>
      </c>
    </row>
    <row r="20" spans="1:11" ht="12.75">
      <c r="A20" s="19" t="s">
        <v>185</v>
      </c>
      <c r="B20" s="1"/>
      <c r="C20" s="5"/>
      <c r="D20" s="4"/>
      <c r="E20" s="6">
        <f>AVERAGE(E15:E19)</f>
        <v>0.05835759576652916</v>
      </c>
      <c r="F20" s="6"/>
      <c r="G20" s="6">
        <f>DATA!AX5</f>
        <v>0.105</v>
      </c>
      <c r="H20" s="1"/>
      <c r="I20" s="25"/>
      <c r="J20" s="6">
        <f>(I19/I15)^0.25-1</f>
        <v>0.04323803149065264</v>
      </c>
      <c r="K20" s="1"/>
    </row>
    <row r="21" spans="1:11" ht="12.75">
      <c r="A21" s="3">
        <f>DATA!K$3</f>
        <v>2008</v>
      </c>
      <c r="B21" s="1"/>
      <c r="C21" s="5">
        <f>1-DATA!S5/DATA!K5</f>
        <v>0.3777777777777779</v>
      </c>
      <c r="D21" s="4">
        <f>DATA!AA$5</f>
        <v>0.12</v>
      </c>
      <c r="E21" s="6">
        <f>C21*D21</f>
        <v>0.045333333333333344</v>
      </c>
      <c r="F21" s="6"/>
      <c r="G21" s="6"/>
      <c r="H21" s="1"/>
      <c r="I21" s="25">
        <f>DATA!AQ$5</f>
        <v>77</v>
      </c>
      <c r="J21" s="6">
        <f>(I21/I19)-1</f>
        <v>0.00785340314136107</v>
      </c>
      <c r="K21" s="1"/>
    </row>
    <row r="22" spans="1:11" ht="12.75">
      <c r="A22" s="3">
        <f>DATA!L$3</f>
        <v>2009</v>
      </c>
      <c r="B22" s="1"/>
      <c r="C22" s="5">
        <f>1-DATA!T$5/DATA!L$5</f>
        <v>0.3857142857142857</v>
      </c>
      <c r="D22" s="4">
        <f>DATA!AB$5</f>
        <v>0.125</v>
      </c>
      <c r="E22" s="6">
        <f>C22*D22</f>
        <v>0.04821428571428571</v>
      </c>
      <c r="F22" s="6"/>
      <c r="G22" s="6"/>
      <c r="H22" s="1"/>
      <c r="I22" s="25">
        <f>DATA!AR$5</f>
        <v>78</v>
      </c>
      <c r="J22" s="6">
        <f>(I22/I19)^0.5-1</f>
        <v>0.010416947787873942</v>
      </c>
      <c r="K22" s="1"/>
    </row>
    <row r="23" spans="1:12" ht="12.75">
      <c r="A23" s="3" t="str">
        <f>DATA!M$3</f>
        <v>2011-2013</v>
      </c>
      <c r="B23" s="1"/>
      <c r="C23" s="5">
        <f>1-DATA!U$5/DATA!M$5</f>
        <v>0.41587301587301584</v>
      </c>
      <c r="D23" s="4">
        <f>DATA!AC$5</f>
        <v>0.135</v>
      </c>
      <c r="E23" s="6">
        <f>C23*D23</f>
        <v>0.05614285714285714</v>
      </c>
      <c r="F23" s="6"/>
      <c r="G23" s="6">
        <f>DATA!AY5</f>
        <v>0.02</v>
      </c>
      <c r="H23" s="1"/>
      <c r="I23" s="25">
        <f>DATA!AS$5</f>
        <v>80</v>
      </c>
      <c r="J23" s="6">
        <f>(I23/I19)^0.2-1</f>
        <v>0.009251319039511818</v>
      </c>
      <c r="K23" s="1"/>
      <c r="L23">
        <f>(I23/I21)^0.25-1</f>
        <v>0.009601100868680268</v>
      </c>
    </row>
    <row r="24" spans="1:11" ht="12.75">
      <c r="A24" s="3"/>
      <c r="B24" s="1"/>
      <c r="C24" s="5"/>
      <c r="D24" s="4"/>
      <c r="E24" s="6"/>
      <c r="F24" s="3"/>
      <c r="G24" s="3"/>
      <c r="H24" s="1"/>
      <c r="I24" s="25"/>
      <c r="J24" s="6"/>
      <c r="K24" s="1"/>
    </row>
    <row r="25" spans="1:11" ht="12.75">
      <c r="A25" s="3"/>
      <c r="B25" s="1"/>
      <c r="C25" s="5"/>
      <c r="D25" s="4"/>
      <c r="E25" s="6"/>
      <c r="F25" s="3"/>
      <c r="G25" s="3"/>
      <c r="H25" s="1"/>
      <c r="I25" s="25"/>
      <c r="J25" s="6"/>
      <c r="K25" s="1"/>
    </row>
    <row r="26" spans="1:11" ht="12.75">
      <c r="A26" s="3"/>
      <c r="B26" s="1"/>
      <c r="C26" s="5"/>
      <c r="D26" s="4"/>
      <c r="E26" s="6"/>
      <c r="F26" s="3"/>
      <c r="G26" s="3"/>
      <c r="H26" s="1"/>
      <c r="I26" s="25"/>
      <c r="J26" s="6"/>
      <c r="K26" s="1"/>
    </row>
    <row r="27" spans="1:11" ht="12.75">
      <c r="A27" s="3"/>
      <c r="B27" s="1"/>
      <c r="C27" s="5"/>
      <c r="D27" s="4"/>
      <c r="E27" s="6"/>
      <c r="F27" s="3"/>
      <c r="G27" s="3"/>
      <c r="H27" s="1"/>
      <c r="I27" s="25"/>
      <c r="J27" s="6"/>
      <c r="K27" s="1"/>
    </row>
    <row r="28" spans="1:11" ht="12.75">
      <c r="A28" s="10" t="s">
        <v>92</v>
      </c>
      <c r="B28" s="1"/>
      <c r="C28" s="11"/>
      <c r="D28" s="12" t="s">
        <v>93</v>
      </c>
      <c r="E28" s="13" t="s">
        <v>94</v>
      </c>
      <c r="F28" s="10"/>
      <c r="G28" s="10"/>
      <c r="H28" s="1"/>
      <c r="I28" s="27" t="s">
        <v>200</v>
      </c>
      <c r="J28" s="14" t="s">
        <v>94</v>
      </c>
      <c r="K28" s="1"/>
    </row>
    <row r="29" spans="1:11" ht="12.75">
      <c r="A29" s="3"/>
      <c r="B29" s="1"/>
      <c r="C29" s="5"/>
      <c r="D29" s="4"/>
      <c r="E29" s="6"/>
      <c r="F29" s="3"/>
      <c r="G29" s="3"/>
      <c r="H29" s="1"/>
      <c r="I29" s="25"/>
      <c r="J29" s="6"/>
      <c r="K29" s="1"/>
    </row>
    <row r="30" spans="1:11" ht="12.75">
      <c r="A30" s="3"/>
      <c r="B30" s="1"/>
      <c r="C30" s="5" t="s">
        <v>201</v>
      </c>
      <c r="D30" s="4" t="s">
        <v>2</v>
      </c>
      <c r="E30" s="6"/>
      <c r="F30" s="3"/>
      <c r="G30" s="3" t="s">
        <v>191</v>
      </c>
      <c r="H30" s="1"/>
      <c r="I30" s="25" t="s">
        <v>192</v>
      </c>
      <c r="J30" s="6" t="s">
        <v>70</v>
      </c>
      <c r="K30" s="1"/>
    </row>
    <row r="31" spans="1:11" ht="12.75">
      <c r="A31" s="15" t="str">
        <f>DATA!A$6</f>
        <v>GAS</v>
      </c>
      <c r="B31" s="1"/>
      <c r="C31" s="11" t="s">
        <v>71</v>
      </c>
      <c r="D31" s="12" t="s">
        <v>160</v>
      </c>
      <c r="E31" s="13" t="s">
        <v>127</v>
      </c>
      <c r="F31" s="10"/>
      <c r="G31" s="10" t="s">
        <v>183</v>
      </c>
      <c r="H31" s="1"/>
      <c r="I31" s="28" t="s">
        <v>184</v>
      </c>
      <c r="J31" s="13" t="s">
        <v>94</v>
      </c>
      <c r="K31" s="1"/>
    </row>
    <row r="32" spans="1:11" ht="12.75">
      <c r="A32" s="3">
        <f>DATA!F$3</f>
        <v>2003</v>
      </c>
      <c r="B32" s="1"/>
      <c r="C32" s="5">
        <f>1-DATA!N$6/DATA!F6</f>
        <v>0.11848341232227477</v>
      </c>
      <c r="D32" s="4">
        <f>DATA!V$6</f>
        <v>0.123</v>
      </c>
      <c r="E32" s="6">
        <f>C32*D32</f>
        <v>0.014573459715639796</v>
      </c>
      <c r="F32" s="3"/>
      <c r="G32" s="25">
        <f>DATA!AD$6</f>
        <v>17.13</v>
      </c>
      <c r="H32" s="1"/>
      <c r="I32" s="25">
        <f>DATA!AL$6</f>
        <v>44.04</v>
      </c>
      <c r="J32" s="6"/>
      <c r="K32" s="1"/>
    </row>
    <row r="33" spans="1:11" ht="12.75">
      <c r="A33" s="3">
        <f>DATA!G$3</f>
        <v>2004</v>
      </c>
      <c r="B33" s="1"/>
      <c r="C33" s="5">
        <f>1-DATA!O$6/DATA!G$6</f>
        <v>0.16216216216216217</v>
      </c>
      <c r="D33" s="4">
        <f>DATA!W$6</f>
        <v>0.131</v>
      </c>
      <c r="E33" s="6">
        <f>C33*D33</f>
        <v>0.021243243243243247</v>
      </c>
      <c r="F33" s="3"/>
      <c r="G33" s="25">
        <f>DATA!AE$6</f>
        <v>16.99</v>
      </c>
      <c r="H33" s="1"/>
      <c r="I33" s="25">
        <f>DATA!AM$6</f>
        <v>44.1</v>
      </c>
      <c r="J33" s="6"/>
      <c r="K33" s="1"/>
    </row>
    <row r="34" spans="1:12" ht="12.75">
      <c r="A34" s="3">
        <f>DATA!H$3</f>
        <v>2005</v>
      </c>
      <c r="B34" s="1"/>
      <c r="C34" s="5">
        <f>1-DATA!P$6/DATA!H$6</f>
        <v>0.18777292576419213</v>
      </c>
      <c r="D34" s="4">
        <f>DATA!X$6</f>
        <v>0.125</v>
      </c>
      <c r="E34" s="6">
        <f>C34*D34</f>
        <v>0.023471615720524017</v>
      </c>
      <c r="F34" s="3"/>
      <c r="G34" s="25">
        <f>DATA!AF$6</f>
        <v>18.36</v>
      </c>
      <c r="H34" s="1"/>
      <c r="I34" s="25">
        <f>DATA!AN$6</f>
        <v>44.18</v>
      </c>
      <c r="J34" s="6"/>
      <c r="K34" s="1"/>
      <c r="L34">
        <f>(I34/I32)^0.5</f>
        <v>1.0015882029292518</v>
      </c>
    </row>
    <row r="35" spans="1:11" ht="12.75">
      <c r="A35" s="3">
        <f>DATA!I$3</f>
        <v>2006</v>
      </c>
      <c r="B35" s="1"/>
      <c r="C35" s="5">
        <f>1-DATA!Q$6/DATA!I$6</f>
        <v>0.3519163763066202</v>
      </c>
      <c r="D35" s="4">
        <f>DATA!Y$6</f>
        <v>0.147</v>
      </c>
      <c r="E35" s="6">
        <f>C35*D35</f>
        <v>0.05173170731707317</v>
      </c>
      <c r="F35" s="3"/>
      <c r="G35" s="25">
        <f>DATA!AG$6</f>
        <v>19.43</v>
      </c>
      <c r="H35" s="1"/>
      <c r="I35" s="25">
        <f>DATA!AO$6</f>
        <v>44.9</v>
      </c>
      <c r="J35" s="6"/>
      <c r="K35" s="1"/>
    </row>
    <row r="36" spans="1:11" ht="12.75">
      <c r="A36" s="3">
        <f>DATA!J$3</f>
        <v>2007</v>
      </c>
      <c r="B36" s="1"/>
      <c r="C36" s="5">
        <f>1-DATA!R$6/DATA!J$6</f>
        <v>0.37583892617449666</v>
      </c>
      <c r="D36" s="4">
        <f>DATA!Z$6</f>
        <v>0.143</v>
      </c>
      <c r="E36" s="16">
        <f>C36*D36</f>
        <v>0.05374496644295302</v>
      </c>
      <c r="F36" s="17"/>
      <c r="G36" s="26">
        <f>DATA!AH$6</f>
        <v>20.58</v>
      </c>
      <c r="H36" s="18"/>
      <c r="I36" s="26">
        <f>DATA!AP$6</f>
        <v>45.9</v>
      </c>
      <c r="J36" s="6"/>
      <c r="K36" s="1"/>
    </row>
    <row r="37" spans="1:12" ht="12.75">
      <c r="A37" s="19" t="s">
        <v>185</v>
      </c>
      <c r="B37" s="1"/>
      <c r="C37" s="5"/>
      <c r="D37" s="4"/>
      <c r="E37" s="6">
        <f>AVERAGE(E32:E36)</f>
        <v>0.032952998487886645</v>
      </c>
      <c r="F37" s="6"/>
      <c r="G37" s="6">
        <f>DATA!AX$6</f>
        <v>0.04</v>
      </c>
      <c r="H37" s="1"/>
      <c r="I37" s="25"/>
      <c r="J37" s="6">
        <f>(I36/I32)^0.25-1</f>
        <v>0.010395361515695978</v>
      </c>
      <c r="K37" s="1"/>
      <c r="L37">
        <f>(I36/I34)^0.5-1</f>
        <v>0.019279963149232637</v>
      </c>
    </row>
    <row r="38" spans="1:11" ht="12.75">
      <c r="A38" s="3">
        <f>DATA!K$3</f>
        <v>2008</v>
      </c>
      <c r="B38" s="1"/>
      <c r="C38" s="5">
        <f>1-DATA!S$6/DATA!K$6</f>
        <v>0.17333333333333334</v>
      </c>
      <c r="D38" s="4">
        <f>DATA!AA$6</f>
        <v>0.115</v>
      </c>
      <c r="E38" s="6">
        <f>C38*D38</f>
        <v>0.019933333333333334</v>
      </c>
      <c r="F38" s="6"/>
      <c r="G38" s="6"/>
      <c r="H38" s="1"/>
      <c r="I38" s="25">
        <f>DATA!AQ$6</f>
        <v>45</v>
      </c>
      <c r="J38" s="6">
        <f>(I38/I36)-1</f>
        <v>-0.019607843137254832</v>
      </c>
      <c r="K38" s="1"/>
    </row>
    <row r="39" spans="1:11" ht="12.75">
      <c r="A39" s="3">
        <f>DATA!L$3</f>
        <v>2009</v>
      </c>
      <c r="B39" s="3"/>
      <c r="C39" s="5">
        <f>1-DATA!T$6/DATA!L$6</f>
        <v>0.256</v>
      </c>
      <c r="D39" s="4">
        <f>DATA!AB$6</f>
        <v>0.115</v>
      </c>
      <c r="E39" s="6">
        <f>C39*D39</f>
        <v>0.02944</v>
      </c>
      <c r="F39" s="3"/>
      <c r="G39" s="6"/>
      <c r="H39" s="3"/>
      <c r="I39" s="25">
        <f>DATA!AR$6</f>
        <v>45</v>
      </c>
      <c r="J39" s="6">
        <f>(I39/I36)^0.5-1</f>
        <v>-0.0098524570233256</v>
      </c>
      <c r="K39" s="1"/>
    </row>
    <row r="40" spans="1:11" ht="12.75">
      <c r="A40" s="3" t="str">
        <f>DATA!M$3</f>
        <v>2011-2013</v>
      </c>
      <c r="B40" s="1"/>
      <c r="C40" s="5">
        <f>1-DATA!U$6/DATA!M$6</f>
        <v>0.4608695652173913</v>
      </c>
      <c r="D40" s="4">
        <f>DATA!AC$6</f>
        <v>0.135</v>
      </c>
      <c r="E40" s="6">
        <f>C40*D40</f>
        <v>0.06221739130434783</v>
      </c>
      <c r="F40" s="6"/>
      <c r="G40" s="6">
        <f>DATA!AY$6</f>
        <v>0.045</v>
      </c>
      <c r="H40" s="1"/>
      <c r="I40" s="25">
        <f>DATA!AS$6</f>
        <v>45</v>
      </c>
      <c r="J40" s="6">
        <f>(I40/I36)^0.2-1</f>
        <v>-0.003952692922012169</v>
      </c>
      <c r="K40" s="1"/>
    </row>
    <row r="41" spans="1:11" ht="12.75">
      <c r="A41" s="3"/>
      <c r="B41" s="1"/>
      <c r="C41" s="5"/>
      <c r="D41" s="4"/>
      <c r="E41" s="6"/>
      <c r="F41" s="3"/>
      <c r="G41" s="3"/>
      <c r="H41" s="1"/>
      <c r="I41" s="25"/>
      <c r="J41" s="6"/>
      <c r="K41" s="1"/>
    </row>
    <row r="42" spans="1:11" ht="12.75">
      <c r="A42" s="3"/>
      <c r="B42" s="1"/>
      <c r="C42" s="5"/>
      <c r="D42" s="4"/>
      <c r="E42" s="6"/>
      <c r="F42" s="3"/>
      <c r="G42" s="3"/>
      <c r="H42" s="1"/>
      <c r="I42" s="25"/>
      <c r="J42" s="6"/>
      <c r="K42" s="1"/>
    </row>
    <row r="43" spans="1:11" ht="12.75">
      <c r="A43" s="3"/>
      <c r="B43" s="1"/>
      <c r="C43" s="5"/>
      <c r="D43" s="4"/>
      <c r="E43" s="6"/>
      <c r="F43" s="3"/>
      <c r="G43" s="3"/>
      <c r="H43" s="1"/>
      <c r="I43" s="25"/>
      <c r="J43" s="6"/>
      <c r="K43" s="1"/>
    </row>
    <row r="44" spans="1:11" ht="12.75">
      <c r="A44" s="10" t="s">
        <v>92</v>
      </c>
      <c r="B44" s="1"/>
      <c r="C44" s="11"/>
      <c r="D44" s="12" t="s">
        <v>93</v>
      </c>
      <c r="E44" s="13" t="s">
        <v>94</v>
      </c>
      <c r="F44" s="10"/>
      <c r="G44" s="10"/>
      <c r="H44" s="1"/>
      <c r="I44" s="27" t="s">
        <v>200</v>
      </c>
      <c r="J44" s="14" t="s">
        <v>94</v>
      </c>
      <c r="K44" s="1"/>
    </row>
    <row r="45" spans="1:11" ht="12.75">
      <c r="A45" s="3"/>
      <c r="B45" s="1"/>
      <c r="C45" s="5"/>
      <c r="D45" s="4"/>
      <c r="E45" s="6"/>
      <c r="F45" s="3"/>
      <c r="G45" s="3"/>
      <c r="H45" s="1"/>
      <c r="I45" s="25"/>
      <c r="J45" s="6"/>
      <c r="K45" s="1"/>
    </row>
    <row r="46" spans="1:11" ht="12.75">
      <c r="A46" s="3"/>
      <c r="B46" s="1"/>
      <c r="C46" s="5" t="s">
        <v>201</v>
      </c>
      <c r="D46" s="4" t="s">
        <v>2</v>
      </c>
      <c r="E46" s="6"/>
      <c r="F46" s="3"/>
      <c r="G46" s="3" t="s">
        <v>191</v>
      </c>
      <c r="H46" s="1"/>
      <c r="I46" s="25" t="s">
        <v>192</v>
      </c>
      <c r="J46" s="6" t="s">
        <v>70</v>
      </c>
      <c r="K46" s="1"/>
    </row>
    <row r="47" spans="1:11" ht="12.75">
      <c r="A47" s="15" t="str">
        <f>DATA!A$7</f>
        <v>NI</v>
      </c>
      <c r="B47" s="1"/>
      <c r="C47" s="11" t="s">
        <v>71</v>
      </c>
      <c r="D47" s="12" t="s">
        <v>160</v>
      </c>
      <c r="E47" s="13" t="s">
        <v>127</v>
      </c>
      <c r="F47" s="10"/>
      <c r="G47" s="10" t="s">
        <v>183</v>
      </c>
      <c r="H47" s="1"/>
      <c r="I47" s="28" t="s">
        <v>184</v>
      </c>
      <c r="J47" s="13" t="s">
        <v>94</v>
      </c>
      <c r="K47" s="1"/>
    </row>
    <row r="48" spans="1:11" ht="12.75">
      <c r="A48" s="3">
        <f>DATA!F$3</f>
        <v>2003</v>
      </c>
      <c r="B48" s="1"/>
      <c r="C48" s="5">
        <f>1-DATA!N$7/DATA!F7</f>
        <v>0.30817610062893075</v>
      </c>
      <c r="D48" s="4">
        <f>DATA!V$7</f>
        <v>0.094</v>
      </c>
      <c r="E48" s="6">
        <f>C48*D48</f>
        <v>0.02896855345911949</v>
      </c>
      <c r="F48" s="3"/>
      <c r="G48" s="25">
        <f>DATA!AD$7</f>
        <v>16.81</v>
      </c>
      <c r="H48" s="1"/>
      <c r="I48" s="25">
        <f>DATA!AL$7</f>
        <v>262.63</v>
      </c>
      <c r="J48" s="6"/>
      <c r="K48" s="1"/>
    </row>
    <row r="49" spans="1:11" ht="12.75">
      <c r="A49" s="3">
        <f>DATA!G$3</f>
        <v>2004</v>
      </c>
      <c r="B49" s="1"/>
      <c r="C49" s="5">
        <f>1-DATA!O$7/DATA!G$7</f>
        <v>0.4320987654320988</v>
      </c>
      <c r="D49" s="4">
        <f>DATA!W$7</f>
        <v>0.09</v>
      </c>
      <c r="E49" s="6">
        <f>C49*D49</f>
        <v>0.03888888888888889</v>
      </c>
      <c r="F49" s="3"/>
      <c r="G49" s="25">
        <f>DATA!AE$7</f>
        <v>17.69</v>
      </c>
      <c r="H49" s="1"/>
      <c r="I49" s="25">
        <f>DATA!AM$7</f>
        <v>270.63</v>
      </c>
      <c r="J49" s="6"/>
      <c r="K49" s="1"/>
    </row>
    <row r="50" spans="1:11" ht="12.75">
      <c r="A50" s="3">
        <f>DATA!H$3</f>
        <v>2005</v>
      </c>
      <c r="B50" s="1"/>
      <c r="C50" s="5">
        <f>1-DATA!P$7/DATA!H$7</f>
        <v>0.14814814814814814</v>
      </c>
      <c r="D50" s="4">
        <f>DATA!X$7</f>
        <v>0.06</v>
      </c>
      <c r="E50" s="6">
        <f>C50*D50</f>
        <v>0.008888888888888889</v>
      </c>
      <c r="F50" s="3"/>
      <c r="G50" s="25">
        <f>DATA!AF$7</f>
        <v>18.09</v>
      </c>
      <c r="H50" s="1"/>
      <c r="I50" s="25">
        <f>DATA!AN$7</f>
        <v>272.62</v>
      </c>
      <c r="J50" s="6"/>
      <c r="K50" s="1"/>
    </row>
    <row r="51" spans="1:12" ht="12.75">
      <c r="A51" s="3">
        <f>DATA!I$3</f>
        <v>2006</v>
      </c>
      <c r="B51" s="1"/>
      <c r="C51" s="5">
        <f>1-DATA!Q$7/DATA!I$7</f>
        <v>0.1929824561403508</v>
      </c>
      <c r="D51" s="4">
        <f>DATA!Y$7</f>
        <v>0.063</v>
      </c>
      <c r="E51" s="6">
        <f>C51*D51</f>
        <v>0.012157894736842102</v>
      </c>
      <c r="F51" s="3"/>
      <c r="G51" s="25">
        <f>DATA!AG$7</f>
        <v>18.32</v>
      </c>
      <c r="H51" s="1"/>
      <c r="I51" s="25">
        <f>DATA!AO$7</f>
        <v>273.65</v>
      </c>
      <c r="J51" s="6"/>
      <c r="K51" s="1"/>
      <c r="L51">
        <f>(I51/I48)^0.3333-1</f>
        <v>0.013794143129603365</v>
      </c>
    </row>
    <row r="52" spans="1:11" ht="12.75">
      <c r="A52" s="3">
        <f>DATA!J$3</f>
        <v>2007</v>
      </c>
      <c r="B52" s="1"/>
      <c r="C52" s="5">
        <f>1-DATA!R$7/DATA!J$7</f>
        <v>0.1929824561403508</v>
      </c>
      <c r="D52" s="4">
        <f>DATA!Z$7</f>
        <v>0.061</v>
      </c>
      <c r="E52" s="16">
        <f>C52*D52</f>
        <v>0.011771929824561399</v>
      </c>
      <c r="F52" s="17"/>
      <c r="G52" s="26">
        <f>DATA!AH$7</f>
        <v>18.52</v>
      </c>
      <c r="H52" s="18"/>
      <c r="I52" s="26">
        <f>DATA!AP$7</f>
        <v>274.18</v>
      </c>
      <c r="J52" s="6"/>
      <c r="K52" s="1"/>
    </row>
    <row r="53" spans="1:11" ht="12.75">
      <c r="A53" s="19" t="s">
        <v>185</v>
      </c>
      <c r="B53" s="1"/>
      <c r="C53" s="5"/>
      <c r="D53" s="4"/>
      <c r="E53" s="6">
        <f>AVERAGE(E48:E52)</f>
        <v>0.020135231159660157</v>
      </c>
      <c r="F53" s="6"/>
      <c r="G53" s="6">
        <f>DATA!AX$7</f>
        <v>0.02</v>
      </c>
      <c r="H53" s="1"/>
      <c r="I53" s="25"/>
      <c r="J53" s="6">
        <f>(I52/I48)^0.25-1</f>
        <v>0.010817750143260918</v>
      </c>
      <c r="K53" s="1"/>
    </row>
    <row r="54" spans="1:11" ht="12.75">
      <c r="A54" s="3">
        <f>DATA!K$3</f>
        <v>2008</v>
      </c>
      <c r="B54" s="1"/>
      <c r="C54" s="5">
        <f>1-DATA!S$7/DATA!K$7</f>
        <v>0.264</v>
      </c>
      <c r="D54" s="4">
        <f>DATA!AA$7</f>
        <v>0.065</v>
      </c>
      <c r="E54" s="6">
        <f>C54*D54</f>
        <v>0.01716</v>
      </c>
      <c r="F54" s="6"/>
      <c r="G54" s="6"/>
      <c r="H54" s="1"/>
      <c r="I54" s="25">
        <f>DATA!AQ$7</f>
        <v>274.5</v>
      </c>
      <c r="J54" s="6">
        <f>(I54/I52)-1</f>
        <v>0.001167116492814868</v>
      </c>
      <c r="K54" s="1"/>
    </row>
    <row r="55" spans="1:11" ht="12.75">
      <c r="A55" s="3">
        <f>DATA!L$3</f>
        <v>2009</v>
      </c>
      <c r="B55" s="3"/>
      <c r="C55" s="5">
        <f>1-DATA!T$7/DATA!L$7</f>
        <v>0.264</v>
      </c>
      <c r="D55" s="4">
        <f>DATA!AB$7</f>
        <v>0.065</v>
      </c>
      <c r="E55" s="6">
        <f>C55*D55</f>
        <v>0.01716</v>
      </c>
      <c r="F55" s="3"/>
      <c r="G55" s="6"/>
      <c r="H55" s="3"/>
      <c r="I55" s="25">
        <f>DATA!AR$7</f>
        <v>275</v>
      </c>
      <c r="J55" s="6">
        <f>(I55/I52)^0.5-1</f>
        <v>0.0014942516124785143</v>
      </c>
      <c r="K55" s="3"/>
    </row>
    <row r="56" spans="1:11" ht="12.75">
      <c r="A56" s="3" t="str">
        <f>DATA!M$3</f>
        <v>2011-2013</v>
      </c>
      <c r="B56" s="1"/>
      <c r="C56" s="5">
        <f>1-DATA!U$7/DATA!M$7</f>
        <v>0.3866666666666666</v>
      </c>
      <c r="D56" s="4">
        <f>DATA!AC$7</f>
        <v>0.075</v>
      </c>
      <c r="E56" s="6">
        <f>C56*D56</f>
        <v>0.028999999999999995</v>
      </c>
      <c r="F56" s="6"/>
      <c r="G56" s="6">
        <f>DATA!AY$7</f>
        <v>0.02</v>
      </c>
      <c r="H56" s="1"/>
      <c r="I56" s="25">
        <f>DATA!AS$7</f>
        <v>276.5</v>
      </c>
      <c r="J56" s="6">
        <f>(I56/I52)^0.2-1</f>
        <v>0.0016866199370515478</v>
      </c>
      <c r="K56" s="1"/>
    </row>
    <row r="57" spans="1:11" ht="12.75">
      <c r="A57" s="3"/>
      <c r="B57" s="1"/>
      <c r="C57" s="5"/>
      <c r="D57" s="4"/>
      <c r="E57" s="6"/>
      <c r="F57" s="3"/>
      <c r="G57" s="3"/>
      <c r="H57" s="1"/>
      <c r="I57" s="25"/>
      <c r="J57" s="7" t="s">
        <v>190</v>
      </c>
      <c r="K57" s="1"/>
    </row>
    <row r="58" spans="1:11" ht="12.75">
      <c r="A58" s="3"/>
      <c r="B58" s="1"/>
      <c r="C58" s="5"/>
      <c r="D58" s="4"/>
      <c r="E58" s="6"/>
      <c r="F58" s="3"/>
      <c r="G58" s="3"/>
      <c r="H58" s="1"/>
      <c r="I58" s="25"/>
      <c r="J58" s="7" t="s">
        <v>105</v>
      </c>
      <c r="K58" s="1"/>
    </row>
    <row r="59" spans="1:11" ht="12.75">
      <c r="A59" s="3"/>
      <c r="B59" s="1"/>
      <c r="C59" s="5"/>
      <c r="D59" s="4"/>
      <c r="E59" s="6"/>
      <c r="F59" s="3"/>
      <c r="G59" s="3"/>
      <c r="H59" s="1"/>
      <c r="I59" s="25"/>
      <c r="J59" s="7" t="s">
        <v>107</v>
      </c>
      <c r="K59" s="1"/>
    </row>
    <row r="60" spans="1:11" ht="12.75">
      <c r="A60" s="3"/>
      <c r="B60" s="1"/>
      <c r="C60" s="5"/>
      <c r="D60" s="4"/>
      <c r="E60" s="6"/>
      <c r="F60" s="3"/>
      <c r="G60" s="3"/>
      <c r="H60" s="1"/>
      <c r="I60" s="25"/>
      <c r="J60" s="6"/>
      <c r="K60" s="1"/>
    </row>
    <row r="61" spans="1:11" ht="12.75">
      <c r="A61" s="3"/>
      <c r="B61" s="1"/>
      <c r="C61" s="5"/>
      <c r="D61" s="4"/>
      <c r="E61" s="6"/>
      <c r="F61" s="3"/>
      <c r="G61" s="3"/>
      <c r="H61" s="1"/>
      <c r="I61" s="25"/>
      <c r="J61" s="6"/>
      <c r="K61" s="1"/>
    </row>
    <row r="62" spans="1:11" ht="12.75">
      <c r="A62" s="3"/>
      <c r="B62" s="1"/>
      <c r="C62" s="5"/>
      <c r="D62" s="4"/>
      <c r="E62" s="8"/>
      <c r="F62" s="9" t="str">
        <f>F$6</f>
        <v>KENTUCKY-AMERICAN WATER COMPANY</v>
      </c>
      <c r="G62" s="1"/>
      <c r="H62" s="1"/>
      <c r="I62" s="25"/>
      <c r="J62" s="6"/>
      <c r="K62" s="1"/>
    </row>
    <row r="63" spans="1:11" ht="12.75">
      <c r="A63" s="3"/>
      <c r="B63" s="1"/>
      <c r="C63" s="5"/>
      <c r="D63" s="4"/>
      <c r="E63" s="8"/>
      <c r="F63" s="9" t="s">
        <v>91</v>
      </c>
      <c r="G63" s="1"/>
      <c r="H63" s="1"/>
      <c r="I63" s="25"/>
      <c r="J63" s="6"/>
      <c r="K63" s="1"/>
    </row>
    <row r="64" spans="1:11" ht="12.75">
      <c r="A64" s="3"/>
      <c r="B64" s="1"/>
      <c r="C64" s="5"/>
      <c r="D64" s="4"/>
      <c r="E64" s="6"/>
      <c r="F64" s="3" t="str">
        <f>F8</f>
        <v>GAS DISTRIBUTION UTILITIES</v>
      </c>
      <c r="G64" s="3"/>
      <c r="H64" s="1"/>
      <c r="I64" s="25"/>
      <c r="J64" s="6"/>
      <c r="K64" s="1"/>
    </row>
    <row r="65" spans="1:11" ht="12.75">
      <c r="A65" s="3"/>
      <c r="B65" s="1"/>
      <c r="C65" s="5"/>
      <c r="D65" s="4"/>
      <c r="E65" s="6"/>
      <c r="F65" s="3"/>
      <c r="G65" s="3"/>
      <c r="H65" s="1"/>
      <c r="I65" s="25"/>
      <c r="J65" s="6"/>
      <c r="K65" s="1"/>
    </row>
    <row r="66" spans="1:11" ht="12.75">
      <c r="A66" s="3"/>
      <c r="B66" s="1"/>
      <c r="C66" s="5"/>
      <c r="D66" s="4"/>
      <c r="E66" s="6"/>
      <c r="F66" s="3"/>
      <c r="G66" s="3"/>
      <c r="H66" s="1"/>
      <c r="I66" s="25"/>
      <c r="J66" s="6"/>
      <c r="K66" s="1"/>
    </row>
    <row r="67" spans="1:11" ht="12.75">
      <c r="A67" s="10" t="s">
        <v>92</v>
      </c>
      <c r="B67" s="1"/>
      <c r="C67" s="11"/>
      <c r="D67" s="12" t="s">
        <v>93</v>
      </c>
      <c r="E67" s="13" t="s">
        <v>94</v>
      </c>
      <c r="F67" s="10"/>
      <c r="G67" s="10"/>
      <c r="H67" s="1"/>
      <c r="I67" s="27" t="s">
        <v>200</v>
      </c>
      <c r="J67" s="14" t="s">
        <v>94</v>
      </c>
      <c r="K67" s="1"/>
    </row>
    <row r="68" spans="1:11" ht="12.75">
      <c r="A68" s="3"/>
      <c r="B68" s="1"/>
      <c r="C68" s="5"/>
      <c r="D68" s="4"/>
      <c r="E68" s="6"/>
      <c r="F68" s="3"/>
      <c r="G68" s="3"/>
      <c r="H68" s="1"/>
      <c r="I68" s="25"/>
      <c r="J68" s="6"/>
      <c r="K68" s="1"/>
    </row>
    <row r="69" spans="1:11" ht="12.75">
      <c r="A69" s="3"/>
      <c r="B69" s="1"/>
      <c r="C69" s="5" t="s">
        <v>201</v>
      </c>
      <c r="D69" s="4" t="s">
        <v>2</v>
      </c>
      <c r="E69" s="6"/>
      <c r="F69" s="3"/>
      <c r="G69" s="3" t="s">
        <v>191</v>
      </c>
      <c r="H69" s="1"/>
      <c r="I69" s="25" t="s">
        <v>192</v>
      </c>
      <c r="J69" s="6" t="s">
        <v>70</v>
      </c>
      <c r="K69" s="1"/>
    </row>
    <row r="70" spans="1:11" ht="12.75">
      <c r="A70" s="15" t="str">
        <f>DATA!A$8</f>
        <v>NWN</v>
      </c>
      <c r="B70" s="1"/>
      <c r="C70" s="11" t="s">
        <v>71</v>
      </c>
      <c r="D70" s="12" t="s">
        <v>160</v>
      </c>
      <c r="E70" s="13" t="s">
        <v>127</v>
      </c>
      <c r="F70" s="10"/>
      <c r="G70" s="10" t="s">
        <v>183</v>
      </c>
      <c r="H70" s="1"/>
      <c r="I70" s="28" t="s">
        <v>184</v>
      </c>
      <c r="J70" s="13" t="s">
        <v>94</v>
      </c>
      <c r="K70" s="1"/>
    </row>
    <row r="71" spans="1:11" ht="12.75">
      <c r="A71" s="3">
        <f>DATA!F$3</f>
        <v>2003</v>
      </c>
      <c r="B71" s="1"/>
      <c r="C71" s="5">
        <f>1-DATA!N$8/DATA!F$8</f>
        <v>0.27840909090909094</v>
      </c>
      <c r="D71" s="4">
        <f>DATA!V$8</f>
        <v>0.09</v>
      </c>
      <c r="E71" s="6">
        <f>C71*D71</f>
        <v>0.025056818181818184</v>
      </c>
      <c r="F71" s="3"/>
      <c r="G71" s="3">
        <f>DATA!AD$8</f>
        <v>19.52</v>
      </c>
      <c r="H71" s="1"/>
      <c r="I71" s="25">
        <f>DATA!AL$8</f>
        <v>25.94</v>
      </c>
      <c r="J71" s="6"/>
      <c r="K71" s="1"/>
    </row>
    <row r="72" spans="1:11" ht="12.75">
      <c r="A72" s="3">
        <f>DATA!G$3</f>
        <v>2004</v>
      </c>
      <c r="B72" s="1"/>
      <c r="C72" s="5">
        <f>1-DATA!O$8/DATA!G$8</f>
        <v>0.30107526881720437</v>
      </c>
      <c r="D72" s="4">
        <f>DATA!W$8</f>
        <v>0.089</v>
      </c>
      <c r="E72" s="6">
        <f>C72*D72</f>
        <v>0.026795698924731187</v>
      </c>
      <c r="F72" s="3"/>
      <c r="G72" s="3">
        <f>DATA!AE$8</f>
        <v>20.64</v>
      </c>
      <c r="H72" s="1"/>
      <c r="I72" s="25">
        <f>DATA!AM$8</f>
        <v>27.55</v>
      </c>
      <c r="J72" s="6"/>
      <c r="K72" s="1"/>
    </row>
    <row r="73" spans="1:11" ht="12.75">
      <c r="A73" s="3">
        <f>DATA!H$3</f>
        <v>2005</v>
      </c>
      <c r="B73" s="1"/>
      <c r="C73" s="5">
        <f>1-DATA!P$8/DATA!H$8</f>
        <v>0.3744075829383886</v>
      </c>
      <c r="D73" s="4">
        <f>DATA!X$8</f>
        <v>0.099</v>
      </c>
      <c r="E73" s="6">
        <f>C73*D73</f>
        <v>0.037066350710900475</v>
      </c>
      <c r="F73" s="3"/>
      <c r="G73" s="3">
        <f>DATA!AF$8</f>
        <v>21.28</v>
      </c>
      <c r="H73" s="1"/>
      <c r="I73" s="25">
        <f>DATA!AN$8</f>
        <v>27.58</v>
      </c>
      <c r="J73" s="6"/>
      <c r="K73" s="1"/>
    </row>
    <row r="74" spans="1:11" ht="12.75">
      <c r="A74" s="3">
        <f>DATA!I$3</f>
        <v>2006</v>
      </c>
      <c r="B74" s="1"/>
      <c r="C74" s="5">
        <f>1-DATA!Q$8/DATA!I$8</f>
        <v>0.4085106382978724</v>
      </c>
      <c r="D74" s="4">
        <f>DATA!Y$8</f>
        <v>0.109</v>
      </c>
      <c r="E74" s="6">
        <f>C74*D74</f>
        <v>0.04452765957446809</v>
      </c>
      <c r="F74" s="3"/>
      <c r="G74" s="3">
        <f>DATA!AG$8</f>
        <v>22.01</v>
      </c>
      <c r="H74" s="1"/>
      <c r="I74" s="25">
        <f>DATA!AO$8</f>
        <v>27.24</v>
      </c>
      <c r="J74" s="6"/>
      <c r="K74" s="1"/>
    </row>
    <row r="75" spans="1:11" ht="12.75">
      <c r="A75" s="3">
        <f>DATA!J$3</f>
        <v>2007</v>
      </c>
      <c r="B75" s="1"/>
      <c r="C75" s="5">
        <f>1-DATA!R$8/DATA!J$8</f>
        <v>0.4782608695652174</v>
      </c>
      <c r="D75" s="4">
        <f>DATA!Z$8</f>
        <v>0.125</v>
      </c>
      <c r="E75" s="16">
        <f>C75*D75</f>
        <v>0.059782608695652176</v>
      </c>
      <c r="F75" s="17"/>
      <c r="G75" s="17">
        <f>DATA!AH$8</f>
        <v>22.52</v>
      </c>
      <c r="H75" s="18"/>
      <c r="I75" s="26">
        <f>DATA!AP$8</f>
        <v>26.41</v>
      </c>
      <c r="J75" s="6"/>
      <c r="K75" s="1"/>
    </row>
    <row r="76" spans="1:11" ht="12.75">
      <c r="A76" s="19" t="s">
        <v>185</v>
      </c>
      <c r="B76" s="1"/>
      <c r="C76" s="5"/>
      <c r="D76" s="4"/>
      <c r="E76" s="6">
        <f>AVERAGE(E71:E75)</f>
        <v>0.038645827217514014</v>
      </c>
      <c r="F76" s="6"/>
      <c r="G76" s="6">
        <f>DATA!AX$8</f>
        <v>0.035</v>
      </c>
      <c r="H76" s="1"/>
      <c r="I76" s="25"/>
      <c r="J76" s="6">
        <f>(I75/I71)^0.25-1</f>
        <v>0.004499228124750676</v>
      </c>
      <c r="K76" s="1"/>
    </row>
    <row r="77" spans="1:11" ht="12.75">
      <c r="A77" s="3">
        <f>DATA!K$3</f>
        <v>2008</v>
      </c>
      <c r="B77" s="1"/>
      <c r="C77" s="5">
        <f>1-DATA!S$8/DATA!K$8</f>
        <v>0.4039215686274509</v>
      </c>
      <c r="D77" s="4">
        <f>DATA!AA$8</f>
        <v>0.115</v>
      </c>
      <c r="E77" s="6">
        <f>C77*D77</f>
        <v>0.04645098039215685</v>
      </c>
      <c r="F77" s="6"/>
      <c r="G77" s="6"/>
      <c r="H77" s="1"/>
      <c r="I77" s="25">
        <f>DATA!AQ$8</f>
        <v>26.5</v>
      </c>
      <c r="J77" s="6">
        <f>(I77/I75)-1</f>
        <v>0.0034078000757289395</v>
      </c>
      <c r="K77" s="1"/>
    </row>
    <row r="78" spans="1:11" ht="12.75">
      <c r="A78" s="3">
        <f>DATA!L$3</f>
        <v>2009</v>
      </c>
      <c r="B78" s="3"/>
      <c r="C78" s="5">
        <f>1-DATA!T$8/DATA!L$8</f>
        <v>0.4285714285714285</v>
      </c>
      <c r="D78" s="4">
        <f>DATA!AB$8</f>
        <v>0.115</v>
      </c>
      <c r="E78" s="6">
        <f>C78*D78</f>
        <v>0.04928571428571428</v>
      </c>
      <c r="F78" s="3"/>
      <c r="G78" s="6"/>
      <c r="H78" s="3"/>
      <c r="I78" s="25">
        <f>DATA!AR$8</f>
        <v>26.5</v>
      </c>
      <c r="J78" s="6">
        <f>(I78/I75)^0.5-1</f>
        <v>0.0017024508683849415</v>
      </c>
      <c r="K78" s="3"/>
    </row>
    <row r="79" spans="1:11" ht="12.75">
      <c r="A79" s="3" t="str">
        <f>DATA!M$3</f>
        <v>2011-2013</v>
      </c>
      <c r="B79" s="1"/>
      <c r="C79" s="5">
        <f>1-DATA!U$8/DATA!M$8</f>
        <v>0.4388059701492538</v>
      </c>
      <c r="D79" s="4">
        <f>DATA!AC$8</f>
        <v>0.11</v>
      </c>
      <c r="E79" s="6">
        <f>C79*D79</f>
        <v>0.04826865671641792</v>
      </c>
      <c r="F79" s="6"/>
      <c r="G79" s="6">
        <f>DATA!AY$8</f>
        <v>0.035</v>
      </c>
      <c r="H79" s="1"/>
      <c r="I79" s="25">
        <f>DATA!AS$8</f>
        <v>28</v>
      </c>
      <c r="J79" s="6">
        <f>(I79/I75)^0.2-1</f>
        <v>0.011760979569962693</v>
      </c>
      <c r="K79" s="1"/>
    </row>
    <row r="80" spans="1:11" ht="12.75">
      <c r="A80" s="3"/>
      <c r="B80" s="1"/>
      <c r="C80" s="5"/>
      <c r="D80" s="4"/>
      <c r="E80" s="6"/>
      <c r="F80" s="3"/>
      <c r="G80" s="3"/>
      <c r="H80" s="1"/>
      <c r="I80" s="25"/>
      <c r="J80" s="6"/>
      <c r="K80" s="1"/>
    </row>
    <row r="81" spans="1:11" ht="12.75">
      <c r="A81" s="3"/>
      <c r="B81" s="1"/>
      <c r="C81" s="5"/>
      <c r="D81" s="4"/>
      <c r="E81" s="6"/>
      <c r="F81" s="3"/>
      <c r="G81" s="3"/>
      <c r="H81" s="1"/>
      <c r="I81" s="25"/>
      <c r="J81" s="6"/>
      <c r="K81" s="1"/>
    </row>
    <row r="82" spans="1:11" ht="12.75">
      <c r="A82" s="3"/>
      <c r="B82" s="1"/>
      <c r="C82" s="5"/>
      <c r="D82" s="4"/>
      <c r="E82" s="6"/>
      <c r="F82" s="3"/>
      <c r="G82" s="3"/>
      <c r="H82" s="1"/>
      <c r="I82" s="25"/>
      <c r="J82" s="6"/>
      <c r="K82" s="1"/>
    </row>
    <row r="83" spans="1:11" ht="12.75">
      <c r="A83" s="10" t="s">
        <v>92</v>
      </c>
      <c r="B83" s="1"/>
      <c r="C83" s="11"/>
      <c r="D83" s="12" t="s">
        <v>93</v>
      </c>
      <c r="E83" s="13" t="s">
        <v>94</v>
      </c>
      <c r="F83" s="10"/>
      <c r="G83" s="10"/>
      <c r="H83" s="1"/>
      <c r="I83" s="27" t="s">
        <v>200</v>
      </c>
      <c r="J83" s="14" t="s">
        <v>94</v>
      </c>
      <c r="K83" s="1"/>
    </row>
    <row r="84" spans="1:11" ht="12.75">
      <c r="A84" s="3"/>
      <c r="B84" s="1"/>
      <c r="C84" s="5"/>
      <c r="D84" s="4"/>
      <c r="E84" s="6"/>
      <c r="F84" s="3"/>
      <c r="G84" s="3"/>
      <c r="H84" s="1"/>
      <c r="I84" s="25"/>
      <c r="J84" s="6"/>
      <c r="K84" s="1"/>
    </row>
    <row r="85" spans="1:11" ht="12.75">
      <c r="A85" s="3"/>
      <c r="B85" s="1"/>
      <c r="C85" s="5" t="s">
        <v>201</v>
      </c>
      <c r="D85" s="4" t="s">
        <v>2</v>
      </c>
      <c r="E85" s="6"/>
      <c r="F85" s="3"/>
      <c r="G85" s="3" t="s">
        <v>191</v>
      </c>
      <c r="H85" s="1"/>
      <c r="I85" s="25" t="s">
        <v>192</v>
      </c>
      <c r="J85" s="6" t="s">
        <v>70</v>
      </c>
      <c r="K85" s="1"/>
    </row>
    <row r="86" spans="1:11" ht="12.75">
      <c r="A86" s="15" t="str">
        <f>DATA!A$9</f>
        <v>PNY</v>
      </c>
      <c r="B86" s="1"/>
      <c r="C86" s="11" t="s">
        <v>71</v>
      </c>
      <c r="D86" s="12" t="s">
        <v>160</v>
      </c>
      <c r="E86" s="13" t="s">
        <v>127</v>
      </c>
      <c r="F86" s="10"/>
      <c r="G86" s="10" t="s">
        <v>183</v>
      </c>
      <c r="H86" s="1"/>
      <c r="I86" s="28" t="s">
        <v>184</v>
      </c>
      <c r="J86" s="13" t="s">
        <v>94</v>
      </c>
      <c r="K86" s="1"/>
    </row>
    <row r="87" spans="1:11" ht="12.75">
      <c r="A87" s="3">
        <f>DATA!F$3</f>
        <v>2003</v>
      </c>
      <c r="B87" s="1"/>
      <c r="C87" s="5">
        <f>1-DATA!N$9/DATA!F$9</f>
        <v>0.26126126126126137</v>
      </c>
      <c r="D87" s="4">
        <f>DATA!V$9</f>
        <v>0.118</v>
      </c>
      <c r="E87" s="6">
        <f>C87*D87</f>
        <v>0.03082882882882884</v>
      </c>
      <c r="F87" s="3"/>
      <c r="G87" s="25">
        <f>DATA!AD$9</f>
        <v>9.36</v>
      </c>
      <c r="H87" s="1"/>
      <c r="I87" s="25">
        <f>DATA!AL$9</f>
        <v>67.31</v>
      </c>
      <c r="J87" s="6"/>
      <c r="K87" s="1"/>
    </row>
    <row r="88" spans="1:11" ht="12.75">
      <c r="A88" s="3">
        <f>DATA!G$3</f>
        <v>2004</v>
      </c>
      <c r="B88" s="1"/>
      <c r="C88" s="5">
        <f>1-DATA!O$9/DATA!G$9</f>
        <v>0.3307086614173229</v>
      </c>
      <c r="D88" s="4">
        <f>DATA!W$9</f>
        <v>0.111</v>
      </c>
      <c r="E88" s="6">
        <f>C88*D88</f>
        <v>0.036708661417322846</v>
      </c>
      <c r="F88" s="3"/>
      <c r="G88" s="25">
        <f>DATA!AE$9</f>
        <v>11.15</v>
      </c>
      <c r="H88" s="1"/>
      <c r="I88" s="25">
        <f>DATA!AM$9</f>
        <v>76.67</v>
      </c>
      <c r="J88" s="6"/>
      <c r="K88" s="1"/>
    </row>
    <row r="89" spans="1:11" ht="12.75">
      <c r="A89" s="3">
        <f>DATA!H$3</f>
        <v>2005</v>
      </c>
      <c r="B89" s="1"/>
      <c r="C89" s="5">
        <f>1-DATA!P$9/DATA!H$9</f>
        <v>0.31060606060606066</v>
      </c>
      <c r="D89" s="4">
        <f>DATA!X$9</f>
        <v>0.115</v>
      </c>
      <c r="E89" s="6">
        <f>C89*D89</f>
        <v>0.03571969696969698</v>
      </c>
      <c r="F89" s="3"/>
      <c r="G89" s="25">
        <f>DATA!AF$9</f>
        <v>11.53</v>
      </c>
      <c r="H89" s="1"/>
      <c r="I89" s="25">
        <f>DATA!AN$9</f>
        <v>76.7</v>
      </c>
      <c r="J89" s="6"/>
      <c r="K89" s="1"/>
    </row>
    <row r="90" spans="1:11" ht="12.75">
      <c r="A90" s="3">
        <f>DATA!I$3</f>
        <v>2006</v>
      </c>
      <c r="B90" s="1"/>
      <c r="C90" s="5">
        <f>1-DATA!Q$9/DATA!I$9</f>
        <v>0.25196850393700787</v>
      </c>
      <c r="D90" s="4">
        <f>DATA!Y$9</f>
        <v>0.11</v>
      </c>
      <c r="E90" s="6">
        <f>C90*D90</f>
        <v>0.027716535433070864</v>
      </c>
      <c r="F90" s="3"/>
      <c r="G90" s="25">
        <f>DATA!AG$9</f>
        <v>11.83</v>
      </c>
      <c r="H90" s="1"/>
      <c r="I90" s="25">
        <f>DATA!AO$9</f>
        <v>74.61</v>
      </c>
      <c r="J90" s="6"/>
      <c r="K90" s="1"/>
    </row>
    <row r="91" spans="1:11" ht="12.75">
      <c r="A91" s="3">
        <f>DATA!J$3</f>
        <v>2007</v>
      </c>
      <c r="B91" s="1"/>
      <c r="C91" s="5">
        <f>1-DATA!R$9/DATA!J$9</f>
        <v>0.2928571428571428</v>
      </c>
      <c r="D91" s="4">
        <f>DATA!Z$9</f>
        <v>0.119</v>
      </c>
      <c r="E91" s="16">
        <f>C91*D91</f>
        <v>0.03484999999999999</v>
      </c>
      <c r="F91" s="17"/>
      <c r="G91" s="26">
        <f>DATA!AH$9</f>
        <v>11.99</v>
      </c>
      <c r="H91" s="18"/>
      <c r="I91" s="26">
        <f>DATA!AP$9</f>
        <v>73.23</v>
      </c>
      <c r="J91" s="6"/>
      <c r="K91" s="1"/>
    </row>
    <row r="92" spans="1:11" ht="12.75">
      <c r="A92" s="19" t="s">
        <v>185</v>
      </c>
      <c r="B92" s="1"/>
      <c r="C92" s="5"/>
      <c r="D92" s="4"/>
      <c r="E92" s="6">
        <f>AVERAGE(E87:E91)</f>
        <v>0.03316474452978391</v>
      </c>
      <c r="F92" s="6"/>
      <c r="G92" s="6">
        <f>DATA!AX$9</f>
        <v>0.065</v>
      </c>
      <c r="H92" s="1"/>
      <c r="I92" s="25"/>
      <c r="J92" s="6">
        <f>(I91/I87)^0.25-1</f>
        <v>0.02129771653984802</v>
      </c>
      <c r="K92" s="1"/>
    </row>
    <row r="93" spans="1:11" ht="12.75">
      <c r="A93" s="3">
        <f>DATA!K$3</f>
        <v>2008</v>
      </c>
      <c r="B93" s="1"/>
      <c r="C93" s="5">
        <f>1-DATA!S$9/DATA!K$9</f>
        <v>0.3354838709677419</v>
      </c>
      <c r="D93" s="4">
        <f>DATA!AA$9</f>
        <v>0.125</v>
      </c>
      <c r="E93" s="6">
        <f>C93*D93</f>
        <v>0.04193548387096774</v>
      </c>
      <c r="F93" s="6"/>
      <c r="G93" s="6"/>
      <c r="H93" s="1"/>
      <c r="I93" s="25">
        <f>DATA!AQ$9</f>
        <v>73.5</v>
      </c>
      <c r="J93" s="6">
        <f>(I93/I91)-1</f>
        <v>0.0036870135190494313</v>
      </c>
      <c r="K93" s="1"/>
    </row>
    <row r="94" spans="1:11" ht="12.75">
      <c r="A94" s="3">
        <f>DATA!L$3</f>
        <v>2009</v>
      </c>
      <c r="B94" s="3"/>
      <c r="C94" s="5">
        <f>1-DATA!T$9/DATA!L$9</f>
        <v>0.33125000000000004</v>
      </c>
      <c r="D94" s="4">
        <f>DATA!AB$9</f>
        <v>0.125</v>
      </c>
      <c r="E94" s="6">
        <f>C94*D94</f>
        <v>0.041406250000000006</v>
      </c>
      <c r="F94" s="3"/>
      <c r="G94" s="6"/>
      <c r="H94" s="3"/>
      <c r="I94" s="25">
        <f>DATA!AR$9</f>
        <v>73.5</v>
      </c>
      <c r="J94" s="6">
        <f>(I94/I91)^0.5-1</f>
        <v>0.0018418106263331513</v>
      </c>
      <c r="K94" s="3"/>
    </row>
    <row r="95" spans="1:11" ht="12.75">
      <c r="A95" s="3" t="str">
        <f>DATA!M$3</f>
        <v>2011-2013</v>
      </c>
      <c r="B95" s="1"/>
      <c r="C95" s="5">
        <f>1-DATA!U$9/DATA!M$9</f>
        <v>0.41951219512195115</v>
      </c>
      <c r="D95" s="4">
        <f>DATA!AC$9</f>
        <v>0.135</v>
      </c>
      <c r="E95" s="6">
        <f>C95*D95</f>
        <v>0.05663414634146341</v>
      </c>
      <c r="F95" s="6"/>
      <c r="G95" s="6">
        <f>DATA!AY$9</f>
        <v>0.045</v>
      </c>
      <c r="H95" s="1"/>
      <c r="I95" s="25">
        <f>DATA!AS$9</f>
        <v>73</v>
      </c>
      <c r="J95" s="6">
        <f>(I95/I91)^0.2-1</f>
        <v>-0.0006289485138294415</v>
      </c>
      <c r="K95" s="1"/>
    </row>
    <row r="96" spans="1:11" ht="12.75">
      <c r="A96" s="3"/>
      <c r="B96" s="1"/>
      <c r="C96" s="5"/>
      <c r="D96" s="4"/>
      <c r="E96" s="6"/>
      <c r="F96" s="3"/>
      <c r="G96" s="3"/>
      <c r="H96" s="1"/>
      <c r="I96" s="25"/>
      <c r="J96" s="6"/>
      <c r="K96" s="1"/>
    </row>
    <row r="97" spans="1:11" ht="12.75">
      <c r="A97" s="3"/>
      <c r="B97" s="1"/>
      <c r="C97" s="5"/>
      <c r="D97" s="4"/>
      <c r="E97" s="6"/>
      <c r="F97" s="3"/>
      <c r="G97" s="3"/>
      <c r="H97" s="1"/>
      <c r="I97" s="25"/>
      <c r="J97" s="6"/>
      <c r="K97" s="1"/>
    </row>
    <row r="98" spans="1:11" ht="12.75">
      <c r="A98" s="3"/>
      <c r="B98" s="1"/>
      <c r="C98" s="5"/>
      <c r="D98" s="4"/>
      <c r="E98" s="6"/>
      <c r="F98" s="3"/>
      <c r="G98" s="3"/>
      <c r="H98" s="1"/>
      <c r="I98" s="25"/>
      <c r="J98" s="6"/>
      <c r="K98" s="1"/>
    </row>
    <row r="99" spans="1:11" ht="12.75">
      <c r="A99" s="10" t="s">
        <v>92</v>
      </c>
      <c r="B99" s="1"/>
      <c r="C99" s="11"/>
      <c r="D99" s="12" t="s">
        <v>93</v>
      </c>
      <c r="E99" s="13" t="s">
        <v>94</v>
      </c>
      <c r="F99" s="10"/>
      <c r="G99" s="10"/>
      <c r="H99" s="1"/>
      <c r="I99" s="27" t="s">
        <v>200</v>
      </c>
      <c r="J99" s="14" t="s">
        <v>94</v>
      </c>
      <c r="K99" s="1"/>
    </row>
    <row r="100" spans="1:11" ht="12.75">
      <c r="A100" s="3"/>
      <c r="B100" s="1"/>
      <c r="C100" s="5"/>
      <c r="D100" s="4"/>
      <c r="E100" s="6"/>
      <c r="F100" s="3"/>
      <c r="G100" s="3"/>
      <c r="H100" s="1"/>
      <c r="I100" s="25"/>
      <c r="J100" s="6"/>
      <c r="K100" s="1"/>
    </row>
    <row r="101" spans="1:11" ht="12.75">
      <c r="A101" s="3"/>
      <c r="B101" s="1"/>
      <c r="C101" s="5" t="s">
        <v>201</v>
      </c>
      <c r="D101" s="4" t="s">
        <v>2</v>
      </c>
      <c r="E101" s="6"/>
      <c r="F101" s="3"/>
      <c r="G101" s="3" t="s">
        <v>191</v>
      </c>
      <c r="H101" s="1"/>
      <c r="I101" s="25" t="s">
        <v>192</v>
      </c>
      <c r="J101" s="6" t="s">
        <v>70</v>
      </c>
      <c r="K101" s="1"/>
    </row>
    <row r="102" spans="1:11" ht="12.75">
      <c r="A102" s="15" t="str">
        <f>DATA!A$10</f>
        <v>SJI</v>
      </c>
      <c r="B102" s="1"/>
      <c r="C102" s="11" t="s">
        <v>71</v>
      </c>
      <c r="D102" s="12" t="s">
        <v>160</v>
      </c>
      <c r="E102" s="13" t="s">
        <v>127</v>
      </c>
      <c r="F102" s="10"/>
      <c r="G102" s="10" t="s">
        <v>183</v>
      </c>
      <c r="H102" s="1"/>
      <c r="I102" s="28" t="s">
        <v>184</v>
      </c>
      <c r="J102" s="13" t="s">
        <v>94</v>
      </c>
      <c r="K102" s="1"/>
    </row>
    <row r="103" spans="1:11" ht="12.75">
      <c r="A103" s="3">
        <f>DATA!F$3</f>
        <v>2003</v>
      </c>
      <c r="B103" s="1"/>
      <c r="C103" s="5">
        <f>1-DATA!N$10/DATA!F$10</f>
        <v>0.43065693430656937</v>
      </c>
      <c r="D103" s="4">
        <f>DATA!V$10</f>
        <v>0.116</v>
      </c>
      <c r="E103" s="6">
        <f>C103*D103</f>
        <v>0.04995620437956205</v>
      </c>
      <c r="F103" s="3"/>
      <c r="G103" s="25">
        <f>DATA!AD$10</f>
        <v>11.26</v>
      </c>
      <c r="H103" s="1"/>
      <c r="I103" s="25">
        <f>DATA!AL$10</f>
        <v>26.46</v>
      </c>
      <c r="J103" s="6"/>
      <c r="K103" s="1"/>
    </row>
    <row r="104" spans="1:11" ht="12.75">
      <c r="A104" s="3">
        <f>DATA!G$3</f>
        <v>2004</v>
      </c>
      <c r="B104" s="1"/>
      <c r="C104" s="5">
        <f>1-DATA!O$10/DATA!G$10</f>
        <v>0.4810126582278481</v>
      </c>
      <c r="D104" s="4">
        <f>DATA!W$10</f>
        <v>0.125</v>
      </c>
      <c r="E104" s="6">
        <f>C104*D104</f>
        <v>0.060126582278481014</v>
      </c>
      <c r="F104" s="3"/>
      <c r="G104" s="25">
        <f>DATA!AE$10</f>
        <v>12.41</v>
      </c>
      <c r="H104" s="1"/>
      <c r="I104" s="25">
        <f>DATA!AM$10</f>
        <v>27.76</v>
      </c>
      <c r="J104" s="6"/>
      <c r="K104" s="1"/>
    </row>
    <row r="105" spans="1:11" ht="12.75">
      <c r="A105" s="3">
        <f>DATA!H$3</f>
        <v>2005</v>
      </c>
      <c r="B105" s="1"/>
      <c r="C105" s="5">
        <f>1-DATA!P$10/DATA!H$10</f>
        <v>0.4970760233918129</v>
      </c>
      <c r="D105" s="4">
        <f>DATA!X$10</f>
        <v>0.124</v>
      </c>
      <c r="E105" s="6">
        <f>C105*D105</f>
        <v>0.061637426900584796</v>
      </c>
      <c r="F105" s="3"/>
      <c r="G105" s="25">
        <f>DATA!AF$10</f>
        <v>13.5</v>
      </c>
      <c r="H105" s="1"/>
      <c r="I105" s="25">
        <f>DATA!AN$10</f>
        <v>28.98</v>
      </c>
      <c r="J105" s="6"/>
      <c r="K105" s="1"/>
    </row>
    <row r="106" spans="1:11" ht="12.75">
      <c r="A106" s="3">
        <f>DATA!I$3</f>
        <v>2006</v>
      </c>
      <c r="B106" s="1"/>
      <c r="C106" s="5">
        <f>1-DATA!Q$10/DATA!I$10</f>
        <v>0.6260162601626016</v>
      </c>
      <c r="D106" s="4">
        <f>DATA!Y$10</f>
        <v>0.163</v>
      </c>
      <c r="E106" s="6">
        <f>C106*D106</f>
        <v>0.10204065040650406</v>
      </c>
      <c r="F106" s="3"/>
      <c r="G106" s="25">
        <f>DATA!AG$10</f>
        <v>15.11</v>
      </c>
      <c r="H106" s="1"/>
      <c r="I106" s="25">
        <f>DATA!AO$10</f>
        <v>29.33</v>
      </c>
      <c r="J106" s="6"/>
      <c r="K106" s="1"/>
    </row>
    <row r="107" spans="1:11" ht="12.75">
      <c r="A107" s="3">
        <f>DATA!J$3</f>
        <v>2007</v>
      </c>
      <c r="B107" s="1"/>
      <c r="C107" s="5">
        <f>1-DATA!R$10/DATA!J$10</f>
        <v>0.5167464114832536</v>
      </c>
      <c r="D107" s="4">
        <f>DATA!Z$10</f>
        <v>0.128</v>
      </c>
      <c r="E107" s="16">
        <f>C107*D107</f>
        <v>0.06614354066985646</v>
      </c>
      <c r="F107" s="17"/>
      <c r="G107" s="26">
        <f>DATA!AH$10</f>
        <v>16.25</v>
      </c>
      <c r="H107" s="18"/>
      <c r="I107" s="26">
        <f>DATA!AP$10</f>
        <v>29.61</v>
      </c>
      <c r="J107" s="6"/>
      <c r="K107" s="1"/>
    </row>
    <row r="108" spans="1:11" ht="12.75">
      <c r="A108" s="19" t="s">
        <v>185</v>
      </c>
      <c r="B108" s="1"/>
      <c r="C108" s="5"/>
      <c r="D108" s="4"/>
      <c r="E108" s="6">
        <f>AVERAGE(E103:E107)</f>
        <v>0.06798088092699768</v>
      </c>
      <c r="F108" s="6"/>
      <c r="G108" s="6">
        <f>DATA!AX$10</f>
        <v>0.125</v>
      </c>
      <c r="H108" s="1"/>
      <c r="I108" s="25"/>
      <c r="J108" s="6">
        <f>(I107/I103)^0.25-1</f>
        <v>0.028518580787390446</v>
      </c>
      <c r="K108" s="1"/>
    </row>
    <row r="109" spans="1:11" ht="12.75">
      <c r="A109" s="3">
        <f>DATA!K$3</f>
        <v>2008</v>
      </c>
      <c r="B109" s="1"/>
      <c r="C109" s="5">
        <f>1-DATA!S$10/DATA!K$10</f>
        <v>0.517391304347826</v>
      </c>
      <c r="D109" s="4">
        <f>DATA!AA$10</f>
        <v>0.135</v>
      </c>
      <c r="E109" s="6">
        <f>C109*D109</f>
        <v>0.06984782608695651</v>
      </c>
      <c r="F109" s="6"/>
      <c r="G109" s="6"/>
      <c r="H109" s="1"/>
      <c r="I109" s="25">
        <f>DATA!AQ$10</f>
        <v>30</v>
      </c>
      <c r="J109" s="6">
        <f>(I109/I107)-1</f>
        <v>0.01317122593718345</v>
      </c>
      <c r="K109" s="1"/>
    </row>
    <row r="110" spans="1:11" ht="12.75">
      <c r="A110" s="3">
        <f>DATA!L$3</f>
        <v>2009</v>
      </c>
      <c r="B110" s="3"/>
      <c r="C110" s="5">
        <f>1-DATA!T$10/DATA!L$10</f>
        <v>0.52</v>
      </c>
      <c r="D110" s="4">
        <f>DATA!AB$10</f>
        <v>0.145</v>
      </c>
      <c r="E110" s="6">
        <f>C110*D110</f>
        <v>0.0754</v>
      </c>
      <c r="F110" s="3"/>
      <c r="G110" s="6"/>
      <c r="H110" s="3"/>
      <c r="I110" s="25">
        <f>DATA!AR$10</f>
        <v>31</v>
      </c>
      <c r="J110" s="6">
        <f>(I110/I107)^0.5-1</f>
        <v>0.023202619296437188</v>
      </c>
      <c r="K110" s="3"/>
    </row>
    <row r="111" spans="1:11" ht="12.75">
      <c r="A111" s="3" t="str">
        <f>DATA!M$3</f>
        <v>2011-2013</v>
      </c>
      <c r="B111" s="1"/>
      <c r="C111" s="5">
        <f>1-DATA!U$10/DATA!M$10</f>
        <v>0.5666666666666667</v>
      </c>
      <c r="D111" s="4">
        <f>DATA!AC$10</f>
        <v>0.16</v>
      </c>
      <c r="E111" s="6">
        <f>C111*D111</f>
        <v>0.09066666666666666</v>
      </c>
      <c r="F111" s="6"/>
      <c r="G111" s="6">
        <f>DATA!AY$10</f>
        <v>0.045</v>
      </c>
      <c r="H111" s="1"/>
      <c r="I111" s="25">
        <f>DATA!AS$10</f>
        <v>32</v>
      </c>
      <c r="J111" s="6">
        <f>(I111/I107)^0.2-1</f>
        <v>0.015645887153577842</v>
      </c>
      <c r="K111" s="1"/>
    </row>
    <row r="112" spans="1:11" ht="12.75">
      <c r="A112" s="3"/>
      <c r="B112" s="1"/>
      <c r="C112" s="5"/>
      <c r="D112" s="4"/>
      <c r="E112" s="6"/>
      <c r="F112" s="3"/>
      <c r="G112" s="3"/>
      <c r="H112" s="1"/>
      <c r="I112" s="25"/>
      <c r="J112" s="7" t="s">
        <v>190</v>
      </c>
      <c r="K112" s="1"/>
    </row>
    <row r="113" spans="1:11" ht="12.75">
      <c r="A113" s="3"/>
      <c r="B113" s="1"/>
      <c r="C113" s="5"/>
      <c r="D113" s="4"/>
      <c r="E113" s="6"/>
      <c r="F113" s="3"/>
      <c r="G113" s="3"/>
      <c r="H113" s="1"/>
      <c r="I113" s="25"/>
      <c r="J113" s="7" t="s">
        <v>105</v>
      </c>
      <c r="K113" s="1"/>
    </row>
    <row r="114" spans="1:11" ht="12.75">
      <c r="A114" s="3"/>
      <c r="B114" s="1"/>
      <c r="C114" s="5"/>
      <c r="D114" s="4"/>
      <c r="E114" s="6"/>
      <c r="F114" s="3"/>
      <c r="G114" s="3"/>
      <c r="H114" s="1"/>
      <c r="I114" s="25"/>
      <c r="J114" s="7" t="s">
        <v>63</v>
      </c>
      <c r="K114" s="1"/>
    </row>
    <row r="115" spans="1:11" ht="12.75">
      <c r="A115" s="3"/>
      <c r="B115" s="1"/>
      <c r="C115" s="5"/>
      <c r="D115" s="4"/>
      <c r="E115" s="6"/>
      <c r="F115" s="3"/>
      <c r="G115" s="3"/>
      <c r="H115" s="1"/>
      <c r="I115" s="25"/>
      <c r="J115" s="6"/>
      <c r="K115" s="1"/>
    </row>
    <row r="116" spans="1:11" ht="12.75">
      <c r="A116" s="3"/>
      <c r="B116" s="1"/>
      <c r="C116" s="5"/>
      <c r="D116" s="4"/>
      <c r="E116" s="6"/>
      <c r="F116" s="3"/>
      <c r="G116" s="3"/>
      <c r="H116" s="1"/>
      <c r="I116" s="25"/>
      <c r="J116" s="6"/>
      <c r="K116" s="1"/>
    </row>
    <row r="117" spans="1:11" ht="12.75">
      <c r="A117" s="3"/>
      <c r="B117" s="1"/>
      <c r="C117" s="5"/>
      <c r="D117" s="4"/>
      <c r="E117" s="8"/>
      <c r="F117" s="9" t="str">
        <f>F$6</f>
        <v>KENTUCKY-AMERICAN WATER COMPANY</v>
      </c>
      <c r="G117" s="1"/>
      <c r="H117" s="1"/>
      <c r="I117" s="25"/>
      <c r="J117" s="6"/>
      <c r="K117" s="1"/>
    </row>
    <row r="118" spans="1:11" ht="12.75">
      <c r="A118" s="3"/>
      <c r="B118" s="1"/>
      <c r="C118" s="5"/>
      <c r="D118" s="4"/>
      <c r="E118" s="8"/>
      <c r="F118" s="9" t="s">
        <v>91</v>
      </c>
      <c r="G118" s="1"/>
      <c r="H118" s="1"/>
      <c r="I118" s="25"/>
      <c r="J118" s="6"/>
      <c r="K118" s="1"/>
    </row>
    <row r="119" spans="1:11" ht="12.75">
      <c r="A119" s="3"/>
      <c r="B119" s="1"/>
      <c r="C119" s="5"/>
      <c r="D119" s="4"/>
      <c r="E119" s="6"/>
      <c r="F119" s="3" t="str">
        <f>F8</f>
        <v>GAS DISTRIBUTION UTILITIES</v>
      </c>
      <c r="G119" s="3"/>
      <c r="H119" s="1"/>
      <c r="I119" s="25"/>
      <c r="J119" s="6"/>
      <c r="K119" s="1"/>
    </row>
    <row r="120" spans="1:11" ht="12.75">
      <c r="A120" s="3"/>
      <c r="B120" s="1"/>
      <c r="C120" s="5"/>
      <c r="D120" s="4"/>
      <c r="E120" s="6"/>
      <c r="F120" s="3"/>
      <c r="G120" s="3"/>
      <c r="H120" s="1"/>
      <c r="I120" s="25"/>
      <c r="J120" s="6"/>
      <c r="K120" s="1"/>
    </row>
    <row r="121" spans="1:11" ht="12.75">
      <c r="A121" s="3"/>
      <c r="B121" s="1"/>
      <c r="C121" s="5"/>
      <c r="D121" s="4"/>
      <c r="E121" s="6"/>
      <c r="F121" s="3"/>
      <c r="G121" s="3"/>
      <c r="H121" s="1"/>
      <c r="I121" s="25"/>
      <c r="J121" s="6"/>
      <c r="K121" s="1"/>
    </row>
    <row r="122" spans="1:11" ht="12.75">
      <c r="A122" s="10" t="s">
        <v>92</v>
      </c>
      <c r="B122" s="1"/>
      <c r="C122" s="11"/>
      <c r="D122" s="12" t="s">
        <v>93</v>
      </c>
      <c r="E122" s="13" t="s">
        <v>94</v>
      </c>
      <c r="F122" s="10"/>
      <c r="G122" s="10"/>
      <c r="H122" s="1"/>
      <c r="I122" s="27" t="s">
        <v>200</v>
      </c>
      <c r="J122" s="14" t="s">
        <v>94</v>
      </c>
      <c r="K122" s="1"/>
    </row>
    <row r="123" spans="1:11" ht="12.75">
      <c r="A123" s="3"/>
      <c r="B123" s="1"/>
      <c r="C123" s="5"/>
      <c r="D123" s="4"/>
      <c r="E123" s="6"/>
      <c r="F123" s="3"/>
      <c r="G123" s="3"/>
      <c r="H123" s="1"/>
      <c r="I123" s="25"/>
      <c r="J123" s="6"/>
      <c r="K123" s="1"/>
    </row>
    <row r="124" spans="1:11" ht="12.75">
      <c r="A124" s="3"/>
      <c r="B124" s="1"/>
      <c r="C124" s="5" t="s">
        <v>201</v>
      </c>
      <c r="D124" s="4" t="s">
        <v>2</v>
      </c>
      <c r="E124" s="6"/>
      <c r="F124" s="3"/>
      <c r="G124" s="3" t="s">
        <v>191</v>
      </c>
      <c r="H124" s="1"/>
      <c r="I124" s="25" t="s">
        <v>192</v>
      </c>
      <c r="J124" s="6" t="s">
        <v>70</v>
      </c>
      <c r="K124" s="1"/>
    </row>
    <row r="125" spans="1:11" ht="12.75">
      <c r="A125" s="15" t="str">
        <f>DATA!A$11</f>
        <v>SWX</v>
      </c>
      <c r="B125" s="1"/>
      <c r="C125" s="11" t="s">
        <v>71</v>
      </c>
      <c r="D125" s="12" t="s">
        <v>160</v>
      </c>
      <c r="E125" s="13" t="s">
        <v>127</v>
      </c>
      <c r="F125" s="10"/>
      <c r="G125" s="10" t="s">
        <v>183</v>
      </c>
      <c r="H125" s="1"/>
      <c r="I125" s="28" t="s">
        <v>184</v>
      </c>
      <c r="J125" s="13" t="s">
        <v>94</v>
      </c>
      <c r="K125" s="1"/>
    </row>
    <row r="126" spans="1:11" ht="12.75">
      <c r="A126" s="3">
        <f>DATA!F$3</f>
        <v>2003</v>
      </c>
      <c r="B126" s="1"/>
      <c r="C126" s="5">
        <f>1-DATA!N$11/DATA!F$11</f>
        <v>0.2743362831858407</v>
      </c>
      <c r="D126" s="4">
        <f>DATA!V$11</f>
        <v>0.061</v>
      </c>
      <c r="E126" s="6">
        <f>C126*D126</f>
        <v>0.016734513274336282</v>
      </c>
      <c r="F126" s="3"/>
      <c r="G126" s="25">
        <f>DATA!AD$11</f>
        <v>18.42</v>
      </c>
      <c r="H126" s="1"/>
      <c r="I126" s="25">
        <f>DATA!AL$11</f>
        <v>34.23</v>
      </c>
      <c r="J126" s="6"/>
      <c r="K126" s="1"/>
    </row>
    <row r="127" spans="1:11" ht="12.75">
      <c r="A127" s="3">
        <f>DATA!G$3</f>
        <v>2004</v>
      </c>
      <c r="B127" s="1"/>
      <c r="C127" s="5">
        <f>1-DATA!O$11/DATA!G$11</f>
        <v>0.5060240963855422</v>
      </c>
      <c r="D127" s="4">
        <f>DATA!W$11</f>
        <v>0.083</v>
      </c>
      <c r="E127" s="6">
        <f>C127*D127</f>
        <v>0.04200000000000001</v>
      </c>
      <c r="F127" s="3"/>
      <c r="G127" s="25">
        <f>DATA!AE$11</f>
        <v>19.18</v>
      </c>
      <c r="H127" s="1"/>
      <c r="I127" s="25">
        <f>DATA!AM$11</f>
        <v>36.79</v>
      </c>
      <c r="J127" s="6"/>
      <c r="K127" s="1"/>
    </row>
    <row r="128" spans="1:11" ht="12.75">
      <c r="A128" s="3">
        <f>DATA!H$3</f>
        <v>2005</v>
      </c>
      <c r="B128" s="1"/>
      <c r="C128" s="5">
        <f>1-DATA!P$11/DATA!H$11</f>
        <v>0.3440000000000001</v>
      </c>
      <c r="D128" s="4">
        <f>DATA!X$11</f>
        <v>0.064</v>
      </c>
      <c r="E128" s="6">
        <f>C128*D128</f>
        <v>0.022016000000000004</v>
      </c>
      <c r="F128" s="3"/>
      <c r="G128" s="25">
        <f>DATA!AF$11</f>
        <v>19.1</v>
      </c>
      <c r="H128" s="1"/>
      <c r="I128" s="25">
        <f>DATA!AN$11</f>
        <v>39.33</v>
      </c>
      <c r="J128" s="6"/>
      <c r="K128" s="1"/>
    </row>
    <row r="129" spans="1:11" ht="12.75">
      <c r="A129" s="3">
        <f>DATA!I$3</f>
        <v>2006</v>
      </c>
      <c r="B129" s="1"/>
      <c r="C129" s="5">
        <f>1-DATA!Q$11/DATA!I$11</f>
        <v>0.5858585858585859</v>
      </c>
      <c r="D129" s="4">
        <f>DATA!Y$11</f>
        <v>0.089</v>
      </c>
      <c r="E129" s="6">
        <f>C129*D129</f>
        <v>0.05214141414141414</v>
      </c>
      <c r="F129" s="3"/>
      <c r="G129" s="25">
        <f>DATA!AG$11</f>
        <v>21.58</v>
      </c>
      <c r="H129" s="1"/>
      <c r="I129" s="25">
        <f>DATA!AO$11</f>
        <v>41.77</v>
      </c>
      <c r="J129" s="6"/>
      <c r="K129" s="1"/>
    </row>
    <row r="130" spans="1:11" ht="12.75">
      <c r="A130" s="3">
        <f>DATA!J$3</f>
        <v>2007</v>
      </c>
      <c r="B130" s="1"/>
      <c r="C130" s="5">
        <f>1-DATA!R$11/DATA!J$11</f>
        <v>0.558974358974359</v>
      </c>
      <c r="D130" s="4">
        <f>DATA!Z$11</f>
        <v>0.085</v>
      </c>
      <c r="E130" s="16">
        <f>C130*D130</f>
        <v>0.04751282051282052</v>
      </c>
      <c r="F130" s="17"/>
      <c r="G130" s="26">
        <f>DATA!AH$11</f>
        <v>22.98</v>
      </c>
      <c r="H130" s="18"/>
      <c r="I130" s="26">
        <f>DATA!AP$11</f>
        <v>42.81</v>
      </c>
      <c r="J130" s="6"/>
      <c r="K130" s="1"/>
    </row>
    <row r="131" spans="1:11" ht="12.75">
      <c r="A131" s="19" t="s">
        <v>185</v>
      </c>
      <c r="B131" s="1"/>
      <c r="C131" s="5"/>
      <c r="D131" s="4"/>
      <c r="E131" s="6">
        <f>AVERAGE(E126:E130)</f>
        <v>0.036080949585714193</v>
      </c>
      <c r="F131" s="6"/>
      <c r="G131" s="6">
        <f>DATA!AX$11</f>
        <v>0.035</v>
      </c>
      <c r="H131" s="1"/>
      <c r="I131" s="25"/>
      <c r="J131" s="6">
        <f>(I130/I126)^0.25-1</f>
        <v>0.05751024190050047</v>
      </c>
      <c r="K131" s="1"/>
    </row>
    <row r="132" spans="1:11" ht="12.75">
      <c r="A132" s="3">
        <f>DATA!K$3</f>
        <v>2008</v>
      </c>
      <c r="B132" s="1"/>
      <c r="C132" s="5">
        <f>1-DATA!S$11/DATA!K$11</f>
        <v>0.48571428571428565</v>
      </c>
      <c r="D132" s="4">
        <f>DATA!AA$11</f>
        <v>0.075</v>
      </c>
      <c r="E132" s="6">
        <f>C132*D132</f>
        <v>0.03642857142857142</v>
      </c>
      <c r="F132" s="6"/>
      <c r="G132" s="6"/>
      <c r="H132" s="1"/>
      <c r="I132" s="25">
        <f>DATA!AQ$11</f>
        <v>44</v>
      </c>
      <c r="J132" s="6">
        <f>(I132/I130)-1</f>
        <v>0.027797243634664737</v>
      </c>
      <c r="K132" s="1"/>
    </row>
    <row r="133" spans="1:11" ht="12.75">
      <c r="A133" s="3">
        <f>DATA!L$3</f>
        <v>2009</v>
      </c>
      <c r="B133" s="3"/>
      <c r="C133" s="5">
        <f>1-DATA!T$11/DATA!L$11</f>
        <v>0.53</v>
      </c>
      <c r="D133" s="4">
        <f>DATA!AB$11</f>
        <v>0.08</v>
      </c>
      <c r="E133" s="6">
        <f>C133*D133</f>
        <v>0.0424</v>
      </c>
      <c r="F133" s="3"/>
      <c r="G133" s="6"/>
      <c r="H133" s="3"/>
      <c r="I133" s="25">
        <f>DATA!AR$11</f>
        <v>45</v>
      </c>
      <c r="J133" s="6">
        <f>(I133/I130)^0.5-1</f>
        <v>0.025259124270098354</v>
      </c>
      <c r="K133" s="3"/>
    </row>
    <row r="134" spans="1:12" ht="12.75">
      <c r="A134" s="3" t="str">
        <f>DATA!M$3</f>
        <v>2011-2013</v>
      </c>
      <c r="B134" s="1"/>
      <c r="C134" s="5">
        <f>1-DATA!U$11/DATA!M$11</f>
        <v>0.576</v>
      </c>
      <c r="D134" s="4">
        <f>DATA!AC$11</f>
        <v>0.095</v>
      </c>
      <c r="E134" s="6">
        <f>C134*D134</f>
        <v>0.05472</v>
      </c>
      <c r="F134" s="6"/>
      <c r="G134" s="6">
        <f>DATA!AY$11</f>
        <v>0.04</v>
      </c>
      <c r="H134" s="1"/>
      <c r="I134" s="25">
        <f>DATA!AS$11</f>
        <v>48</v>
      </c>
      <c r="J134" s="6">
        <f>(I134/I130)^0.2-1</f>
        <v>0.023149748677052218</v>
      </c>
      <c r="K134" s="1"/>
      <c r="L134">
        <f>(I134/I132)^0.25-1</f>
        <v>0.021991162258356844</v>
      </c>
    </row>
    <row r="135" spans="1:11" ht="12.75">
      <c r="A135" s="3"/>
      <c r="B135" s="1"/>
      <c r="C135" s="5"/>
      <c r="D135" s="4"/>
      <c r="E135" s="6"/>
      <c r="F135" s="3"/>
      <c r="G135" s="3"/>
      <c r="H135" s="1"/>
      <c r="I135" s="25"/>
      <c r="J135" s="6"/>
      <c r="K135" s="1"/>
    </row>
    <row r="136" spans="1:11" ht="12.75">
      <c r="A136" s="3"/>
      <c r="B136" s="1"/>
      <c r="C136" s="5"/>
      <c r="D136" s="4"/>
      <c r="E136" s="6"/>
      <c r="F136" s="3"/>
      <c r="G136" s="3"/>
      <c r="H136" s="1"/>
      <c r="I136" s="25"/>
      <c r="J136" s="6"/>
      <c r="K136" s="1"/>
    </row>
    <row r="137" spans="1:11" ht="12.75">
      <c r="A137" s="3"/>
      <c r="B137" s="1"/>
      <c r="C137" s="5"/>
      <c r="D137" s="4"/>
      <c r="E137" s="6"/>
      <c r="F137" s="3"/>
      <c r="G137" s="3"/>
      <c r="H137" s="1"/>
      <c r="I137" s="25"/>
      <c r="J137" s="6"/>
      <c r="K137" s="1"/>
    </row>
    <row r="138" spans="1:11" ht="12.75">
      <c r="A138" s="10" t="s">
        <v>92</v>
      </c>
      <c r="B138" s="1"/>
      <c r="C138" s="11"/>
      <c r="D138" s="12" t="s">
        <v>93</v>
      </c>
      <c r="E138" s="13" t="s">
        <v>94</v>
      </c>
      <c r="F138" s="10"/>
      <c r="G138" s="10"/>
      <c r="H138" s="1"/>
      <c r="I138" s="27" t="s">
        <v>200</v>
      </c>
      <c r="J138" s="14" t="s">
        <v>94</v>
      </c>
      <c r="K138" s="1"/>
    </row>
    <row r="139" spans="1:11" ht="12.75">
      <c r="A139" s="3"/>
      <c r="B139" s="1"/>
      <c r="C139" s="5"/>
      <c r="D139" s="4"/>
      <c r="E139" s="6"/>
      <c r="F139" s="3"/>
      <c r="G139" s="3"/>
      <c r="H139" s="1"/>
      <c r="I139" s="25"/>
      <c r="J139" s="6"/>
      <c r="K139" s="1"/>
    </row>
    <row r="140" spans="1:11" ht="12.75">
      <c r="A140" s="3"/>
      <c r="B140" s="1"/>
      <c r="C140" s="5" t="s">
        <v>201</v>
      </c>
      <c r="D140" s="4" t="s">
        <v>2</v>
      </c>
      <c r="E140" s="6"/>
      <c r="F140" s="3"/>
      <c r="G140" s="3" t="s">
        <v>191</v>
      </c>
      <c r="H140" s="1"/>
      <c r="I140" s="25" t="s">
        <v>192</v>
      </c>
      <c r="J140" s="6" t="s">
        <v>70</v>
      </c>
      <c r="K140" s="1"/>
    </row>
    <row r="141" spans="1:11" ht="12.75">
      <c r="A141" s="15" t="str">
        <f>DATA!A$12</f>
        <v>WGL</v>
      </c>
      <c r="B141" s="1"/>
      <c r="C141" s="11" t="s">
        <v>71</v>
      </c>
      <c r="D141" s="12" t="s">
        <v>160</v>
      </c>
      <c r="E141" s="13" t="s">
        <v>127</v>
      </c>
      <c r="F141" s="10"/>
      <c r="G141" s="10" t="s">
        <v>183</v>
      </c>
      <c r="H141" s="1"/>
      <c r="I141" s="28" t="s">
        <v>184</v>
      </c>
      <c r="J141" s="13" t="s">
        <v>94</v>
      </c>
      <c r="K141" s="1"/>
    </row>
    <row r="142" spans="1:11" ht="12.75">
      <c r="A142" s="3">
        <f>DATA!F$3</f>
        <v>2003</v>
      </c>
      <c r="B142" s="1"/>
      <c r="C142" s="5">
        <f>1-DATA!N$12/DATA!F$12</f>
        <v>0.4434782608695652</v>
      </c>
      <c r="D142" s="4">
        <f>DATA!V$12</f>
        <v>0.14</v>
      </c>
      <c r="E142" s="6">
        <f>C142*D142</f>
        <v>0.06208695652173914</v>
      </c>
      <c r="F142" s="3"/>
      <c r="G142" s="25">
        <f>DATA!AD$12</f>
        <v>16.25</v>
      </c>
      <c r="H142" s="1"/>
      <c r="I142" s="25">
        <f>DATA!AL$12</f>
        <v>48.63</v>
      </c>
      <c r="J142" s="6"/>
      <c r="K142" s="1"/>
    </row>
    <row r="143" spans="1:11" ht="12.75">
      <c r="A143" s="3">
        <f>DATA!G$3</f>
        <v>2004</v>
      </c>
      <c r="B143" s="1"/>
      <c r="C143" s="5">
        <f>1-DATA!O$12/DATA!G$12</f>
        <v>0.3434343434343434</v>
      </c>
      <c r="D143" s="4">
        <f>DATA!W$12</f>
        <v>0.117</v>
      </c>
      <c r="E143" s="6">
        <f>C143*D143</f>
        <v>0.04018181818181818</v>
      </c>
      <c r="F143" s="3"/>
      <c r="G143" s="25">
        <f>DATA!AE$12</f>
        <v>16.95</v>
      </c>
      <c r="H143" s="1"/>
      <c r="I143" s="25">
        <f>DATA!AM$12</f>
        <v>48.67</v>
      </c>
      <c r="J143" s="6"/>
      <c r="K143" s="1"/>
    </row>
    <row r="144" spans="1:11" ht="12.75">
      <c r="A144" s="3">
        <f>DATA!H$3</f>
        <v>2005</v>
      </c>
      <c r="B144" s="1"/>
      <c r="C144" s="5">
        <f>1-DATA!P$12/DATA!H$12</f>
        <v>0.3744075829383886</v>
      </c>
      <c r="D144" s="4">
        <f>DATA!X$12</f>
        <v>0.12</v>
      </c>
      <c r="E144" s="6">
        <f>C144*D144</f>
        <v>0.04492890995260663</v>
      </c>
      <c r="F144" s="3"/>
      <c r="G144" s="25">
        <f>DATA!AF$12</f>
        <v>17.8</v>
      </c>
      <c r="H144" s="1"/>
      <c r="I144" s="25">
        <f>DATA!AN$12</f>
        <v>48.65</v>
      </c>
      <c r="J144" s="6"/>
      <c r="K144" s="1"/>
    </row>
    <row r="145" spans="1:11" ht="12.75">
      <c r="A145" s="3">
        <f>DATA!I$3</f>
        <v>2006</v>
      </c>
      <c r="B145" s="1"/>
      <c r="C145" s="5">
        <f>1-DATA!Q$12/DATA!I$12</f>
        <v>0.3092783505154638</v>
      </c>
      <c r="D145" s="4">
        <f>DATA!Y$12</f>
        <v>0.102</v>
      </c>
      <c r="E145" s="6">
        <f>C145*D145</f>
        <v>0.031546391752577306</v>
      </c>
      <c r="F145" s="3"/>
      <c r="G145" s="25">
        <f>DATA!AG$12</f>
        <v>18.28</v>
      </c>
      <c r="H145" s="1"/>
      <c r="I145" s="25">
        <f>DATA!AO$12</f>
        <v>48.89</v>
      </c>
      <c r="J145" s="6"/>
      <c r="K145" s="1"/>
    </row>
    <row r="146" spans="1:11" ht="12.75">
      <c r="A146" s="3">
        <f>DATA!J$3</f>
        <v>2007</v>
      </c>
      <c r="B146" s="1"/>
      <c r="C146" s="5">
        <f>1-DATA!R$12/DATA!J$12</f>
        <v>0.3476190476190476</v>
      </c>
      <c r="D146" s="4">
        <f>DATA!Z$12</f>
        <v>0.104</v>
      </c>
      <c r="E146" s="16">
        <f>C146*D146</f>
        <v>0.03615238095238095</v>
      </c>
      <c r="F146" s="17"/>
      <c r="G146" s="26">
        <f>DATA!AH$12</f>
        <v>19.83</v>
      </c>
      <c r="H146" s="18"/>
      <c r="I146" s="26">
        <f>DATA!AP$12</f>
        <v>49.45</v>
      </c>
      <c r="J146" s="6"/>
      <c r="K146" s="1"/>
    </row>
    <row r="147" spans="1:12" ht="12.75">
      <c r="A147" s="19" t="s">
        <v>185</v>
      </c>
      <c r="B147" s="1"/>
      <c r="C147" s="5"/>
      <c r="D147" s="4"/>
      <c r="E147" s="6">
        <f>AVERAGE(E142:E146)</f>
        <v>0.04297929147222444</v>
      </c>
      <c r="F147" s="6"/>
      <c r="G147" s="6">
        <f>DATA!AX$12</f>
        <v>0.035</v>
      </c>
      <c r="H147" s="1"/>
      <c r="I147" s="25"/>
      <c r="J147" s="6">
        <f>(I146/I142)^0.25-1</f>
        <v>0.004189108299793576</v>
      </c>
      <c r="K147" s="1"/>
      <c r="L147">
        <f>(I146/I144)^0.5-1</f>
        <v>0.008188468326735698</v>
      </c>
    </row>
    <row r="148" spans="1:11" ht="12.75">
      <c r="A148" s="3">
        <f>DATA!K$3</f>
        <v>2008</v>
      </c>
      <c r="B148" s="1"/>
      <c r="C148" s="5">
        <f>1-DATA!S$12/DATA!K$12</f>
        <v>0.3905579399141631</v>
      </c>
      <c r="D148" s="4">
        <f>DATA!AA$12</f>
        <v>0.116</v>
      </c>
      <c r="E148" s="6">
        <f>C148*D148</f>
        <v>0.04530472103004292</v>
      </c>
      <c r="F148" s="6"/>
      <c r="G148" s="6"/>
      <c r="H148" s="1"/>
      <c r="I148" s="25">
        <f>DATA!AQ$12</f>
        <v>49.61</v>
      </c>
      <c r="J148" s="6">
        <f>(I148/I146)-1</f>
        <v>0.0032355915065722662</v>
      </c>
      <c r="K148" s="1"/>
    </row>
    <row r="149" spans="1:11" ht="12.75">
      <c r="A149" s="3">
        <f>DATA!L$3</f>
        <v>2009</v>
      </c>
      <c r="B149" s="3"/>
      <c r="C149" s="5">
        <f>1-DATA!T$12/DATA!L$12</f>
        <v>0.4</v>
      </c>
      <c r="D149" s="4">
        <f>DATA!AB$12</f>
        <v>0.115</v>
      </c>
      <c r="E149" s="6">
        <f>C149*D149</f>
        <v>0.046000000000000006</v>
      </c>
      <c r="F149" s="3"/>
      <c r="G149" s="6"/>
      <c r="H149" s="3"/>
      <c r="I149" s="25">
        <f>DATA!AR$12</f>
        <v>49.65</v>
      </c>
      <c r="J149" s="6">
        <f>(I149/I146)^0.5-1</f>
        <v>0.0020202040793464437</v>
      </c>
      <c r="K149" s="3"/>
    </row>
    <row r="150" spans="1:11" ht="12.75">
      <c r="A150" s="3" t="str">
        <f>DATA!M$3</f>
        <v>2011-2013</v>
      </c>
      <c r="B150" s="1"/>
      <c r="C150" s="5">
        <f>1-DATA!U$12/DATA!M$12</f>
        <v>0.388235294117647</v>
      </c>
      <c r="D150" s="4">
        <f>DATA!AC$12</f>
        <v>0.105</v>
      </c>
      <c r="E150" s="6">
        <f>C150*D150</f>
        <v>0.04076470588235293</v>
      </c>
      <c r="F150" s="6"/>
      <c r="G150" s="6">
        <f>DATA!AY$12</f>
        <v>0.05</v>
      </c>
      <c r="H150" s="1"/>
      <c r="I150" s="25">
        <f>DATA!AS$12</f>
        <v>50</v>
      </c>
      <c r="J150" s="6">
        <f>(I150/I146)^0.2-1</f>
        <v>0.002214638168342109</v>
      </c>
      <c r="K150" s="1"/>
    </row>
    <row r="151" spans="1:11" ht="12.75">
      <c r="A151" s="3"/>
      <c r="B151" s="1"/>
      <c r="C151" s="5"/>
      <c r="D151" s="4"/>
      <c r="E151" s="6"/>
      <c r="F151" s="3"/>
      <c r="G151" s="3"/>
      <c r="H151" s="1"/>
      <c r="I151" s="25"/>
      <c r="J151" s="6"/>
      <c r="K151" s="1"/>
    </row>
    <row r="152" spans="1:11" ht="12.75">
      <c r="A152" s="3"/>
      <c r="B152" s="1"/>
      <c r="C152" s="5"/>
      <c r="D152" s="4"/>
      <c r="E152" s="6"/>
      <c r="F152" s="3"/>
      <c r="G152" s="3"/>
      <c r="H152" s="1"/>
      <c r="I152" s="25"/>
      <c r="J152" s="6"/>
      <c r="K152" s="1"/>
    </row>
    <row r="153" spans="1:11" ht="12.75">
      <c r="A153" s="3"/>
      <c r="B153" s="1"/>
      <c r="C153" s="5"/>
      <c r="D153" s="4"/>
      <c r="E153" s="6"/>
      <c r="F153" s="3"/>
      <c r="G153" s="3"/>
      <c r="H153" s="1"/>
      <c r="I153" s="25"/>
      <c r="J153" s="6"/>
      <c r="K153" s="1"/>
    </row>
    <row r="154" spans="1:11" ht="12.75">
      <c r="A154" s="10" t="s">
        <v>92</v>
      </c>
      <c r="B154" s="1"/>
      <c r="C154" s="11"/>
      <c r="D154" s="12" t="s">
        <v>93</v>
      </c>
      <c r="E154" s="13" t="s">
        <v>94</v>
      </c>
      <c r="F154" s="10"/>
      <c r="G154" s="10"/>
      <c r="H154" s="1"/>
      <c r="I154" s="27" t="s">
        <v>200</v>
      </c>
      <c r="J154" s="14" t="s">
        <v>94</v>
      </c>
      <c r="K154" s="1"/>
    </row>
    <row r="155" spans="1:11" ht="12.75">
      <c r="A155" s="3"/>
      <c r="B155" s="1"/>
      <c r="C155" s="5"/>
      <c r="D155" s="4"/>
      <c r="E155" s="6"/>
      <c r="F155" s="3"/>
      <c r="G155" s="3"/>
      <c r="H155" s="1"/>
      <c r="I155" s="25"/>
      <c r="J155" s="6"/>
      <c r="K155" s="1"/>
    </row>
    <row r="156" spans="1:11" ht="12.75">
      <c r="A156" s="3"/>
      <c r="B156" s="1"/>
      <c r="C156" s="5" t="s">
        <v>201</v>
      </c>
      <c r="D156" s="4" t="s">
        <v>2</v>
      </c>
      <c r="E156" s="6"/>
      <c r="F156" s="3"/>
      <c r="G156" s="3" t="s">
        <v>191</v>
      </c>
      <c r="H156" s="1"/>
      <c r="I156" s="25" t="s">
        <v>192</v>
      </c>
      <c r="J156" s="6" t="s">
        <v>70</v>
      </c>
      <c r="K156" s="1"/>
    </row>
    <row r="157" spans="1:11" ht="12.75">
      <c r="A157" s="15" t="str">
        <f>DATA!A$13</f>
        <v>CPK</v>
      </c>
      <c r="B157" s="1"/>
      <c r="C157" s="11" t="s">
        <v>71</v>
      </c>
      <c r="D157" s="12" t="s">
        <v>160</v>
      </c>
      <c r="E157" s="13" t="s">
        <v>127</v>
      </c>
      <c r="F157" s="10"/>
      <c r="G157" s="10" t="s">
        <v>183</v>
      </c>
      <c r="H157" s="1"/>
      <c r="I157" s="28" t="s">
        <v>184</v>
      </c>
      <c r="J157" s="13" t="s">
        <v>94</v>
      </c>
      <c r="K157" s="1"/>
    </row>
    <row r="158" spans="1:11" ht="12.75">
      <c r="A158" s="3">
        <f>DATA!F$3</f>
        <v>2003</v>
      </c>
      <c r="B158" s="1"/>
      <c r="C158" s="5">
        <f>1-DATA!N$13/DATA!F$13</f>
        <v>0.375</v>
      </c>
      <c r="D158" s="4">
        <f>DATA!V$13</f>
        <v>0.138</v>
      </c>
      <c r="E158" s="6">
        <f>C158*D158</f>
        <v>0.051750000000000004</v>
      </c>
      <c r="F158" s="3"/>
      <c r="G158" s="25">
        <f>DATA!AD$13</f>
        <v>12.89</v>
      </c>
      <c r="H158" s="1"/>
      <c r="I158" s="25">
        <f>DATA!AL$13</f>
        <v>5.66</v>
      </c>
      <c r="J158" s="6"/>
      <c r="K158" s="1"/>
    </row>
    <row r="159" spans="1:11" ht="12.75">
      <c r="A159" s="3">
        <f>DATA!G$3</f>
        <v>2004</v>
      </c>
      <c r="B159" s="1"/>
      <c r="C159" s="5">
        <f>1-DATA!O$13/DATA!G$13</f>
        <v>0.31707317073170727</v>
      </c>
      <c r="D159" s="4">
        <f>DATA!W$13</f>
        <v>0.122</v>
      </c>
      <c r="E159" s="6">
        <f>C159*D159</f>
        <v>0.038682926829268285</v>
      </c>
      <c r="F159" s="3"/>
      <c r="G159" s="25">
        <f>DATA!AE$13</f>
        <v>13.6</v>
      </c>
      <c r="H159" s="1"/>
      <c r="I159" s="25">
        <f>DATA!AM$13</f>
        <v>5.73</v>
      </c>
      <c r="J159" s="6"/>
      <c r="K159" s="1"/>
    </row>
    <row r="160" spans="1:12" ht="12.75">
      <c r="A160" s="3">
        <f>DATA!H$3</f>
        <v>2005</v>
      </c>
      <c r="B160" s="1"/>
      <c r="C160" s="5">
        <f>1-DATA!P$13/DATA!H$13</f>
        <v>0.35593220338983056</v>
      </c>
      <c r="D160" s="4">
        <f>DATA!X$13</f>
        <v>0.123</v>
      </c>
      <c r="E160" s="6">
        <f>C160*D160</f>
        <v>0.043779661016949155</v>
      </c>
      <c r="F160" s="3"/>
      <c r="G160" s="25">
        <f>DATA!AF$13</f>
        <v>14.41</v>
      </c>
      <c r="H160" s="1"/>
      <c r="I160" s="25">
        <f>DATA!AN$13</f>
        <v>5.88</v>
      </c>
      <c r="J160" s="6"/>
      <c r="K160" s="1"/>
      <c r="L160">
        <f>(I160/I158)^0.5-1</f>
        <v>0.019249360044209185</v>
      </c>
    </row>
    <row r="161" spans="1:11" ht="12.75">
      <c r="A161" s="3">
        <f>DATA!I$3</f>
        <v>2006</v>
      </c>
      <c r="B161" s="1"/>
      <c r="C161" s="5">
        <f>1-DATA!Q$13/DATA!I$13</f>
        <v>0.32558139534883723</v>
      </c>
      <c r="D161" s="4">
        <f>DATA!Y$13</f>
        <v>0.095</v>
      </c>
      <c r="E161" s="6">
        <f>C161*D161</f>
        <v>0.030930232558139537</v>
      </c>
      <c r="F161" s="3"/>
      <c r="G161" s="25">
        <f>DATA!AG$13</f>
        <v>16.62</v>
      </c>
      <c r="H161" s="1"/>
      <c r="I161" s="25">
        <f>DATA!AO$13</f>
        <v>6.69</v>
      </c>
      <c r="J161" s="6"/>
      <c r="K161" s="1"/>
    </row>
    <row r="162" spans="1:12" ht="12.75">
      <c r="A162" s="3">
        <f>DATA!J$3</f>
        <v>2007</v>
      </c>
      <c r="B162" s="1"/>
      <c r="C162" s="5">
        <f>1-DATA!R$13/DATA!J$13</f>
        <v>0.3917525773195877</v>
      </c>
      <c r="D162" s="4">
        <f>DATA!Z$13</f>
        <v>0.111</v>
      </c>
      <c r="E162" s="16">
        <f>C162*D162</f>
        <v>0.04348453608247423</v>
      </c>
      <c r="F162" s="17"/>
      <c r="G162" s="26">
        <f>DATA!AH$13</f>
        <v>17.64</v>
      </c>
      <c r="H162" s="18"/>
      <c r="I162" s="26">
        <f>DATA!AP$13</f>
        <v>6.78</v>
      </c>
      <c r="J162" s="6"/>
      <c r="K162" s="1"/>
      <c r="L162">
        <f>I162/I161</f>
        <v>1.0134529147982063</v>
      </c>
    </row>
    <row r="163" spans="1:11" ht="12.75">
      <c r="A163" s="19" t="s">
        <v>185</v>
      </c>
      <c r="B163" s="1"/>
      <c r="C163" s="5"/>
      <c r="D163" s="4"/>
      <c r="E163" s="6">
        <f>AVERAGE(E158:E162)</f>
        <v>0.04172547129736624</v>
      </c>
      <c r="F163" s="6"/>
      <c r="G163" s="6">
        <f>DATA!AX$13</f>
        <v>0.06</v>
      </c>
      <c r="H163" s="1"/>
      <c r="I163" s="25"/>
      <c r="J163" s="6">
        <f>(I162/I158)^0.25-1</f>
        <v>0.046172538112534633</v>
      </c>
      <c r="K163" s="1"/>
    </row>
    <row r="164" spans="1:11" ht="12.75">
      <c r="A164" s="3">
        <f>DATA!K$3</f>
        <v>2008</v>
      </c>
      <c r="B164" s="1"/>
      <c r="C164" s="5">
        <f>1-DATA!S$13/DATA!K$13</f>
        <v>0.3939393939393939</v>
      </c>
      <c r="D164" s="4" t="str">
        <f>DATA!AA$13</f>
        <v>n/a</v>
      </c>
      <c r="E164" s="3" t="s">
        <v>188</v>
      </c>
      <c r="F164" s="6"/>
      <c r="G164" s="6"/>
      <c r="H164" s="3"/>
      <c r="I164" s="25" t="str">
        <f>DATA!AQ$13</f>
        <v>n/a</v>
      </c>
      <c r="J164" s="3" t="s">
        <v>188</v>
      </c>
      <c r="K164" s="1"/>
    </row>
    <row r="165" spans="1:11" ht="12.75">
      <c r="A165" s="3">
        <f>DATA!L$3</f>
        <v>2009</v>
      </c>
      <c r="B165" s="3"/>
      <c r="C165" s="3" t="s">
        <v>188</v>
      </c>
      <c r="D165" s="4" t="str">
        <f>DATA!AB$13</f>
        <v>n/a</v>
      </c>
      <c r="E165" s="3" t="s">
        <v>188</v>
      </c>
      <c r="F165" s="3"/>
      <c r="G165" s="6"/>
      <c r="H165" s="3"/>
      <c r="I165" s="25" t="str">
        <f>DATA!AR$13</f>
        <v>n/a</v>
      </c>
      <c r="J165" s="3" t="s">
        <v>188</v>
      </c>
      <c r="K165" s="3"/>
    </row>
    <row r="166" spans="1:11" ht="12.75">
      <c r="A166" s="3" t="str">
        <f>DATA!M$3</f>
        <v>2011-2013</v>
      </c>
      <c r="B166" s="1"/>
      <c r="C166" s="3" t="s">
        <v>188</v>
      </c>
      <c r="D166" s="4" t="str">
        <f>DATA!AC$13</f>
        <v>n/a</v>
      </c>
      <c r="E166" s="3" t="s">
        <v>188</v>
      </c>
      <c r="F166" s="6"/>
      <c r="G166" s="6" t="str">
        <f>DATA!AY$13</f>
        <v>n/a</v>
      </c>
      <c r="H166" s="3"/>
      <c r="I166" s="25" t="str">
        <f>DATA!AS$13</f>
        <v>n/a</v>
      </c>
      <c r="J166" s="3" t="s">
        <v>188</v>
      </c>
      <c r="K166" s="1"/>
    </row>
    <row r="167" spans="1:11" ht="12.75">
      <c r="A167" s="19" t="s">
        <v>104</v>
      </c>
      <c r="B167" s="1"/>
      <c r="C167" s="5"/>
      <c r="D167" s="4"/>
      <c r="E167" s="6"/>
      <c r="F167" s="3"/>
      <c r="G167" s="3"/>
      <c r="H167" s="1"/>
      <c r="I167" s="25"/>
      <c r="J167" s="7"/>
      <c r="K167" s="1"/>
    </row>
    <row r="168" spans="1:11" ht="12.75">
      <c r="A168" s="3"/>
      <c r="B168" s="1"/>
      <c r="C168" s="5"/>
      <c r="D168" s="4"/>
      <c r="E168" s="6"/>
      <c r="F168" s="3"/>
      <c r="G168" s="3"/>
      <c r="H168" s="1"/>
      <c r="I168" s="25"/>
      <c r="J168" s="7" t="s">
        <v>162</v>
      </c>
      <c r="K168" s="1"/>
    </row>
    <row r="169" spans="1:11" ht="12.75">
      <c r="A169" s="3"/>
      <c r="B169" s="1"/>
      <c r="C169" s="5"/>
      <c r="D169" s="4"/>
      <c r="E169" s="6"/>
      <c r="F169" s="3"/>
      <c r="G169" s="3"/>
      <c r="H169" s="1"/>
      <c r="I169" s="25"/>
      <c r="J169" s="7" t="s">
        <v>72</v>
      </c>
      <c r="K169" s="1"/>
    </row>
    <row r="170" spans="1:11" ht="12.75">
      <c r="A170" s="3"/>
      <c r="B170" s="1"/>
      <c r="C170" s="5"/>
      <c r="D170" s="4"/>
      <c r="E170" s="6"/>
      <c r="F170" s="3"/>
      <c r="G170" s="3"/>
      <c r="H170" s="1"/>
      <c r="I170" s="25"/>
      <c r="J170" s="6"/>
      <c r="K170" s="1"/>
    </row>
    <row r="171" spans="1:11" ht="12.75">
      <c r="A171" s="3"/>
      <c r="B171" s="1"/>
      <c r="C171" s="5"/>
      <c r="D171" s="4"/>
      <c r="E171" s="6"/>
      <c r="F171" s="3"/>
      <c r="G171" s="3"/>
      <c r="H171" s="1"/>
      <c r="I171" s="25"/>
      <c r="J171" s="6"/>
      <c r="K171" s="1"/>
    </row>
    <row r="172" spans="1:11" ht="12.75">
      <c r="A172" s="3"/>
      <c r="B172" s="1"/>
      <c r="C172" s="5"/>
      <c r="D172" s="4"/>
      <c r="E172" s="8"/>
      <c r="F172" s="9" t="str">
        <f>F$6</f>
        <v>KENTUCKY-AMERICAN WATER COMPANY</v>
      </c>
      <c r="G172" s="1"/>
      <c r="H172" s="1"/>
      <c r="I172" s="25"/>
      <c r="J172" s="6"/>
      <c r="K172" s="1"/>
    </row>
    <row r="173" spans="1:11" ht="12.75">
      <c r="A173" s="3"/>
      <c r="B173" s="1"/>
      <c r="C173" s="5"/>
      <c r="D173" s="4"/>
      <c r="E173" s="8"/>
      <c r="F173" s="9" t="s">
        <v>91</v>
      </c>
      <c r="G173" s="1"/>
      <c r="H173" s="1"/>
      <c r="I173" s="25"/>
      <c r="J173" s="6"/>
      <c r="K173" s="1"/>
    </row>
    <row r="174" spans="1:11" ht="12.75">
      <c r="A174" s="3"/>
      <c r="B174" s="1"/>
      <c r="C174" s="5"/>
      <c r="D174" s="4"/>
      <c r="E174" s="6"/>
      <c r="F174" s="3" t="str">
        <f>F8</f>
        <v>GAS DISTRIBUTION UTILITIES</v>
      </c>
      <c r="G174" s="3"/>
      <c r="H174" s="1"/>
      <c r="I174" s="25"/>
      <c r="J174" s="6"/>
      <c r="K174" s="1"/>
    </row>
    <row r="175" spans="1:11" ht="12.75">
      <c r="A175" s="3"/>
      <c r="B175" s="1"/>
      <c r="C175" s="5"/>
      <c r="D175" s="4"/>
      <c r="E175" s="6"/>
      <c r="F175" s="3"/>
      <c r="G175" s="3"/>
      <c r="H175" s="1"/>
      <c r="I175" s="25"/>
      <c r="J175" s="6"/>
      <c r="K175" s="1"/>
    </row>
    <row r="176" spans="1:11" ht="12.75">
      <c r="A176" s="3"/>
      <c r="B176" s="1"/>
      <c r="C176" s="5"/>
      <c r="D176" s="4"/>
      <c r="E176" s="6"/>
      <c r="F176" s="3"/>
      <c r="G176" s="3"/>
      <c r="H176" s="1"/>
      <c r="I176" s="25"/>
      <c r="J176" s="6"/>
      <c r="K176" s="1"/>
    </row>
    <row r="177" spans="1:11" ht="12.75">
      <c r="A177" s="10" t="s">
        <v>92</v>
      </c>
      <c r="B177" s="1"/>
      <c r="C177" s="11"/>
      <c r="D177" s="12" t="s">
        <v>93</v>
      </c>
      <c r="E177" s="13" t="s">
        <v>94</v>
      </c>
      <c r="F177" s="10"/>
      <c r="G177" s="10"/>
      <c r="H177" s="1"/>
      <c r="I177" s="27" t="s">
        <v>200</v>
      </c>
      <c r="J177" s="14" t="s">
        <v>94</v>
      </c>
      <c r="K177" s="1"/>
    </row>
    <row r="178" spans="1:11" ht="12.75">
      <c r="A178" s="3"/>
      <c r="B178" s="1"/>
      <c r="C178" s="5"/>
      <c r="D178" s="4"/>
      <c r="E178" s="6"/>
      <c r="F178" s="3"/>
      <c r="G178" s="3"/>
      <c r="H178" s="1"/>
      <c r="I178" s="25"/>
      <c r="J178" s="6"/>
      <c r="K178" s="1"/>
    </row>
    <row r="179" spans="1:11" ht="12.75">
      <c r="A179" s="3"/>
      <c r="B179" s="1"/>
      <c r="C179" s="5" t="s">
        <v>201</v>
      </c>
      <c r="D179" s="4" t="s">
        <v>2</v>
      </c>
      <c r="E179" s="6"/>
      <c r="F179" s="3"/>
      <c r="G179" s="3" t="s">
        <v>191</v>
      </c>
      <c r="H179" s="1"/>
      <c r="I179" s="25" t="s">
        <v>192</v>
      </c>
      <c r="J179" s="6" t="s">
        <v>70</v>
      </c>
      <c r="K179" s="1"/>
    </row>
    <row r="180" spans="1:11" ht="12.75">
      <c r="A180" s="15">
        <f>DATA!A$14</f>
        <v>0</v>
      </c>
      <c r="B180" s="1"/>
      <c r="C180" s="11" t="s">
        <v>71</v>
      </c>
      <c r="D180" s="12" t="s">
        <v>160</v>
      </c>
      <c r="E180" s="13" t="s">
        <v>127</v>
      </c>
      <c r="F180" s="10"/>
      <c r="G180" s="10" t="s">
        <v>183</v>
      </c>
      <c r="H180" s="1"/>
      <c r="I180" s="28" t="s">
        <v>184</v>
      </c>
      <c r="J180" s="13" t="s">
        <v>94</v>
      </c>
      <c r="K180" s="1"/>
    </row>
    <row r="181" spans="1:11" ht="12.75">
      <c r="A181" s="3">
        <f>DATA!F$3</f>
        <v>2003</v>
      </c>
      <c r="B181" s="1"/>
      <c r="C181" s="5" t="e">
        <f>1-DATA!N$14/DATA!F$14</f>
        <v>#DIV/0!</v>
      </c>
      <c r="D181" s="4">
        <f>DATA!V$14</f>
        <v>0</v>
      </c>
      <c r="E181" s="6" t="e">
        <f>C181*D181</f>
        <v>#DIV/0!</v>
      </c>
      <c r="F181" s="3"/>
      <c r="G181" s="25">
        <f>DATA!AD$14</f>
        <v>0</v>
      </c>
      <c r="H181" s="1"/>
      <c r="I181" s="25">
        <f>DATA!AL$14</f>
        <v>0</v>
      </c>
      <c r="J181" s="6"/>
      <c r="K181" s="1"/>
    </row>
    <row r="182" spans="1:11" ht="12.75">
      <c r="A182" s="3">
        <f>DATA!G$3</f>
        <v>2004</v>
      </c>
      <c r="B182" s="1"/>
      <c r="C182" s="5" t="e">
        <f>1-DATA!O$14/DATA!G$14</f>
        <v>#DIV/0!</v>
      </c>
      <c r="D182" s="4">
        <f>DATA!W$14</f>
        <v>0</v>
      </c>
      <c r="E182" s="6" t="e">
        <f>C182*D182</f>
        <v>#DIV/0!</v>
      </c>
      <c r="F182" s="3"/>
      <c r="G182" s="25">
        <f>DATA!AE$14</f>
        <v>0</v>
      </c>
      <c r="H182" s="1"/>
      <c r="I182" s="25">
        <f>DATA!AM$14</f>
        <v>0</v>
      </c>
      <c r="J182" s="6"/>
      <c r="K182" s="1"/>
    </row>
    <row r="183" spans="1:11" ht="12.75">
      <c r="A183" s="3">
        <f>DATA!H$3</f>
        <v>2005</v>
      </c>
      <c r="B183" s="1"/>
      <c r="C183" s="5" t="e">
        <f>1-DATA!P$14/DATA!H$14</f>
        <v>#DIV/0!</v>
      </c>
      <c r="D183" s="4">
        <f>DATA!X$14</f>
        <v>0</v>
      </c>
      <c r="E183" s="6" t="e">
        <f>C183*D183</f>
        <v>#DIV/0!</v>
      </c>
      <c r="F183" s="3"/>
      <c r="G183" s="25">
        <f>DATA!AF$14</f>
        <v>0</v>
      </c>
      <c r="H183" s="1"/>
      <c r="I183" s="25">
        <f>DATA!AN$14</f>
        <v>0</v>
      </c>
      <c r="J183" s="6"/>
      <c r="K183" s="1"/>
    </row>
    <row r="184" spans="1:11" ht="12.75">
      <c r="A184" s="3">
        <f>DATA!I$3</f>
        <v>2006</v>
      </c>
      <c r="B184" s="1"/>
      <c r="C184" s="5" t="e">
        <f>1-DATA!Q$14/DATA!I$14</f>
        <v>#DIV/0!</v>
      </c>
      <c r="D184" s="4">
        <f>DATA!Y$14</f>
        <v>0</v>
      </c>
      <c r="E184" s="6" t="e">
        <f>C184*D184</f>
        <v>#DIV/0!</v>
      </c>
      <c r="F184" s="3"/>
      <c r="G184" s="25">
        <f>DATA!AG$14</f>
        <v>0</v>
      </c>
      <c r="H184" s="1"/>
      <c r="I184" s="25">
        <f>DATA!AO$14</f>
        <v>0</v>
      </c>
      <c r="J184" s="6"/>
      <c r="K184" s="1"/>
    </row>
    <row r="185" spans="1:11" ht="12.75">
      <c r="A185" s="3">
        <f>DATA!J$3</f>
        <v>2007</v>
      </c>
      <c r="B185" s="1"/>
      <c r="C185" s="5" t="e">
        <f>1-DATA!R$14/DATA!J$14</f>
        <v>#DIV/0!</v>
      </c>
      <c r="D185" s="4">
        <f>DATA!Z$14</f>
        <v>0</v>
      </c>
      <c r="E185" s="16" t="e">
        <f>C185*D185</f>
        <v>#DIV/0!</v>
      </c>
      <c r="F185" s="17"/>
      <c r="G185" s="26">
        <f>DATA!AH$14</f>
        <v>0</v>
      </c>
      <c r="H185" s="18"/>
      <c r="I185" s="26">
        <f>DATA!AP$14</f>
        <v>0</v>
      </c>
      <c r="J185" s="6"/>
      <c r="K185" s="1"/>
    </row>
    <row r="186" spans="1:11" ht="12.75">
      <c r="A186" s="19" t="s">
        <v>185</v>
      </c>
      <c r="B186" s="1"/>
      <c r="C186" s="5"/>
      <c r="D186" s="4"/>
      <c r="E186" s="6" t="e">
        <f>AVERAGE(E181:E185)</f>
        <v>#DIV/0!</v>
      </c>
      <c r="F186" s="6"/>
      <c r="G186" s="6">
        <f>DATA!AX$14</f>
        <v>0</v>
      </c>
      <c r="H186" s="1"/>
      <c r="I186" s="25"/>
      <c r="J186" s="6" t="e">
        <f>(I185/I181)^0.25-1</f>
        <v>#DIV/0!</v>
      </c>
      <c r="K186" s="1"/>
    </row>
    <row r="187" spans="1:11" ht="12.75">
      <c r="A187" s="3">
        <f>DATA!K$3</f>
        <v>2008</v>
      </c>
      <c r="B187" s="1"/>
      <c r="C187" s="5" t="e">
        <f>1-DATA!S$14/DATA!K$14</f>
        <v>#DIV/0!</v>
      </c>
      <c r="D187" s="4">
        <f>DATA!AA$14</f>
        <v>0</v>
      </c>
      <c r="E187" s="6" t="e">
        <f>C187*D187</f>
        <v>#DIV/0!</v>
      </c>
      <c r="F187" s="6"/>
      <c r="G187" s="6"/>
      <c r="H187" s="1"/>
      <c r="I187" s="25">
        <f>DATA!AQ$14</f>
        <v>0</v>
      </c>
      <c r="J187" s="6" t="e">
        <f>(I187/I185)-1</f>
        <v>#DIV/0!</v>
      </c>
      <c r="K187" s="1"/>
    </row>
    <row r="188" spans="1:11" ht="12.75">
      <c r="A188" s="3">
        <f>DATA!L$3</f>
        <v>2009</v>
      </c>
      <c r="B188" s="3"/>
      <c r="C188" s="5" t="e">
        <f>1-DATA!T$14/DATA!L$14</f>
        <v>#DIV/0!</v>
      </c>
      <c r="D188" s="4">
        <f>DATA!AB$14</f>
        <v>0</v>
      </c>
      <c r="E188" s="6" t="e">
        <f>C188*D188</f>
        <v>#DIV/0!</v>
      </c>
      <c r="F188" s="3"/>
      <c r="G188" s="6"/>
      <c r="H188" s="3"/>
      <c r="I188" s="25">
        <f>DATA!AR$14</f>
        <v>0</v>
      </c>
      <c r="J188" s="6" t="e">
        <f>(I188/I185)^0.5-1</f>
        <v>#DIV/0!</v>
      </c>
      <c r="K188" s="3"/>
    </row>
    <row r="189" spans="1:11" ht="12.75">
      <c r="A189" s="3" t="str">
        <f>DATA!M$3</f>
        <v>2011-2013</v>
      </c>
      <c r="B189" s="1"/>
      <c r="C189" s="5" t="e">
        <f>1-DATA!U$14/DATA!M$14</f>
        <v>#DIV/0!</v>
      </c>
      <c r="D189" s="4">
        <f>DATA!AC$14</f>
        <v>0</v>
      </c>
      <c r="E189" s="6" t="e">
        <f>C189*D189</f>
        <v>#DIV/0!</v>
      </c>
      <c r="F189" s="6"/>
      <c r="G189" s="6">
        <f>DATA!AY$14</f>
        <v>0</v>
      </c>
      <c r="H189" s="1"/>
      <c r="I189" s="25">
        <f>DATA!AS$14</f>
        <v>0</v>
      </c>
      <c r="J189" s="6" t="e">
        <f>(I189/I185)^0.2-1</f>
        <v>#DIV/0!</v>
      </c>
      <c r="K189" s="1"/>
    </row>
    <row r="190" spans="1:11" ht="12.75">
      <c r="A190" s="3"/>
      <c r="B190" s="1"/>
      <c r="C190" s="5"/>
      <c r="D190" s="4"/>
      <c r="E190" s="6"/>
      <c r="F190" s="3"/>
      <c r="G190" s="3"/>
      <c r="H190" s="1"/>
      <c r="I190" s="25"/>
      <c r="J190" s="6"/>
      <c r="K190" s="1"/>
    </row>
    <row r="191" spans="1:11" ht="12.75">
      <c r="A191" s="3"/>
      <c r="B191" s="1"/>
      <c r="C191" s="5"/>
      <c r="D191" s="4"/>
      <c r="E191" s="6"/>
      <c r="F191" s="3"/>
      <c r="G191" s="3"/>
      <c r="H191" s="1"/>
      <c r="I191" s="25"/>
      <c r="J191" s="6"/>
      <c r="K191" s="1"/>
    </row>
    <row r="192" spans="1:11" ht="12.75">
      <c r="A192" s="3"/>
      <c r="B192" s="1"/>
      <c r="C192" s="5"/>
      <c r="D192" s="4"/>
      <c r="E192" s="6"/>
      <c r="F192" s="3"/>
      <c r="G192" s="3"/>
      <c r="H192" s="1"/>
      <c r="I192" s="25"/>
      <c r="J192" s="6"/>
      <c r="K192" s="1"/>
    </row>
    <row r="193" spans="1:11" ht="12.75">
      <c r="A193" s="10" t="s">
        <v>92</v>
      </c>
      <c r="B193" s="1"/>
      <c r="C193" s="11"/>
      <c r="D193" s="12" t="s">
        <v>93</v>
      </c>
      <c r="E193" s="13" t="s">
        <v>94</v>
      </c>
      <c r="F193" s="10"/>
      <c r="G193" s="10"/>
      <c r="H193" s="1"/>
      <c r="I193" s="27" t="s">
        <v>200</v>
      </c>
      <c r="J193" s="14" t="s">
        <v>94</v>
      </c>
      <c r="K193" s="1"/>
    </row>
    <row r="194" spans="1:11" ht="12.75">
      <c r="A194" s="3"/>
      <c r="B194" s="1"/>
      <c r="C194" s="5"/>
      <c r="D194" s="4"/>
      <c r="E194" s="6"/>
      <c r="F194" s="3"/>
      <c r="G194" s="3"/>
      <c r="H194" s="1"/>
      <c r="I194" s="25"/>
      <c r="J194" s="6"/>
      <c r="K194" s="1"/>
    </row>
    <row r="195" spans="1:11" ht="12.75">
      <c r="A195" s="3"/>
      <c r="B195" s="1"/>
      <c r="C195" s="5" t="s">
        <v>201</v>
      </c>
      <c r="D195" s="4" t="s">
        <v>2</v>
      </c>
      <c r="E195" s="6"/>
      <c r="F195" s="3"/>
      <c r="G195" s="3" t="s">
        <v>191</v>
      </c>
      <c r="H195" s="1"/>
      <c r="I195" s="25" t="s">
        <v>192</v>
      </c>
      <c r="J195" s="6" t="s">
        <v>70</v>
      </c>
      <c r="K195" s="1"/>
    </row>
    <row r="196" spans="1:11" ht="12.75">
      <c r="A196" s="15">
        <f>DATA!A$15</f>
        <v>0</v>
      </c>
      <c r="B196" s="1"/>
      <c r="C196" s="11" t="s">
        <v>71</v>
      </c>
      <c r="D196" s="12" t="s">
        <v>160</v>
      </c>
      <c r="E196" s="13" t="s">
        <v>127</v>
      </c>
      <c r="F196" s="10"/>
      <c r="G196" s="10" t="s">
        <v>183</v>
      </c>
      <c r="H196" s="1"/>
      <c r="I196" s="28" t="s">
        <v>184</v>
      </c>
      <c r="J196" s="13" t="s">
        <v>94</v>
      </c>
      <c r="K196" s="1"/>
    </row>
    <row r="197" spans="1:11" ht="12.75">
      <c r="A197" s="3">
        <f>DATA!F$3</f>
        <v>2003</v>
      </c>
      <c r="B197" s="1"/>
      <c r="C197" s="5" t="e">
        <f>1-DATA!N$15/DATA!F$15</f>
        <v>#DIV/0!</v>
      </c>
      <c r="D197" s="4">
        <f>DATA!V$15</f>
        <v>0</v>
      </c>
      <c r="E197" s="6" t="e">
        <f>C197*D197</f>
        <v>#DIV/0!</v>
      </c>
      <c r="F197" s="3"/>
      <c r="G197" s="25">
        <f>DATA!AD$15</f>
        <v>0</v>
      </c>
      <c r="H197" s="1"/>
      <c r="I197" s="25">
        <f>DATA!AL$15</f>
        <v>0</v>
      </c>
      <c r="J197" s="6"/>
      <c r="K197" s="1"/>
    </row>
    <row r="198" spans="1:11" ht="12.75">
      <c r="A198" s="3">
        <f>DATA!G$3</f>
        <v>2004</v>
      </c>
      <c r="B198" s="1"/>
      <c r="C198" s="5" t="e">
        <f>1-DATA!O$15/DATA!G$15</f>
        <v>#DIV/0!</v>
      </c>
      <c r="D198" s="4">
        <f>DATA!W$15</f>
        <v>0</v>
      </c>
      <c r="E198" s="6" t="e">
        <f>C198*D198</f>
        <v>#DIV/0!</v>
      </c>
      <c r="F198" s="3"/>
      <c r="G198" s="25">
        <f>DATA!AE$15</f>
        <v>0</v>
      </c>
      <c r="H198" s="1"/>
      <c r="I198" s="25">
        <f>DATA!AM$15</f>
        <v>0</v>
      </c>
      <c r="J198" s="6"/>
      <c r="K198" s="1"/>
    </row>
    <row r="199" spans="1:11" ht="12.75">
      <c r="A199" s="3">
        <f>DATA!H$3</f>
        <v>2005</v>
      </c>
      <c r="B199" s="1"/>
      <c r="C199" s="5" t="e">
        <f>1-DATA!P$15/DATA!H$15</f>
        <v>#DIV/0!</v>
      </c>
      <c r="D199" s="4">
        <f>DATA!X$15</f>
        <v>0</v>
      </c>
      <c r="E199" s="6" t="e">
        <f>C199*D199</f>
        <v>#DIV/0!</v>
      </c>
      <c r="F199" s="3"/>
      <c r="G199" s="25">
        <f>DATA!AF$15</f>
        <v>0</v>
      </c>
      <c r="H199" s="1"/>
      <c r="I199" s="25">
        <f>DATA!AN$15</f>
        <v>0</v>
      </c>
      <c r="J199" s="6"/>
      <c r="K199" s="1"/>
    </row>
    <row r="200" spans="1:11" ht="12.75">
      <c r="A200" s="3">
        <f>DATA!I$3</f>
        <v>2006</v>
      </c>
      <c r="B200" s="1"/>
      <c r="C200" s="5" t="e">
        <f>1-DATA!Q$15/DATA!I$15</f>
        <v>#DIV/0!</v>
      </c>
      <c r="D200" s="4">
        <f>DATA!Y$15</f>
        <v>0</v>
      </c>
      <c r="E200" s="6" t="e">
        <f>C200*D200</f>
        <v>#DIV/0!</v>
      </c>
      <c r="F200" s="3"/>
      <c r="G200" s="25">
        <f>DATA!AG$15</f>
        <v>0</v>
      </c>
      <c r="H200" s="1"/>
      <c r="I200" s="25">
        <f>DATA!AO$15</f>
        <v>0</v>
      </c>
      <c r="J200" s="6"/>
      <c r="K200" s="1"/>
    </row>
    <row r="201" spans="1:11" ht="12.75">
      <c r="A201" s="3">
        <f>DATA!J$3</f>
        <v>2007</v>
      </c>
      <c r="B201" s="1"/>
      <c r="C201" s="5" t="e">
        <f>1-DATA!R$15/DATA!J$15</f>
        <v>#DIV/0!</v>
      </c>
      <c r="D201" s="4">
        <f>DATA!Z$15</f>
        <v>0</v>
      </c>
      <c r="E201" s="16" t="e">
        <f>C201*D201</f>
        <v>#DIV/0!</v>
      </c>
      <c r="F201" s="17"/>
      <c r="G201" s="26">
        <f>DATA!AH$15</f>
        <v>0</v>
      </c>
      <c r="H201" s="18"/>
      <c r="I201" s="26">
        <f>DATA!AP$15</f>
        <v>0</v>
      </c>
      <c r="J201" s="6"/>
      <c r="K201" s="1"/>
    </row>
    <row r="202" spans="1:11" ht="12.75">
      <c r="A202" s="19" t="s">
        <v>185</v>
      </c>
      <c r="B202" s="1"/>
      <c r="C202" s="5"/>
      <c r="D202" s="4"/>
      <c r="E202" s="6" t="e">
        <f>AVERAGE(E197:E201)</f>
        <v>#DIV/0!</v>
      </c>
      <c r="F202" s="6"/>
      <c r="G202" s="6">
        <f>DATA!AX$15</f>
        <v>0</v>
      </c>
      <c r="H202" s="1"/>
      <c r="I202" s="25"/>
      <c r="J202" s="6" t="e">
        <f>(I201/I197)^0.25-1</f>
        <v>#DIV/0!</v>
      </c>
      <c r="K202" s="1"/>
    </row>
    <row r="203" spans="1:11" ht="12.75">
      <c r="A203" s="3">
        <f>DATA!K$3</f>
        <v>2008</v>
      </c>
      <c r="B203" s="1"/>
      <c r="C203" s="5" t="e">
        <f>1-DATA!S$15/DATA!K$15</f>
        <v>#DIV/0!</v>
      </c>
      <c r="D203" s="4">
        <f>DATA!AA$15</f>
        <v>0</v>
      </c>
      <c r="E203" s="6" t="e">
        <f>C203*D203</f>
        <v>#DIV/0!</v>
      </c>
      <c r="F203" s="6"/>
      <c r="G203" s="6"/>
      <c r="H203" s="1"/>
      <c r="I203" s="25">
        <f>DATA!AQ$15</f>
        <v>0</v>
      </c>
      <c r="J203" s="6" t="e">
        <f>(I203/I201)-1</f>
        <v>#DIV/0!</v>
      </c>
      <c r="K203" s="1"/>
    </row>
    <row r="204" spans="1:11" ht="12.75">
      <c r="A204" s="3">
        <f>DATA!L$3</f>
        <v>2009</v>
      </c>
      <c r="B204" s="3"/>
      <c r="C204" s="5" t="e">
        <f>1-DATA!T$15/DATA!L$15</f>
        <v>#DIV/0!</v>
      </c>
      <c r="D204" s="4">
        <f>DATA!AB$15</f>
        <v>0</v>
      </c>
      <c r="E204" s="6" t="e">
        <f>C204*D204</f>
        <v>#DIV/0!</v>
      </c>
      <c r="F204" s="3"/>
      <c r="G204" s="6"/>
      <c r="H204" s="3"/>
      <c r="I204" s="25">
        <f>DATA!AR$15</f>
        <v>0</v>
      </c>
      <c r="J204" s="6" t="e">
        <f>(I204/I201)^0.5-1</f>
        <v>#DIV/0!</v>
      </c>
      <c r="K204" s="3"/>
    </row>
    <row r="205" spans="1:11" ht="12.75">
      <c r="A205" s="3" t="str">
        <f>DATA!M$3</f>
        <v>2011-2013</v>
      </c>
      <c r="B205" s="1"/>
      <c r="C205" s="5" t="e">
        <f>1-DATA!U$15/DATA!M$15</f>
        <v>#DIV/0!</v>
      </c>
      <c r="D205" s="4">
        <f>DATA!AC$15</f>
        <v>0</v>
      </c>
      <c r="E205" s="6" t="e">
        <f>C205*D205</f>
        <v>#DIV/0!</v>
      </c>
      <c r="F205" s="6"/>
      <c r="G205" s="6">
        <f>DATA!AY$15</f>
        <v>0</v>
      </c>
      <c r="H205" s="1"/>
      <c r="I205" s="25">
        <f>DATA!AS$15</f>
        <v>0</v>
      </c>
      <c r="J205" s="6" t="e">
        <f>(I205/I201)^0.2-1</f>
        <v>#DIV/0!</v>
      </c>
      <c r="K205" s="1"/>
    </row>
    <row r="206" spans="1:11" ht="12.75">
      <c r="A206" s="3"/>
      <c r="B206" s="1"/>
      <c r="C206" s="5"/>
      <c r="D206" s="4"/>
      <c r="E206" s="6"/>
      <c r="F206" s="3"/>
      <c r="G206" s="3"/>
      <c r="H206" s="1"/>
      <c r="I206" s="25"/>
      <c r="J206" s="6"/>
      <c r="K206" s="1"/>
    </row>
    <row r="207" spans="2:11" ht="12.75">
      <c r="B207" s="1"/>
      <c r="C207" s="5"/>
      <c r="D207" s="4"/>
      <c r="E207" s="6"/>
      <c r="F207" s="3"/>
      <c r="G207" s="3"/>
      <c r="H207" s="1"/>
      <c r="I207" s="25"/>
      <c r="J207" s="6"/>
      <c r="K207" s="1"/>
    </row>
    <row r="208" spans="1:11" ht="12.75">
      <c r="A208" s="3"/>
      <c r="B208" s="1"/>
      <c r="C208" s="5"/>
      <c r="D208" s="4"/>
      <c r="E208" s="6"/>
      <c r="F208" s="3"/>
      <c r="G208" s="3"/>
      <c r="H208" s="1"/>
      <c r="I208" s="25"/>
      <c r="J208" s="6"/>
      <c r="K208" s="1"/>
    </row>
    <row r="209" spans="1:11" ht="12.75">
      <c r="A209" s="10" t="s">
        <v>92</v>
      </c>
      <c r="B209" s="1"/>
      <c r="C209" s="11"/>
      <c r="D209" s="12" t="s">
        <v>93</v>
      </c>
      <c r="E209" s="13" t="s">
        <v>94</v>
      </c>
      <c r="F209" s="10"/>
      <c r="G209" s="10"/>
      <c r="H209" s="1"/>
      <c r="I209" s="27" t="s">
        <v>200</v>
      </c>
      <c r="J209" s="14" t="s">
        <v>94</v>
      </c>
      <c r="K209" s="1"/>
    </row>
    <row r="210" spans="1:11" ht="12.75">
      <c r="A210" s="3"/>
      <c r="B210" s="1"/>
      <c r="C210" s="5"/>
      <c r="D210" s="4"/>
      <c r="E210" s="6"/>
      <c r="F210" s="3"/>
      <c r="G210" s="3"/>
      <c r="H210" s="1"/>
      <c r="I210" s="25"/>
      <c r="J210" s="6"/>
      <c r="K210" s="1"/>
    </row>
    <row r="211" spans="1:11" ht="12.75">
      <c r="A211" s="3"/>
      <c r="B211" s="1"/>
      <c r="C211" s="5" t="s">
        <v>201</v>
      </c>
      <c r="D211" s="4" t="s">
        <v>2</v>
      </c>
      <c r="E211" s="6"/>
      <c r="F211" s="3"/>
      <c r="G211" s="3" t="s">
        <v>191</v>
      </c>
      <c r="H211" s="1"/>
      <c r="I211" s="25" t="s">
        <v>192</v>
      </c>
      <c r="J211" s="6" t="s">
        <v>70</v>
      </c>
      <c r="K211" s="1"/>
    </row>
    <row r="212" spans="1:11" ht="12.75">
      <c r="A212" s="15">
        <f>DATA!A$16</f>
        <v>0</v>
      </c>
      <c r="B212" s="1"/>
      <c r="C212" s="11" t="s">
        <v>71</v>
      </c>
      <c r="D212" s="12" t="s">
        <v>160</v>
      </c>
      <c r="E212" s="13" t="s">
        <v>127</v>
      </c>
      <c r="F212" s="10"/>
      <c r="G212" s="10" t="s">
        <v>183</v>
      </c>
      <c r="H212" s="1"/>
      <c r="I212" s="28" t="s">
        <v>184</v>
      </c>
      <c r="J212" s="13" t="s">
        <v>94</v>
      </c>
      <c r="K212" s="1"/>
    </row>
    <row r="213" spans="1:11" ht="12.75">
      <c r="A213" s="3">
        <f>DATA!F$3</f>
        <v>2003</v>
      </c>
      <c r="B213" s="1"/>
      <c r="C213" s="5" t="e">
        <f>1-DATA!N$16/DATA!F$16</f>
        <v>#DIV/0!</v>
      </c>
      <c r="D213" s="4">
        <f>DATA!V$16</f>
        <v>0</v>
      </c>
      <c r="E213" s="6" t="e">
        <f>C213*D213</f>
        <v>#DIV/0!</v>
      </c>
      <c r="F213" s="3"/>
      <c r="G213" s="25">
        <f>DATA!AD$16</f>
        <v>0</v>
      </c>
      <c r="H213" s="1"/>
      <c r="I213" s="25">
        <f>DATA!AL$16</f>
        <v>0</v>
      </c>
      <c r="J213" s="6"/>
      <c r="K213" s="1"/>
    </row>
    <row r="214" spans="1:11" ht="12.75">
      <c r="A214" s="3">
        <f>DATA!G$3</f>
        <v>2004</v>
      </c>
      <c r="B214" s="1"/>
      <c r="C214" s="5" t="e">
        <f>1-DATA!O$16/DATA!G$16</f>
        <v>#DIV/0!</v>
      </c>
      <c r="D214" s="4">
        <f>DATA!W$16</f>
        <v>0</v>
      </c>
      <c r="E214" s="6" t="e">
        <f>C214*D214</f>
        <v>#DIV/0!</v>
      </c>
      <c r="F214" s="3"/>
      <c r="G214" s="25">
        <f>DATA!AE$16</f>
        <v>0</v>
      </c>
      <c r="H214" s="1"/>
      <c r="I214" s="25">
        <f>DATA!AM$16</f>
        <v>0</v>
      </c>
      <c r="J214" s="6"/>
      <c r="K214" s="1"/>
    </row>
    <row r="215" spans="1:11" ht="12.75">
      <c r="A215" s="3">
        <f>DATA!H$3</f>
        <v>2005</v>
      </c>
      <c r="B215" s="1"/>
      <c r="C215" s="5" t="e">
        <f>1-DATA!P$16/DATA!H$16</f>
        <v>#DIV/0!</v>
      </c>
      <c r="D215" s="4">
        <f>DATA!X$16</f>
        <v>0</v>
      </c>
      <c r="E215" s="6" t="e">
        <f>C215*D215</f>
        <v>#DIV/0!</v>
      </c>
      <c r="F215" s="3"/>
      <c r="G215" s="25">
        <f>DATA!AF$16</f>
        <v>0</v>
      </c>
      <c r="H215" s="1"/>
      <c r="I215" s="25">
        <f>DATA!AN$16</f>
        <v>0</v>
      </c>
      <c r="J215" s="6"/>
      <c r="K215" s="1"/>
    </row>
    <row r="216" spans="1:11" ht="12.75">
      <c r="A216" s="3">
        <f>DATA!I$3</f>
        <v>2006</v>
      </c>
      <c r="B216" s="1"/>
      <c r="C216" s="5" t="e">
        <f>1-DATA!Q$16/DATA!I$16</f>
        <v>#DIV/0!</v>
      </c>
      <c r="D216" s="4">
        <f>DATA!Y$16</f>
        <v>0</v>
      </c>
      <c r="E216" s="6" t="e">
        <f>C216*D216</f>
        <v>#DIV/0!</v>
      </c>
      <c r="F216" s="3"/>
      <c r="G216" s="25">
        <f>DATA!AG$16</f>
        <v>0</v>
      </c>
      <c r="H216" s="1"/>
      <c r="I216" s="25">
        <f>DATA!AO$16</f>
        <v>0</v>
      </c>
      <c r="J216" s="6"/>
      <c r="K216" s="1"/>
    </row>
    <row r="217" spans="1:11" ht="12.75">
      <c r="A217" s="3">
        <f>DATA!J$3</f>
        <v>2007</v>
      </c>
      <c r="B217" s="1"/>
      <c r="C217" s="5" t="e">
        <f>1-DATA!R$16/DATA!J$16</f>
        <v>#DIV/0!</v>
      </c>
      <c r="D217" s="4">
        <f>DATA!Z$16</f>
        <v>0</v>
      </c>
      <c r="E217" s="16" t="e">
        <f>C217*D217</f>
        <v>#DIV/0!</v>
      </c>
      <c r="F217" s="17"/>
      <c r="G217" s="26">
        <f>DATA!AH$16</f>
        <v>0</v>
      </c>
      <c r="H217" s="18"/>
      <c r="I217" s="26">
        <f>DATA!AP$16</f>
        <v>0</v>
      </c>
      <c r="J217" s="6"/>
      <c r="K217" s="1"/>
    </row>
    <row r="218" spans="1:11" ht="12.75">
      <c r="A218" s="19" t="s">
        <v>185</v>
      </c>
      <c r="B218" s="1"/>
      <c r="C218" s="5"/>
      <c r="D218" s="4"/>
      <c r="E218" s="6" t="e">
        <f>AVERAGE(E213:E217)</f>
        <v>#DIV/0!</v>
      </c>
      <c r="F218" s="6"/>
      <c r="G218" s="6">
        <f>DATA!AX$16</f>
        <v>0</v>
      </c>
      <c r="H218" s="1"/>
      <c r="I218" s="25"/>
      <c r="J218" s="6" t="e">
        <f>(I217/I213)^0.25-1</f>
        <v>#DIV/0!</v>
      </c>
      <c r="K218" s="1"/>
    </row>
    <row r="219" spans="1:11" ht="12.75">
      <c r="A219" s="3">
        <f>DATA!K$3</f>
        <v>2008</v>
      </c>
      <c r="B219" s="1"/>
      <c r="C219" s="5" t="e">
        <f>1-DATA!S$16/DATA!K$16</f>
        <v>#DIV/0!</v>
      </c>
      <c r="D219" s="4">
        <f>DATA!AA$16</f>
        <v>0</v>
      </c>
      <c r="E219" s="6" t="e">
        <f>C219*D219</f>
        <v>#DIV/0!</v>
      </c>
      <c r="F219" s="6"/>
      <c r="G219" s="6"/>
      <c r="H219" s="1"/>
      <c r="I219" s="25">
        <f>DATA!AQ$16</f>
        <v>0</v>
      </c>
      <c r="J219" s="6" t="e">
        <f>(I219/I217)-1</f>
        <v>#DIV/0!</v>
      </c>
      <c r="K219" s="1"/>
    </row>
    <row r="220" spans="1:11" ht="12.75">
      <c r="A220" s="3">
        <f>DATA!L$3</f>
        <v>2009</v>
      </c>
      <c r="B220" s="3"/>
      <c r="C220" s="5" t="e">
        <f>1-DATA!T$16/DATA!L$16</f>
        <v>#DIV/0!</v>
      </c>
      <c r="D220" s="4">
        <f>DATA!AB$16</f>
        <v>0</v>
      </c>
      <c r="E220" s="6" t="e">
        <f>C220*D220</f>
        <v>#DIV/0!</v>
      </c>
      <c r="F220" s="3"/>
      <c r="G220" s="6"/>
      <c r="H220" s="3"/>
      <c r="I220" s="25">
        <f>DATA!AR$16</f>
        <v>0</v>
      </c>
      <c r="J220" s="6" t="e">
        <f>(I220/I217)^0.5-1</f>
        <v>#DIV/0!</v>
      </c>
      <c r="K220" s="3"/>
    </row>
    <row r="221" spans="1:11" ht="12.75">
      <c r="A221" s="3" t="str">
        <f>DATA!M$3</f>
        <v>2011-2013</v>
      </c>
      <c r="B221" s="1"/>
      <c r="C221" s="5" t="e">
        <f>1-DATA!U$16/DATA!M$16</f>
        <v>#DIV/0!</v>
      </c>
      <c r="D221" s="4">
        <f>DATA!AC$16</f>
        <v>0</v>
      </c>
      <c r="E221" s="6" t="e">
        <f>C221*D221</f>
        <v>#DIV/0!</v>
      </c>
      <c r="F221" s="6"/>
      <c r="G221" s="6">
        <f>DATA!AY$16</f>
        <v>0</v>
      </c>
      <c r="H221" s="1"/>
      <c r="I221" s="25">
        <f>DATA!AS$16</f>
        <v>0</v>
      </c>
      <c r="J221" s="6" t="e">
        <f>(I221/I217)^0.2-1</f>
        <v>#DIV/0!</v>
      </c>
      <c r="K221" s="1"/>
    </row>
    <row r="222" spans="2:11" ht="12.75">
      <c r="B222" s="1"/>
      <c r="C222" s="5"/>
      <c r="D222" s="4"/>
      <c r="E222" s="6"/>
      <c r="F222" s="3"/>
      <c r="G222" s="3"/>
      <c r="H222" s="1"/>
      <c r="I222" s="25"/>
      <c r="J222" s="7" t="s">
        <v>190</v>
      </c>
      <c r="K222" s="1"/>
    </row>
    <row r="223" spans="1:11" ht="12.75">
      <c r="A223" s="3"/>
      <c r="B223" s="1"/>
      <c r="C223" s="5"/>
      <c r="D223" s="4"/>
      <c r="E223" s="6"/>
      <c r="F223" s="3"/>
      <c r="G223" s="3"/>
      <c r="H223" s="1"/>
      <c r="I223" s="25"/>
      <c r="J223" s="7" t="s">
        <v>162</v>
      </c>
      <c r="K223" s="1"/>
    </row>
    <row r="224" spans="1:11" ht="12.75">
      <c r="A224" s="3"/>
      <c r="B224" s="1"/>
      <c r="C224" s="5"/>
      <c r="D224" s="4"/>
      <c r="E224" s="6"/>
      <c r="F224" s="3"/>
      <c r="G224" s="3"/>
      <c r="H224" s="1"/>
      <c r="I224" s="25"/>
      <c r="J224" s="7" t="s">
        <v>73</v>
      </c>
      <c r="K224" s="1"/>
    </row>
    <row r="225" spans="1:11" ht="12.75">
      <c r="A225" s="3"/>
      <c r="B225" s="1"/>
      <c r="C225" s="5"/>
      <c r="D225" s="4"/>
      <c r="E225" s="6"/>
      <c r="F225" s="3"/>
      <c r="G225" s="3"/>
      <c r="H225" s="1"/>
      <c r="I225" s="25"/>
      <c r="J225" s="6"/>
      <c r="K225" s="1"/>
    </row>
    <row r="226" spans="1:11" ht="12.75">
      <c r="A226" s="3"/>
      <c r="B226" s="1"/>
      <c r="C226" s="5"/>
      <c r="D226" s="4"/>
      <c r="E226" s="6"/>
      <c r="F226" s="3"/>
      <c r="G226" s="3"/>
      <c r="H226" s="1"/>
      <c r="I226" s="25"/>
      <c r="J226" s="6"/>
      <c r="K226" s="1"/>
    </row>
    <row r="227" spans="1:11" ht="12.75">
      <c r="A227" s="3"/>
      <c r="B227" s="1"/>
      <c r="C227" s="5"/>
      <c r="D227" s="4"/>
      <c r="E227" s="8"/>
      <c r="F227" s="9" t="str">
        <f>F$6</f>
        <v>KENTUCKY-AMERICAN WATER COMPANY</v>
      </c>
      <c r="G227" s="1"/>
      <c r="H227" s="1"/>
      <c r="I227" s="25"/>
      <c r="J227" s="6"/>
      <c r="K227" s="1"/>
    </row>
    <row r="228" spans="1:11" ht="12.75">
      <c r="A228" s="3"/>
      <c r="B228" s="1"/>
      <c r="C228" s="5"/>
      <c r="D228" s="4"/>
      <c r="E228" s="8"/>
      <c r="F228" s="9" t="s">
        <v>91</v>
      </c>
      <c r="G228" s="1"/>
      <c r="H228" s="1"/>
      <c r="I228" s="25"/>
      <c r="J228" s="6"/>
      <c r="K228" s="1"/>
    </row>
    <row r="229" spans="1:11" ht="12.75">
      <c r="A229" s="3"/>
      <c r="B229" s="1"/>
      <c r="C229" s="5"/>
      <c r="D229" s="4"/>
      <c r="E229" s="6"/>
      <c r="F229" s="3" t="str">
        <f>F8</f>
        <v>GAS DISTRIBUTION UTILITIES</v>
      </c>
      <c r="G229" s="3"/>
      <c r="H229" s="1"/>
      <c r="I229" s="25"/>
      <c r="J229" s="6"/>
      <c r="K229" s="1"/>
    </row>
    <row r="230" spans="1:11" ht="12.75">
      <c r="A230" s="3"/>
      <c r="B230" s="1"/>
      <c r="C230" s="5"/>
      <c r="D230" s="4"/>
      <c r="E230" s="6"/>
      <c r="F230" s="3"/>
      <c r="G230" s="3"/>
      <c r="H230" s="1"/>
      <c r="I230" s="25"/>
      <c r="J230" s="6"/>
      <c r="K230" s="1"/>
    </row>
    <row r="231" spans="1:11" ht="12.75">
      <c r="A231" s="3"/>
      <c r="B231" s="1"/>
      <c r="C231" s="5"/>
      <c r="D231" s="4"/>
      <c r="E231" s="6"/>
      <c r="F231" s="3"/>
      <c r="G231" s="3"/>
      <c r="H231" s="1"/>
      <c r="I231" s="25"/>
      <c r="J231" s="6"/>
      <c r="K231" s="1"/>
    </row>
    <row r="232" spans="1:11" ht="12.75">
      <c r="A232" s="10" t="s">
        <v>92</v>
      </c>
      <c r="B232" s="1"/>
      <c r="C232" s="11"/>
      <c r="D232" s="12" t="s">
        <v>93</v>
      </c>
      <c r="E232" s="13" t="s">
        <v>94</v>
      </c>
      <c r="F232" s="10"/>
      <c r="G232" s="10"/>
      <c r="H232" s="1"/>
      <c r="I232" s="27" t="s">
        <v>200</v>
      </c>
      <c r="J232" s="14" t="s">
        <v>94</v>
      </c>
      <c r="K232" s="1"/>
    </row>
    <row r="233" spans="1:11" ht="12.75">
      <c r="A233" s="3"/>
      <c r="B233" s="1"/>
      <c r="C233" s="5"/>
      <c r="D233" s="4"/>
      <c r="E233" s="6"/>
      <c r="F233" s="3"/>
      <c r="G233" s="3"/>
      <c r="H233" s="1"/>
      <c r="I233" s="25"/>
      <c r="J233" s="6"/>
      <c r="K233" s="1"/>
    </row>
    <row r="234" spans="1:11" ht="12.75">
      <c r="A234" s="3"/>
      <c r="B234" s="1"/>
      <c r="C234" s="5" t="s">
        <v>201</v>
      </c>
      <c r="D234" s="4" t="s">
        <v>2</v>
      </c>
      <c r="E234" s="6"/>
      <c r="F234" s="3"/>
      <c r="G234" s="3" t="s">
        <v>191</v>
      </c>
      <c r="H234" s="1"/>
      <c r="I234" s="25" t="s">
        <v>192</v>
      </c>
      <c r="J234" s="6" t="s">
        <v>70</v>
      </c>
      <c r="K234" s="1"/>
    </row>
    <row r="235" spans="1:11" ht="12.75">
      <c r="A235" s="15">
        <f>DATA!A$17</f>
        <v>0</v>
      </c>
      <c r="B235" s="1"/>
      <c r="C235" s="11" t="s">
        <v>71</v>
      </c>
      <c r="D235" s="12" t="s">
        <v>160</v>
      </c>
      <c r="E235" s="13" t="s">
        <v>127</v>
      </c>
      <c r="F235" s="10"/>
      <c r="G235" s="10" t="s">
        <v>183</v>
      </c>
      <c r="H235" s="1"/>
      <c r="I235" s="28" t="s">
        <v>184</v>
      </c>
      <c r="J235" s="13" t="s">
        <v>94</v>
      </c>
      <c r="K235" s="1"/>
    </row>
    <row r="236" spans="1:11" ht="12.75">
      <c r="A236" s="3">
        <f>DATA!F$3</f>
        <v>2003</v>
      </c>
      <c r="B236" s="1"/>
      <c r="C236" s="5" t="e">
        <f>1-DATA!N$17/DATA!F$17</f>
        <v>#DIV/0!</v>
      </c>
      <c r="D236" s="4">
        <f>DATA!V$17</f>
        <v>0</v>
      </c>
      <c r="E236" s="6" t="e">
        <f>C236*D236</f>
        <v>#DIV/0!</v>
      </c>
      <c r="F236" s="3"/>
      <c r="G236" s="25">
        <f>DATA!AD$17</f>
        <v>0</v>
      </c>
      <c r="H236" s="1"/>
      <c r="I236" s="25">
        <f>DATA!AL$17</f>
        <v>0</v>
      </c>
      <c r="J236" s="6"/>
      <c r="K236" s="1"/>
    </row>
    <row r="237" spans="1:11" ht="12.75">
      <c r="A237" s="3">
        <f>DATA!G$3</f>
        <v>2004</v>
      </c>
      <c r="B237" s="1"/>
      <c r="C237" s="5" t="e">
        <f>1-DATA!O$17/DATA!G$17</f>
        <v>#DIV/0!</v>
      </c>
      <c r="D237" s="4">
        <f>DATA!W$17</f>
        <v>0</v>
      </c>
      <c r="E237" s="6" t="e">
        <f>C237*D237</f>
        <v>#DIV/0!</v>
      </c>
      <c r="F237" s="3"/>
      <c r="G237" s="25">
        <f>DATA!AE$17</f>
        <v>0</v>
      </c>
      <c r="H237" s="1"/>
      <c r="I237" s="25">
        <f>DATA!AM$17</f>
        <v>0</v>
      </c>
      <c r="J237" s="6"/>
      <c r="K237" s="1"/>
    </row>
    <row r="238" spans="1:11" ht="12.75">
      <c r="A238" s="3">
        <f>DATA!H$3</f>
        <v>2005</v>
      </c>
      <c r="B238" s="1"/>
      <c r="C238" s="5" t="e">
        <f>1-DATA!P$17/DATA!H$17</f>
        <v>#DIV/0!</v>
      </c>
      <c r="D238" s="4">
        <f>DATA!X$17</f>
        <v>0</v>
      </c>
      <c r="E238" s="6" t="e">
        <f>C238*D238</f>
        <v>#DIV/0!</v>
      </c>
      <c r="F238" s="3"/>
      <c r="G238" s="25">
        <f>DATA!AF$17</f>
        <v>0</v>
      </c>
      <c r="H238" s="1"/>
      <c r="I238" s="25">
        <f>DATA!AN$17</f>
        <v>0</v>
      </c>
      <c r="J238" s="6"/>
      <c r="K238" s="1"/>
    </row>
    <row r="239" spans="1:11" ht="12.75">
      <c r="A239" s="3">
        <f>DATA!I$3</f>
        <v>2006</v>
      </c>
      <c r="B239" s="1"/>
      <c r="C239" s="5" t="e">
        <f>1-DATA!Q$17/DATA!I$17</f>
        <v>#DIV/0!</v>
      </c>
      <c r="D239" s="4">
        <f>DATA!Y$17</f>
        <v>0</v>
      </c>
      <c r="E239" s="6" t="e">
        <f>C239*D239</f>
        <v>#DIV/0!</v>
      </c>
      <c r="F239" s="3"/>
      <c r="G239" s="25">
        <f>DATA!AG$17</f>
        <v>0</v>
      </c>
      <c r="H239" s="1"/>
      <c r="I239" s="25">
        <f>DATA!AO$17</f>
        <v>0</v>
      </c>
      <c r="J239" s="6"/>
      <c r="K239" s="1"/>
    </row>
    <row r="240" spans="1:11" ht="12.75">
      <c r="A240" s="3">
        <f>DATA!J$3</f>
        <v>2007</v>
      </c>
      <c r="B240" s="1"/>
      <c r="C240" s="5" t="e">
        <f>1-DATA!R$17/DATA!J$17</f>
        <v>#DIV/0!</v>
      </c>
      <c r="D240" s="4">
        <f>DATA!Z$17</f>
        <v>0</v>
      </c>
      <c r="E240" s="16" t="e">
        <f>C240*D240</f>
        <v>#DIV/0!</v>
      </c>
      <c r="F240" s="17"/>
      <c r="G240" s="26">
        <f>DATA!AH$17</f>
        <v>0</v>
      </c>
      <c r="H240" s="18"/>
      <c r="I240" s="26">
        <f>DATA!AP$17</f>
        <v>0</v>
      </c>
      <c r="J240" s="6"/>
      <c r="K240" s="1"/>
    </row>
    <row r="241" spans="1:11" ht="12.75">
      <c r="A241" s="19" t="s">
        <v>185</v>
      </c>
      <c r="B241" s="1"/>
      <c r="C241" s="5"/>
      <c r="D241" s="4"/>
      <c r="E241" s="6" t="e">
        <f>AVERAGE(E236:E240)</f>
        <v>#DIV/0!</v>
      </c>
      <c r="F241" s="6"/>
      <c r="G241" s="6">
        <f>DATA!AX$17</f>
        <v>0</v>
      </c>
      <c r="H241" s="1"/>
      <c r="I241" s="25"/>
      <c r="J241" s="6" t="e">
        <f>(I240/I236)^0.25-1</f>
        <v>#DIV/0!</v>
      </c>
      <c r="K241" s="1"/>
    </row>
    <row r="242" spans="1:11" ht="12.75">
      <c r="A242" s="3">
        <f>DATA!K$3</f>
        <v>2008</v>
      </c>
      <c r="B242" s="1"/>
      <c r="C242" s="5" t="e">
        <f>1-DATA!S$17/DATA!K$17</f>
        <v>#DIV/0!</v>
      </c>
      <c r="D242" s="4">
        <f>DATA!AA$17</f>
        <v>0</v>
      </c>
      <c r="E242" s="6" t="e">
        <f>C242*D242</f>
        <v>#DIV/0!</v>
      </c>
      <c r="F242" s="6"/>
      <c r="G242" s="6"/>
      <c r="H242" s="1"/>
      <c r="I242" s="25">
        <f>DATA!AQ$17</f>
        <v>0</v>
      </c>
      <c r="J242" s="6" t="e">
        <f>(I242/I240)-1</f>
        <v>#DIV/0!</v>
      </c>
      <c r="K242" s="1"/>
    </row>
    <row r="243" spans="1:11" ht="12.75">
      <c r="A243" s="3">
        <f>DATA!L$3</f>
        <v>2009</v>
      </c>
      <c r="B243" s="3"/>
      <c r="C243" s="5" t="e">
        <f>1-DATA!T$17/DATA!L$17</f>
        <v>#DIV/0!</v>
      </c>
      <c r="D243" s="4">
        <f>DATA!AB$17</f>
        <v>0</v>
      </c>
      <c r="E243" s="6" t="e">
        <f>C243*D243</f>
        <v>#DIV/0!</v>
      </c>
      <c r="F243" s="3"/>
      <c r="G243" s="6"/>
      <c r="H243" s="3"/>
      <c r="I243" s="25">
        <f>DATA!AR$17</f>
        <v>0</v>
      </c>
      <c r="J243" s="6" t="e">
        <f>(I243/I240)^0.5-1</f>
        <v>#DIV/0!</v>
      </c>
      <c r="K243" s="3"/>
    </row>
    <row r="244" spans="1:11" ht="12.75">
      <c r="A244" s="3" t="str">
        <f>DATA!M$3</f>
        <v>2011-2013</v>
      </c>
      <c r="B244" s="1"/>
      <c r="C244" s="5" t="e">
        <f>1-DATA!U$17/DATA!M$17</f>
        <v>#DIV/0!</v>
      </c>
      <c r="D244" s="4">
        <f>DATA!AC$17</f>
        <v>0</v>
      </c>
      <c r="E244" s="6" t="e">
        <f>C244*D244</f>
        <v>#DIV/0!</v>
      </c>
      <c r="F244" s="6"/>
      <c r="G244" s="6">
        <f>DATA!AY$17</f>
        <v>0</v>
      </c>
      <c r="H244" s="1"/>
      <c r="I244" s="25">
        <f>DATA!AS$17</f>
        <v>0</v>
      </c>
      <c r="J244" s="6" t="e">
        <f>(I244/I240)^0.2-1</f>
        <v>#DIV/0!</v>
      </c>
      <c r="K244" s="1"/>
    </row>
    <row r="245" spans="1:11" ht="12.75">
      <c r="A245" s="3"/>
      <c r="B245" s="1"/>
      <c r="C245" s="5"/>
      <c r="D245" s="4"/>
      <c r="E245" s="6"/>
      <c r="F245" s="3"/>
      <c r="G245" s="3"/>
      <c r="H245" s="1"/>
      <c r="I245" s="25"/>
      <c r="J245" s="6"/>
      <c r="K245" s="1"/>
    </row>
    <row r="246" spans="1:11" ht="12.75">
      <c r="A246" s="19"/>
      <c r="B246" s="1"/>
      <c r="C246" s="5"/>
      <c r="D246" s="4"/>
      <c r="E246" s="6"/>
      <c r="F246" s="3"/>
      <c r="G246" s="3"/>
      <c r="H246" s="1"/>
      <c r="I246" s="25"/>
      <c r="J246" s="6"/>
      <c r="K246" s="1"/>
    </row>
    <row r="247" spans="1:11" ht="12.75">
      <c r="A247" s="3"/>
      <c r="B247" s="1"/>
      <c r="C247" s="5"/>
      <c r="D247" s="4"/>
      <c r="E247" s="6"/>
      <c r="F247" s="3"/>
      <c r="G247" s="3"/>
      <c r="H247" s="1"/>
      <c r="I247" s="25"/>
      <c r="J247" s="6"/>
      <c r="K247" s="1"/>
    </row>
    <row r="248" spans="1:11" ht="12.75">
      <c r="A248" s="10" t="s">
        <v>92</v>
      </c>
      <c r="B248" s="1"/>
      <c r="C248" s="11"/>
      <c r="D248" s="12" t="s">
        <v>93</v>
      </c>
      <c r="E248" s="13" t="s">
        <v>94</v>
      </c>
      <c r="F248" s="10"/>
      <c r="G248" s="10"/>
      <c r="H248" s="1"/>
      <c r="I248" s="27" t="s">
        <v>200</v>
      </c>
      <c r="J248" s="14" t="s">
        <v>94</v>
      </c>
      <c r="K248" s="1"/>
    </row>
    <row r="249" spans="1:11" ht="12.75">
      <c r="A249" s="3"/>
      <c r="B249" s="1"/>
      <c r="C249" s="5"/>
      <c r="D249" s="4"/>
      <c r="E249" s="6"/>
      <c r="F249" s="3"/>
      <c r="G249" s="3"/>
      <c r="H249" s="1"/>
      <c r="I249" s="25"/>
      <c r="J249" s="6"/>
      <c r="K249" s="1"/>
    </row>
    <row r="250" spans="1:11" ht="12.75">
      <c r="A250" s="3"/>
      <c r="B250" s="1"/>
      <c r="C250" s="5" t="s">
        <v>201</v>
      </c>
      <c r="D250" s="4" t="s">
        <v>2</v>
      </c>
      <c r="E250" s="6"/>
      <c r="F250" s="3"/>
      <c r="G250" s="3" t="s">
        <v>191</v>
      </c>
      <c r="H250" s="1"/>
      <c r="I250" s="25" t="s">
        <v>192</v>
      </c>
      <c r="J250" s="6" t="s">
        <v>70</v>
      </c>
      <c r="K250" s="1"/>
    </row>
    <row r="251" spans="1:11" ht="12.75">
      <c r="A251" s="15">
        <f>DATA!A$18</f>
        <v>0</v>
      </c>
      <c r="B251" s="1"/>
      <c r="C251" s="11" t="s">
        <v>71</v>
      </c>
      <c r="D251" s="12" t="s">
        <v>160</v>
      </c>
      <c r="E251" s="13" t="s">
        <v>127</v>
      </c>
      <c r="F251" s="10"/>
      <c r="G251" s="10" t="s">
        <v>183</v>
      </c>
      <c r="H251" s="1"/>
      <c r="I251" s="28" t="s">
        <v>184</v>
      </c>
      <c r="J251" s="13" t="s">
        <v>94</v>
      </c>
      <c r="K251" s="1"/>
    </row>
    <row r="252" spans="1:11" ht="12.75">
      <c r="A252" s="3">
        <f>DATA!F$3</f>
        <v>2003</v>
      </c>
      <c r="B252" s="1"/>
      <c r="C252" s="5" t="e">
        <f>1-DATA!N$18/DATA!F$18</f>
        <v>#DIV/0!</v>
      </c>
      <c r="D252" s="4">
        <f>DATA!V$18</f>
        <v>0</v>
      </c>
      <c r="E252" s="6" t="e">
        <f>C252*D252</f>
        <v>#DIV/0!</v>
      </c>
      <c r="F252" s="3"/>
      <c r="G252" s="25">
        <f>DATA!AD$18</f>
        <v>0</v>
      </c>
      <c r="H252" s="1"/>
      <c r="I252" s="25">
        <f>DATA!AL$18</f>
        <v>0</v>
      </c>
      <c r="J252" s="6"/>
      <c r="K252" s="1"/>
    </row>
    <row r="253" spans="1:11" ht="12.75">
      <c r="A253" s="3">
        <f>DATA!G$3</f>
        <v>2004</v>
      </c>
      <c r="B253" s="1"/>
      <c r="C253" s="5" t="e">
        <f>1-DATA!O$18/DATA!G$18</f>
        <v>#DIV/0!</v>
      </c>
      <c r="D253" s="4">
        <f>DATA!W$18</f>
        <v>0</v>
      </c>
      <c r="E253" s="6" t="e">
        <f>C253*D253</f>
        <v>#DIV/0!</v>
      </c>
      <c r="F253" s="3"/>
      <c r="G253" s="25">
        <f>DATA!AE$18</f>
        <v>0</v>
      </c>
      <c r="H253" s="1"/>
      <c r="I253" s="25">
        <f>DATA!AM$18</f>
        <v>0</v>
      </c>
      <c r="J253" s="6"/>
      <c r="K253" s="1"/>
    </row>
    <row r="254" spans="1:11" ht="12.75">
      <c r="A254" s="3">
        <f>DATA!H$3</f>
        <v>2005</v>
      </c>
      <c r="B254" s="1"/>
      <c r="C254" s="5" t="e">
        <f>1-DATA!P$18/DATA!H$18</f>
        <v>#DIV/0!</v>
      </c>
      <c r="D254" s="4">
        <f>DATA!X$18</f>
        <v>0</v>
      </c>
      <c r="E254" s="6" t="e">
        <f>C254*D254</f>
        <v>#DIV/0!</v>
      </c>
      <c r="F254" s="3"/>
      <c r="G254" s="25">
        <f>DATA!AF$18</f>
        <v>0</v>
      </c>
      <c r="H254" s="1"/>
      <c r="I254" s="25">
        <f>DATA!AN$18</f>
        <v>0</v>
      </c>
      <c r="J254" s="6"/>
      <c r="K254" s="1"/>
    </row>
    <row r="255" spans="1:11" ht="12.75">
      <c r="A255" s="3">
        <f>DATA!I$3</f>
        <v>2006</v>
      </c>
      <c r="B255" s="1"/>
      <c r="C255" s="5" t="e">
        <f>1-DATA!Q$18/DATA!I$18</f>
        <v>#DIV/0!</v>
      </c>
      <c r="D255" s="4">
        <f>DATA!Y$18</f>
        <v>0</v>
      </c>
      <c r="E255" s="6" t="e">
        <f>C255*D255</f>
        <v>#DIV/0!</v>
      </c>
      <c r="F255" s="3"/>
      <c r="G255" s="25">
        <f>DATA!AG$18</f>
        <v>0</v>
      </c>
      <c r="H255" s="1"/>
      <c r="I255" s="25">
        <f>DATA!AO$18</f>
        <v>0</v>
      </c>
      <c r="J255" s="6"/>
      <c r="K255" s="1"/>
    </row>
    <row r="256" spans="1:11" ht="12.75">
      <c r="A256" s="3">
        <f>DATA!J$3</f>
        <v>2007</v>
      </c>
      <c r="B256" s="1"/>
      <c r="C256" s="5" t="e">
        <f>1-DATA!R$18/DATA!J$18</f>
        <v>#DIV/0!</v>
      </c>
      <c r="D256" s="4">
        <f>DATA!Z$18</f>
        <v>0</v>
      </c>
      <c r="E256" s="16" t="e">
        <f>C256*D256</f>
        <v>#DIV/0!</v>
      </c>
      <c r="F256" s="17"/>
      <c r="G256" s="26">
        <f>DATA!AH$18</f>
        <v>0</v>
      </c>
      <c r="H256" s="18"/>
      <c r="I256" s="26">
        <f>DATA!AP$18</f>
        <v>0</v>
      </c>
      <c r="J256" s="6"/>
      <c r="K256" s="1"/>
    </row>
    <row r="257" spans="1:11" ht="12.75">
      <c r="A257" s="19" t="s">
        <v>185</v>
      </c>
      <c r="B257" s="1"/>
      <c r="C257" s="5"/>
      <c r="D257" s="4"/>
      <c r="E257" s="6" t="e">
        <f>AVERAGE(E252:E256)</f>
        <v>#DIV/0!</v>
      </c>
      <c r="F257" s="6"/>
      <c r="G257" s="6">
        <f>DATA!AX$18</f>
        <v>0</v>
      </c>
      <c r="H257" s="1"/>
      <c r="I257" s="25"/>
      <c r="J257" s="6" t="e">
        <f>(I256/I252)^0.25-1</f>
        <v>#DIV/0!</v>
      </c>
      <c r="K257" s="1"/>
    </row>
    <row r="258" spans="1:11" ht="12.75">
      <c r="A258" s="3">
        <f>DATA!K$3</f>
        <v>2008</v>
      </c>
      <c r="B258" s="1"/>
      <c r="C258" s="5" t="e">
        <f>1-DATA!S$18/DATA!K$18</f>
        <v>#DIV/0!</v>
      </c>
      <c r="D258" s="4">
        <f>DATA!AA$18</f>
        <v>0</v>
      </c>
      <c r="E258" s="6" t="e">
        <f>C258*D258</f>
        <v>#DIV/0!</v>
      </c>
      <c r="F258" s="6"/>
      <c r="G258" s="6"/>
      <c r="H258" s="1"/>
      <c r="I258" s="25">
        <f>DATA!AQ$18</f>
        <v>0</v>
      </c>
      <c r="J258" s="6" t="e">
        <f>(I258/I256)-1</f>
        <v>#DIV/0!</v>
      </c>
      <c r="K258" s="1"/>
    </row>
    <row r="259" spans="1:11" ht="12.75">
      <c r="A259" s="3">
        <f>DATA!L$3</f>
        <v>2009</v>
      </c>
      <c r="B259" s="3"/>
      <c r="C259" s="5" t="e">
        <f>1-DATA!T$18/DATA!L$18</f>
        <v>#DIV/0!</v>
      </c>
      <c r="D259" s="4">
        <f>DATA!AB$18</f>
        <v>0</v>
      </c>
      <c r="E259" s="6" t="e">
        <f>C259*D259</f>
        <v>#DIV/0!</v>
      </c>
      <c r="F259" s="3"/>
      <c r="G259" s="6"/>
      <c r="H259" s="3"/>
      <c r="I259" s="25">
        <f>DATA!AR$18</f>
        <v>0</v>
      </c>
      <c r="J259" s="6" t="e">
        <f>(I259/I256)^0.5-1</f>
        <v>#DIV/0!</v>
      </c>
      <c r="K259" s="3"/>
    </row>
    <row r="260" spans="1:11" ht="12.75">
      <c r="A260" s="3" t="str">
        <f>DATA!M$3</f>
        <v>2011-2013</v>
      </c>
      <c r="B260" s="1"/>
      <c r="C260" s="5" t="e">
        <f>1-DATA!U$18/DATA!M$18</f>
        <v>#DIV/0!</v>
      </c>
      <c r="D260" s="4">
        <f>DATA!AC$18</f>
        <v>0</v>
      </c>
      <c r="E260" s="6" t="e">
        <f>C260*D260</f>
        <v>#DIV/0!</v>
      </c>
      <c r="F260" s="6"/>
      <c r="G260" s="6">
        <f>DATA!AY$18</f>
        <v>0</v>
      </c>
      <c r="H260" s="1"/>
      <c r="I260" s="25">
        <f>DATA!AS$18</f>
        <v>0</v>
      </c>
      <c r="J260" s="6" t="e">
        <f>(I260/I256)^0.2-1</f>
        <v>#DIV/0!</v>
      </c>
      <c r="K260" s="1"/>
    </row>
    <row r="261" spans="1:11" ht="12.75">
      <c r="A261" s="19" t="s">
        <v>74</v>
      </c>
      <c r="B261" s="1"/>
      <c r="C261" s="5"/>
      <c r="D261" s="4"/>
      <c r="E261" s="6"/>
      <c r="F261" s="3"/>
      <c r="G261" s="3"/>
      <c r="H261" s="1"/>
      <c r="I261" s="25"/>
      <c r="J261" s="6"/>
      <c r="K261" s="1"/>
    </row>
    <row r="262" spans="1:11" ht="12.75">
      <c r="A262" s="3"/>
      <c r="B262" s="1"/>
      <c r="C262" s="5"/>
      <c r="D262" s="4"/>
      <c r="E262" s="6"/>
      <c r="F262" s="3"/>
      <c r="G262" s="3"/>
      <c r="H262" s="1"/>
      <c r="I262" s="25"/>
      <c r="J262" s="6"/>
      <c r="K262" s="1"/>
    </row>
    <row r="263" spans="1:11" ht="12.75">
      <c r="A263" s="3"/>
      <c r="B263" s="1"/>
      <c r="C263" s="5"/>
      <c r="D263" s="4"/>
      <c r="E263" s="6"/>
      <c r="F263" s="3"/>
      <c r="G263" s="3"/>
      <c r="H263" s="1"/>
      <c r="I263" s="25"/>
      <c r="J263" s="6"/>
      <c r="K263" s="1"/>
    </row>
    <row r="264" spans="1:11" ht="12.75">
      <c r="A264" s="10" t="s">
        <v>92</v>
      </c>
      <c r="B264" s="1"/>
      <c r="C264" s="11"/>
      <c r="D264" s="12" t="s">
        <v>93</v>
      </c>
      <c r="E264" s="13" t="s">
        <v>94</v>
      </c>
      <c r="F264" s="10"/>
      <c r="G264" s="10"/>
      <c r="H264" s="1"/>
      <c r="I264" s="27" t="s">
        <v>200</v>
      </c>
      <c r="J264" s="14" t="s">
        <v>94</v>
      </c>
      <c r="K264" s="1"/>
    </row>
    <row r="265" spans="1:11" ht="12.75">
      <c r="A265" s="3"/>
      <c r="B265" s="1"/>
      <c r="C265" s="5"/>
      <c r="D265" s="4"/>
      <c r="E265" s="6"/>
      <c r="F265" s="3"/>
      <c r="G265" s="3"/>
      <c r="H265" s="1"/>
      <c r="I265" s="25"/>
      <c r="J265" s="6"/>
      <c r="K265" s="1"/>
    </row>
    <row r="266" spans="1:11" ht="12.75">
      <c r="A266" s="3"/>
      <c r="B266" s="1"/>
      <c r="C266" s="5" t="s">
        <v>201</v>
      </c>
      <c r="D266" s="4" t="s">
        <v>2</v>
      </c>
      <c r="E266" s="6"/>
      <c r="F266" s="3"/>
      <c r="G266" s="3" t="s">
        <v>191</v>
      </c>
      <c r="H266" s="1"/>
      <c r="I266" s="25" t="s">
        <v>192</v>
      </c>
      <c r="J266" s="6" t="s">
        <v>70</v>
      </c>
      <c r="K266" s="1"/>
    </row>
    <row r="267" spans="1:11" ht="12.75">
      <c r="A267" s="15">
        <f>DATA!A$19</f>
        <v>0</v>
      </c>
      <c r="B267" s="1"/>
      <c r="C267" s="11" t="s">
        <v>71</v>
      </c>
      <c r="D267" s="12" t="s">
        <v>160</v>
      </c>
      <c r="E267" s="13" t="s">
        <v>127</v>
      </c>
      <c r="F267" s="10"/>
      <c r="G267" s="10" t="s">
        <v>183</v>
      </c>
      <c r="H267" s="1"/>
      <c r="I267" s="28" t="s">
        <v>184</v>
      </c>
      <c r="J267" s="13" t="s">
        <v>94</v>
      </c>
      <c r="K267" s="1"/>
    </row>
    <row r="268" spans="1:11" ht="12.75">
      <c r="A268" s="3">
        <f>DATA!F$3</f>
        <v>2003</v>
      </c>
      <c r="B268" s="1"/>
      <c r="C268" s="5" t="e">
        <f>1-DATA!N$19/DATA!F$19</f>
        <v>#DIV/0!</v>
      </c>
      <c r="D268" s="4">
        <f>DATA!V$19</f>
        <v>0</v>
      </c>
      <c r="E268" s="6" t="e">
        <f>C268*D268</f>
        <v>#DIV/0!</v>
      </c>
      <c r="F268" s="3"/>
      <c r="G268" s="3">
        <f>DATA!AD$19</f>
        <v>0</v>
      </c>
      <c r="H268" s="1"/>
      <c r="I268" s="25">
        <f>DATA!AL$19</f>
        <v>0</v>
      </c>
      <c r="J268" s="6"/>
      <c r="K268" s="1"/>
    </row>
    <row r="269" spans="1:11" ht="12.75">
      <c r="A269" s="3">
        <f>DATA!G$3</f>
        <v>2004</v>
      </c>
      <c r="B269" s="1"/>
      <c r="C269" s="5" t="e">
        <f>1-DATA!O$19/DATA!G$19</f>
        <v>#DIV/0!</v>
      </c>
      <c r="D269" s="4">
        <f>DATA!W$19</f>
        <v>0</v>
      </c>
      <c r="E269" s="6" t="e">
        <f>C269*D269</f>
        <v>#DIV/0!</v>
      </c>
      <c r="F269" s="3"/>
      <c r="G269" s="3">
        <f>DATA!AE$19</f>
        <v>0</v>
      </c>
      <c r="H269" s="1"/>
      <c r="I269" s="25">
        <f>DATA!AM$19</f>
        <v>0</v>
      </c>
      <c r="J269" s="6"/>
      <c r="K269" s="1"/>
    </row>
    <row r="270" spans="1:11" ht="12.75">
      <c r="A270" s="3">
        <f>DATA!H$3</f>
        <v>2005</v>
      </c>
      <c r="B270" s="1"/>
      <c r="C270" s="5" t="e">
        <f>1-DATA!P$19/DATA!H$19</f>
        <v>#DIV/0!</v>
      </c>
      <c r="D270" s="4">
        <f>DATA!X$19</f>
        <v>0</v>
      </c>
      <c r="E270" s="6" t="e">
        <f>C270*D270</f>
        <v>#DIV/0!</v>
      </c>
      <c r="F270" s="3"/>
      <c r="G270" s="3">
        <f>DATA!AF$19</f>
        <v>0</v>
      </c>
      <c r="H270" s="1"/>
      <c r="I270" s="25">
        <f>DATA!AN$19</f>
        <v>0</v>
      </c>
      <c r="J270" s="6"/>
      <c r="K270" s="1"/>
    </row>
    <row r="271" spans="1:11" ht="12.75">
      <c r="A271" s="3">
        <f>DATA!I$3</f>
        <v>2006</v>
      </c>
      <c r="B271" s="1"/>
      <c r="C271" s="5" t="e">
        <f>1-DATA!Q$19/DATA!I$19</f>
        <v>#DIV/0!</v>
      </c>
      <c r="D271" s="4">
        <f>DATA!Y$19</f>
        <v>0</v>
      </c>
      <c r="E271" s="6" t="e">
        <f>C271*D271</f>
        <v>#DIV/0!</v>
      </c>
      <c r="F271" s="3"/>
      <c r="G271" s="3">
        <f>DATA!AG$19</f>
        <v>0</v>
      </c>
      <c r="H271" s="1"/>
      <c r="I271" s="25">
        <f>DATA!AO$19</f>
        <v>0</v>
      </c>
      <c r="J271" s="6"/>
      <c r="K271" s="1"/>
    </row>
    <row r="272" spans="1:11" ht="12.75">
      <c r="A272" s="3">
        <f>DATA!J$3</f>
        <v>2007</v>
      </c>
      <c r="B272" s="1"/>
      <c r="C272" s="5" t="e">
        <f>1-DATA!R$19/DATA!J$19</f>
        <v>#DIV/0!</v>
      </c>
      <c r="D272" s="4">
        <f>DATA!Z$19</f>
        <v>0</v>
      </c>
      <c r="E272" s="16" t="e">
        <f>C272*D272</f>
        <v>#DIV/0!</v>
      </c>
      <c r="F272" s="17"/>
      <c r="G272" s="17">
        <f>DATA!AH$19</f>
        <v>0</v>
      </c>
      <c r="H272" s="18"/>
      <c r="I272" s="26">
        <f>DATA!AP$19</f>
        <v>0</v>
      </c>
      <c r="J272" s="6"/>
      <c r="K272" s="1"/>
    </row>
    <row r="273" spans="1:11" ht="12.75">
      <c r="A273" s="19" t="s">
        <v>185</v>
      </c>
      <c r="B273" s="1"/>
      <c r="C273" s="5"/>
      <c r="D273" s="4"/>
      <c r="E273" s="6" t="e">
        <f>AVERAGE(E268:E272)</f>
        <v>#DIV/0!</v>
      </c>
      <c r="F273" s="6"/>
      <c r="G273" s="6">
        <f>DATA!AX$19</f>
        <v>0</v>
      </c>
      <c r="H273" s="1"/>
      <c r="I273" s="25"/>
      <c r="J273" s="6" t="e">
        <f>(I272/I268)^0.25-1</f>
        <v>#DIV/0!</v>
      </c>
      <c r="K273" s="1"/>
    </row>
    <row r="274" spans="1:12" ht="12.75">
      <c r="A274" s="3">
        <f>DATA!K$3</f>
        <v>2008</v>
      </c>
      <c r="B274" s="1"/>
      <c r="C274" s="5" t="e">
        <f>1-DATA!S$19/DATA!K$19</f>
        <v>#DIV/0!</v>
      </c>
      <c r="D274" s="4">
        <f>DATA!AA$19</f>
        <v>0</v>
      </c>
      <c r="E274" s="6" t="e">
        <f>C274*D274</f>
        <v>#DIV/0!</v>
      </c>
      <c r="F274" s="6"/>
      <c r="G274" s="6"/>
      <c r="H274" s="1"/>
      <c r="I274" s="25">
        <f>DATA!AQ$19</f>
        <v>0</v>
      </c>
      <c r="J274" s="6" t="e">
        <f>(I274/I272)-1</f>
        <v>#DIV/0!</v>
      </c>
      <c r="K274" s="1"/>
      <c r="L274" t="e">
        <f>(I276/I274)^0.25</f>
        <v>#DIV/0!</v>
      </c>
    </row>
    <row r="275" spans="1:11" ht="12.75">
      <c r="A275" s="3">
        <f>DATA!L$3</f>
        <v>2009</v>
      </c>
      <c r="B275" s="3"/>
      <c r="C275" s="5" t="e">
        <f>1-DATA!T$19/DATA!L$19</f>
        <v>#DIV/0!</v>
      </c>
      <c r="D275" s="4">
        <f>DATA!AB$19</f>
        <v>0</v>
      </c>
      <c r="E275" s="6" t="e">
        <f>C275*D275</f>
        <v>#DIV/0!</v>
      </c>
      <c r="F275" s="3"/>
      <c r="G275" s="6"/>
      <c r="H275" s="3"/>
      <c r="I275" s="25">
        <f>DATA!AR$19</f>
        <v>0</v>
      </c>
      <c r="J275" s="6" t="e">
        <f>(I275/I272)^0.5-1</f>
        <v>#DIV/0!</v>
      </c>
      <c r="K275" s="3"/>
    </row>
    <row r="276" spans="1:11" ht="12.75">
      <c r="A276" s="3" t="str">
        <f>DATA!M$3</f>
        <v>2011-2013</v>
      </c>
      <c r="B276" s="1"/>
      <c r="C276" s="5" t="e">
        <f>1-DATA!U$19/DATA!M$19</f>
        <v>#DIV/0!</v>
      </c>
      <c r="D276" s="4">
        <f>DATA!AC$19</f>
        <v>0</v>
      </c>
      <c r="E276" s="6" t="e">
        <f>C276*D276</f>
        <v>#DIV/0!</v>
      </c>
      <c r="F276" s="6"/>
      <c r="G276" s="6">
        <f>DATA!AY$19</f>
        <v>0</v>
      </c>
      <c r="H276" s="1"/>
      <c r="I276" s="25">
        <f>DATA!AS$19</f>
        <v>0</v>
      </c>
      <c r="J276" s="6" t="e">
        <f>(I276/I272)^0.2-1</f>
        <v>#DIV/0!</v>
      </c>
      <c r="K276" s="1"/>
    </row>
    <row r="277" spans="2:11" ht="12.75">
      <c r="B277" s="1"/>
      <c r="C277" s="5"/>
      <c r="D277" s="4"/>
      <c r="E277" s="6"/>
      <c r="F277" s="3"/>
      <c r="G277" s="3"/>
      <c r="H277" s="1"/>
      <c r="I277" s="25"/>
      <c r="J277" s="6"/>
      <c r="K277" s="1"/>
    </row>
    <row r="278" spans="1:11" ht="12.75">
      <c r="A278" s="3"/>
      <c r="B278" s="1"/>
      <c r="C278" s="5"/>
      <c r="D278" s="4"/>
      <c r="E278" s="6"/>
      <c r="F278" s="3"/>
      <c r="G278" s="3"/>
      <c r="H278" s="1"/>
      <c r="I278" s="25"/>
      <c r="J278" s="6" t="s">
        <v>162</v>
      </c>
      <c r="K278" s="1"/>
    </row>
    <row r="279" spans="1:11" ht="12.75">
      <c r="A279" s="3"/>
      <c r="B279" s="1"/>
      <c r="C279" s="5"/>
      <c r="D279" s="4"/>
      <c r="E279" s="6"/>
      <c r="F279" s="3"/>
      <c r="G279" s="3"/>
      <c r="H279" s="1"/>
      <c r="I279" s="25"/>
      <c r="J279" s="6" t="s">
        <v>63</v>
      </c>
      <c r="K279" s="1"/>
    </row>
    <row r="280" spans="1:11" ht="12.75">
      <c r="A280" s="3"/>
      <c r="B280" s="1"/>
      <c r="C280" s="5"/>
      <c r="D280" s="4"/>
      <c r="E280" s="6"/>
      <c r="F280" s="3"/>
      <c r="G280" s="3"/>
      <c r="H280" s="1"/>
      <c r="I280" s="25"/>
      <c r="J280" s="6"/>
      <c r="K280" s="1"/>
    </row>
    <row r="281" spans="1:11" ht="12.75">
      <c r="A281" s="3"/>
      <c r="B281" s="1"/>
      <c r="C281" s="5"/>
      <c r="D281" s="4"/>
      <c r="E281" s="6"/>
      <c r="F281" s="3"/>
      <c r="G281" s="3"/>
      <c r="H281" s="1"/>
      <c r="I281" s="25"/>
      <c r="J281" s="6"/>
      <c r="K281" s="1"/>
    </row>
    <row r="282" spans="1:11" ht="12.75">
      <c r="A282" s="3"/>
      <c r="B282" s="1"/>
      <c r="C282" s="5"/>
      <c r="D282" s="4"/>
      <c r="E282" s="8"/>
      <c r="F282" s="9" t="str">
        <f>F$6</f>
        <v>KENTUCKY-AMERICAN WATER COMPANY</v>
      </c>
      <c r="G282" s="1"/>
      <c r="H282" s="1"/>
      <c r="I282" s="25"/>
      <c r="J282" s="6"/>
      <c r="K282" s="1"/>
    </row>
    <row r="283" spans="1:11" ht="12.75">
      <c r="A283" s="3"/>
      <c r="B283" s="1"/>
      <c r="C283" s="5"/>
      <c r="D283" s="4"/>
      <c r="E283" s="8"/>
      <c r="F283" s="9" t="s">
        <v>91</v>
      </c>
      <c r="G283" s="1"/>
      <c r="H283" s="1"/>
      <c r="I283" s="25"/>
      <c r="J283" s="6"/>
      <c r="K283" s="1"/>
    </row>
    <row r="284" spans="1:11" ht="12.75">
      <c r="A284" s="3"/>
      <c r="B284" s="1"/>
      <c r="C284" s="5"/>
      <c r="D284" s="4"/>
      <c r="E284" s="6"/>
      <c r="F284" s="3" t="str">
        <f>F8</f>
        <v>GAS DISTRIBUTION UTILITIES</v>
      </c>
      <c r="G284" s="3"/>
      <c r="H284" s="1"/>
      <c r="I284" s="25"/>
      <c r="J284" s="6"/>
      <c r="K284" s="1"/>
    </row>
    <row r="285" spans="1:11" ht="12.75">
      <c r="A285" s="3"/>
      <c r="B285" s="1"/>
      <c r="C285" s="5"/>
      <c r="D285" s="4"/>
      <c r="E285" s="6"/>
      <c r="F285" s="3"/>
      <c r="G285" s="3"/>
      <c r="H285" s="1"/>
      <c r="I285" s="25"/>
      <c r="J285" s="6"/>
      <c r="K285" s="1"/>
    </row>
    <row r="286" spans="1:11" ht="12.75">
      <c r="A286" s="3"/>
      <c r="B286" s="1"/>
      <c r="C286" s="5"/>
      <c r="D286" s="4"/>
      <c r="E286" s="6"/>
      <c r="F286" s="3"/>
      <c r="G286" s="3"/>
      <c r="H286" s="1"/>
      <c r="I286" s="25"/>
      <c r="J286" s="6"/>
      <c r="K286" s="1"/>
    </row>
    <row r="287" spans="1:11" ht="12.75">
      <c r="A287" s="10" t="s">
        <v>92</v>
      </c>
      <c r="B287" s="1"/>
      <c r="C287" s="11"/>
      <c r="D287" s="12" t="s">
        <v>93</v>
      </c>
      <c r="E287" s="13" t="s">
        <v>94</v>
      </c>
      <c r="F287" s="10"/>
      <c r="G287" s="10"/>
      <c r="H287" s="1"/>
      <c r="I287" s="27" t="s">
        <v>200</v>
      </c>
      <c r="J287" s="14" t="s">
        <v>94</v>
      </c>
      <c r="K287" s="1"/>
    </row>
    <row r="288" spans="1:11" ht="12.75">
      <c r="A288" s="3"/>
      <c r="B288" s="1"/>
      <c r="C288" s="5"/>
      <c r="D288" s="4"/>
      <c r="E288" s="6"/>
      <c r="F288" s="3"/>
      <c r="G288" s="3"/>
      <c r="H288" s="1"/>
      <c r="I288" s="25"/>
      <c r="J288" s="6"/>
      <c r="K288" s="1"/>
    </row>
    <row r="289" spans="1:11" ht="12.75">
      <c r="A289" s="3"/>
      <c r="B289" s="1"/>
      <c r="C289" s="5" t="s">
        <v>201</v>
      </c>
      <c r="D289" s="4" t="s">
        <v>2</v>
      </c>
      <c r="E289" s="6"/>
      <c r="F289" s="3"/>
      <c r="G289" s="3" t="s">
        <v>191</v>
      </c>
      <c r="H289" s="1"/>
      <c r="I289" s="25" t="s">
        <v>192</v>
      </c>
      <c r="J289" s="6" t="s">
        <v>70</v>
      </c>
      <c r="K289" s="1"/>
    </row>
    <row r="290" spans="1:11" ht="12.75">
      <c r="A290" s="15"/>
      <c r="B290" s="1"/>
      <c r="C290" s="11" t="s">
        <v>71</v>
      </c>
      <c r="D290" s="12" t="s">
        <v>160</v>
      </c>
      <c r="E290" s="13" t="s">
        <v>127</v>
      </c>
      <c r="F290" s="10"/>
      <c r="G290" s="10" t="s">
        <v>183</v>
      </c>
      <c r="H290" s="1"/>
      <c r="I290" s="28" t="s">
        <v>184</v>
      </c>
      <c r="J290" s="13" t="s">
        <v>94</v>
      </c>
      <c r="K290" s="1"/>
    </row>
    <row r="291" spans="1:11" ht="12.75">
      <c r="A291" s="3">
        <v>1996</v>
      </c>
      <c r="B291" s="1"/>
      <c r="I291"/>
      <c r="K291" s="1"/>
    </row>
    <row r="292" spans="1:11" ht="12.75">
      <c r="A292" s="3">
        <v>1997</v>
      </c>
      <c r="B292" s="1"/>
      <c r="I292"/>
      <c r="K292" s="1"/>
    </row>
    <row r="293" spans="1:11" ht="12.75">
      <c r="A293" s="3">
        <v>1998</v>
      </c>
      <c r="B293" s="1"/>
      <c r="I293"/>
      <c r="K293" s="1"/>
    </row>
    <row r="294" spans="1:11" ht="12.75">
      <c r="A294" s="3">
        <v>1999</v>
      </c>
      <c r="B294" s="1"/>
      <c r="I294"/>
      <c r="K294" s="1"/>
    </row>
    <row r="295" spans="1:11" ht="12.75">
      <c r="A295" s="3">
        <v>2000</v>
      </c>
      <c r="B295" s="1"/>
      <c r="I295"/>
      <c r="K295" s="1"/>
    </row>
    <row r="296" spans="1:11" ht="12.75">
      <c r="A296" s="19" t="s">
        <v>185</v>
      </c>
      <c r="B296" s="1"/>
      <c r="I296"/>
      <c r="K296" s="1"/>
    </row>
    <row r="297" spans="1:11" ht="12.75">
      <c r="A297" s="3">
        <v>2001</v>
      </c>
      <c r="B297" s="1"/>
      <c r="I297"/>
      <c r="K297" s="1"/>
    </row>
    <row r="298" spans="1:11" ht="12.75">
      <c r="A298" s="3">
        <v>2002</v>
      </c>
      <c r="B298" s="3"/>
      <c r="I298"/>
      <c r="K298" s="3"/>
    </row>
    <row r="299" spans="1:11" ht="12.75">
      <c r="A299" s="3" t="s">
        <v>44</v>
      </c>
      <c r="B299" s="1"/>
      <c r="I299"/>
      <c r="K299" s="1"/>
    </row>
    <row r="300" spans="1:11" ht="12.75">
      <c r="A300" s="3"/>
      <c r="B300" s="1"/>
      <c r="C300" s="5"/>
      <c r="D300" s="4"/>
      <c r="E300" s="6"/>
      <c r="F300" s="3"/>
      <c r="G300" s="3"/>
      <c r="H300" s="1"/>
      <c r="I300" s="25"/>
      <c r="J300" s="6"/>
      <c r="K300" s="1"/>
    </row>
    <row r="301" spans="2:11" ht="12.75">
      <c r="B301" s="1"/>
      <c r="C301" s="5"/>
      <c r="D301" s="4"/>
      <c r="E301" s="6"/>
      <c r="F301" s="3"/>
      <c r="G301" s="3"/>
      <c r="H301" s="1"/>
      <c r="I301" s="25"/>
      <c r="J301" s="6"/>
      <c r="K301" s="1"/>
    </row>
    <row r="302" spans="1:11" ht="12.75">
      <c r="A302" s="3"/>
      <c r="B302" s="1"/>
      <c r="C302" s="5"/>
      <c r="D302" s="4"/>
      <c r="E302" s="6"/>
      <c r="F302" s="3"/>
      <c r="G302" s="3"/>
      <c r="H302" s="1"/>
      <c r="I302" s="25"/>
      <c r="J302" s="6"/>
      <c r="K302" s="1"/>
    </row>
    <row r="303" spans="1:11" ht="12.75">
      <c r="A303" s="10" t="s">
        <v>92</v>
      </c>
      <c r="B303" s="1"/>
      <c r="C303" s="11"/>
      <c r="D303" s="12" t="s">
        <v>93</v>
      </c>
      <c r="E303" s="13" t="s">
        <v>94</v>
      </c>
      <c r="F303" s="10"/>
      <c r="G303" s="10"/>
      <c r="H303" s="1"/>
      <c r="I303" s="27" t="s">
        <v>200</v>
      </c>
      <c r="J303" s="14" t="s">
        <v>94</v>
      </c>
      <c r="K303" s="1"/>
    </row>
    <row r="304" spans="1:11" ht="12.75">
      <c r="A304" s="3"/>
      <c r="B304" s="1"/>
      <c r="C304" s="5"/>
      <c r="D304" s="4"/>
      <c r="E304" s="6"/>
      <c r="F304" s="3"/>
      <c r="G304" s="3"/>
      <c r="H304" s="1"/>
      <c r="I304" s="25"/>
      <c r="J304" s="6"/>
      <c r="K304" s="1"/>
    </row>
    <row r="305" spans="1:11" ht="12.75">
      <c r="A305" s="3"/>
      <c r="B305" s="1"/>
      <c r="C305" s="5" t="s">
        <v>201</v>
      </c>
      <c r="D305" s="4" t="s">
        <v>2</v>
      </c>
      <c r="E305" s="6"/>
      <c r="F305" s="3"/>
      <c r="G305" s="3" t="s">
        <v>191</v>
      </c>
      <c r="H305" s="1"/>
      <c r="I305" s="25" t="s">
        <v>192</v>
      </c>
      <c r="J305" s="6" t="s">
        <v>70</v>
      </c>
      <c r="K305" s="1"/>
    </row>
    <row r="306" spans="1:11" ht="12.75">
      <c r="A306" s="15">
        <f>DATA!A$20</f>
        <v>0</v>
      </c>
      <c r="B306" s="1"/>
      <c r="C306" s="11" t="s">
        <v>71</v>
      </c>
      <c r="D306" s="12" t="s">
        <v>160</v>
      </c>
      <c r="E306" s="13" t="s">
        <v>127</v>
      </c>
      <c r="F306" s="10"/>
      <c r="G306" s="10" t="s">
        <v>183</v>
      </c>
      <c r="H306" s="1"/>
      <c r="I306" s="28" t="s">
        <v>184</v>
      </c>
      <c r="J306" s="13" t="s">
        <v>94</v>
      </c>
      <c r="K306" s="1"/>
    </row>
    <row r="307" spans="1:11" ht="12.75">
      <c r="A307" s="3">
        <v>1996</v>
      </c>
      <c r="B307" s="1"/>
      <c r="C307" s="5" t="e">
        <f>1-DATA!N$20/DATA!F$20</f>
        <v>#DIV/0!</v>
      </c>
      <c r="D307" s="4">
        <f>DATA!V$20</f>
        <v>0</v>
      </c>
      <c r="E307" s="6" t="e">
        <f>C307*D307</f>
        <v>#DIV/0!</v>
      </c>
      <c r="F307" s="3"/>
      <c r="G307" s="25">
        <f>DATA!AD$20</f>
        <v>0</v>
      </c>
      <c r="H307" s="1"/>
      <c r="I307" s="25">
        <f>DATA!AL$20</f>
        <v>0</v>
      </c>
      <c r="J307" s="6"/>
      <c r="K307" s="1"/>
    </row>
    <row r="308" spans="1:11" ht="12.75">
      <c r="A308" s="3">
        <v>1997</v>
      </c>
      <c r="B308" s="1"/>
      <c r="C308" s="5" t="e">
        <f>1-DATA!O$20/DATA!G$20</f>
        <v>#DIV/0!</v>
      </c>
      <c r="D308" s="4">
        <f>DATA!W$20</f>
        <v>0</v>
      </c>
      <c r="E308" s="6" t="e">
        <f>C308*D308</f>
        <v>#DIV/0!</v>
      </c>
      <c r="F308" s="3"/>
      <c r="G308" s="25">
        <f>DATA!AE$20</f>
        <v>0</v>
      </c>
      <c r="H308" s="1"/>
      <c r="I308" s="25">
        <f>DATA!AM$20</f>
        <v>0</v>
      </c>
      <c r="J308" s="6"/>
      <c r="K308" s="1"/>
    </row>
    <row r="309" spans="1:11" ht="12.75">
      <c r="A309" s="3">
        <v>1998</v>
      </c>
      <c r="B309" s="1"/>
      <c r="C309" s="5" t="e">
        <f>1-DATA!P$20/DATA!H$20</f>
        <v>#DIV/0!</v>
      </c>
      <c r="D309" s="4">
        <f>DATA!X$20</f>
        <v>0</v>
      </c>
      <c r="E309" s="6" t="e">
        <f>C309*D309</f>
        <v>#DIV/0!</v>
      </c>
      <c r="F309" s="3"/>
      <c r="G309" s="25">
        <f>DATA!AF$20</f>
        <v>0</v>
      </c>
      <c r="H309" s="1"/>
      <c r="I309" s="25">
        <f>DATA!AN$20</f>
        <v>0</v>
      </c>
      <c r="J309" s="6"/>
      <c r="K309" s="1"/>
    </row>
    <row r="310" spans="1:11" ht="12.75">
      <c r="A310" s="3">
        <v>1999</v>
      </c>
      <c r="B310" s="1"/>
      <c r="C310" s="5" t="e">
        <f>1-DATA!Q$20/DATA!I$20</f>
        <v>#DIV/0!</v>
      </c>
      <c r="D310" s="4">
        <f>DATA!Y$20</f>
        <v>0</v>
      </c>
      <c r="E310" s="6" t="e">
        <f>C310*D310</f>
        <v>#DIV/0!</v>
      </c>
      <c r="F310" s="3"/>
      <c r="G310" s="25">
        <f>DATA!AG$20</f>
        <v>0</v>
      </c>
      <c r="H310" s="1"/>
      <c r="I310" s="25">
        <f>DATA!AO$20</f>
        <v>0</v>
      </c>
      <c r="J310" s="6"/>
      <c r="K310" s="1"/>
    </row>
    <row r="311" spans="1:11" ht="12.75">
      <c r="A311" s="3">
        <v>2000</v>
      </c>
      <c r="B311" s="1"/>
      <c r="C311" s="5" t="e">
        <f>1-DATA!R$20/DATA!J$20</f>
        <v>#DIV/0!</v>
      </c>
      <c r="D311" s="4">
        <f>DATA!Z$20</f>
        <v>0</v>
      </c>
      <c r="E311" s="16" t="e">
        <f>C311*D311</f>
        <v>#DIV/0!</v>
      </c>
      <c r="F311" s="17"/>
      <c r="G311" s="26">
        <f>DATA!AH$20</f>
        <v>0</v>
      </c>
      <c r="H311" s="18"/>
      <c r="I311" s="26">
        <f>DATA!AP$20</f>
        <v>0</v>
      </c>
      <c r="J311" s="6"/>
      <c r="K311" s="1"/>
    </row>
    <row r="312" spans="1:11" ht="12.75">
      <c r="A312" s="19" t="s">
        <v>185</v>
      </c>
      <c r="B312" s="1"/>
      <c r="C312" s="5"/>
      <c r="D312" s="4"/>
      <c r="E312" s="6" t="e">
        <f>AVERAGE(E307:E311)</f>
        <v>#DIV/0!</v>
      </c>
      <c r="F312" s="6"/>
      <c r="G312" s="6">
        <f>DATA!AX$20</f>
        <v>0</v>
      </c>
      <c r="H312" s="1"/>
      <c r="I312" s="25"/>
      <c r="J312" s="6" t="e">
        <f>(I311/I307)^0.25-1</f>
        <v>#DIV/0!</v>
      </c>
      <c r="K312" s="1"/>
    </row>
    <row r="313" spans="1:11" ht="12.75">
      <c r="A313" s="3">
        <v>2001</v>
      </c>
      <c r="B313" s="1"/>
      <c r="C313" s="5" t="e">
        <f>1-DATA!S$20/DATA!K$20</f>
        <v>#DIV/0!</v>
      </c>
      <c r="D313" s="4">
        <f>DATA!AA$20</f>
        <v>0</v>
      </c>
      <c r="E313" s="6" t="e">
        <f>C313*D313</f>
        <v>#DIV/0!</v>
      </c>
      <c r="F313" s="6"/>
      <c r="G313" s="6"/>
      <c r="H313" s="1"/>
      <c r="I313" s="25">
        <f>DATA!AQ$20</f>
        <v>0</v>
      </c>
      <c r="J313" s="6" t="e">
        <f>(I313/I311)-1</f>
        <v>#DIV/0!</v>
      </c>
      <c r="K313" s="1"/>
    </row>
    <row r="314" spans="1:11" ht="12.75">
      <c r="A314" s="3">
        <v>2002</v>
      </c>
      <c r="B314" s="3"/>
      <c r="C314" s="5" t="e">
        <f>1-DATA!T$20/DATA!L$20</f>
        <v>#DIV/0!</v>
      </c>
      <c r="D314" s="4">
        <f>DATA!AB$20</f>
        <v>0</v>
      </c>
      <c r="E314" s="6" t="e">
        <f>C314*D314</f>
        <v>#DIV/0!</v>
      </c>
      <c r="F314" s="3"/>
      <c r="G314" s="6"/>
      <c r="H314" s="3"/>
      <c r="I314" s="25">
        <f>DATA!AR$20</f>
        <v>0</v>
      </c>
      <c r="J314" s="6" t="e">
        <f>(I314/I311)^0.5-1</f>
        <v>#DIV/0!</v>
      </c>
      <c r="K314" s="3"/>
    </row>
    <row r="315" spans="1:11" ht="12.75">
      <c r="A315" s="3" t="s">
        <v>44</v>
      </c>
      <c r="B315" s="1"/>
      <c r="C315" s="5" t="e">
        <f>1-DATA!U$20/DATA!M$20</f>
        <v>#DIV/0!</v>
      </c>
      <c r="D315" s="4">
        <f>DATA!AC$20</f>
        <v>0</v>
      </c>
      <c r="E315" s="6" t="e">
        <f>C315*D315</f>
        <v>#DIV/0!</v>
      </c>
      <c r="F315" s="6"/>
      <c r="G315" s="6">
        <f>DATA!AY$20</f>
        <v>0</v>
      </c>
      <c r="H315" s="1"/>
      <c r="I315" s="25">
        <f>DATA!AS$20</f>
        <v>0</v>
      </c>
      <c r="J315" s="6" t="e">
        <f>(I315/I311)^0.2-1</f>
        <v>#DIV/0!</v>
      </c>
      <c r="K315" s="1"/>
    </row>
    <row r="316" spans="1:11" ht="12.75">
      <c r="A316" s="3"/>
      <c r="B316" s="1"/>
      <c r="C316" s="5"/>
      <c r="D316" s="4"/>
      <c r="E316" s="6"/>
      <c r="F316" s="3"/>
      <c r="G316" s="3"/>
      <c r="H316" s="1"/>
      <c r="I316" s="25"/>
      <c r="J316" s="6"/>
      <c r="K316" s="1"/>
    </row>
    <row r="317" spans="1:11" ht="12.75">
      <c r="A317" s="19" t="s">
        <v>138</v>
      </c>
      <c r="B317" s="1"/>
      <c r="C317" s="5"/>
      <c r="D317" s="4"/>
      <c r="E317" s="6"/>
      <c r="F317" s="3"/>
      <c r="G317" s="3"/>
      <c r="H317" s="1"/>
      <c r="I317" s="25"/>
      <c r="J317" s="6"/>
      <c r="K317" s="1"/>
    </row>
    <row r="318" spans="1:11" ht="12.75">
      <c r="A318" s="3"/>
      <c r="B318" s="1"/>
      <c r="C318" s="5"/>
      <c r="D318" s="4"/>
      <c r="E318" s="6"/>
      <c r="F318" s="3"/>
      <c r="G318" s="3"/>
      <c r="H318" s="1"/>
      <c r="I318" s="25"/>
      <c r="J318" s="6"/>
      <c r="K318" s="1"/>
    </row>
    <row r="319" spans="1:11" ht="12.75">
      <c r="A319" s="10" t="s">
        <v>92</v>
      </c>
      <c r="B319" s="1"/>
      <c r="C319" s="11"/>
      <c r="D319" s="12" t="s">
        <v>93</v>
      </c>
      <c r="E319" s="13" t="s">
        <v>94</v>
      </c>
      <c r="F319" s="10"/>
      <c r="G319" s="10"/>
      <c r="H319" s="1"/>
      <c r="I319" s="27" t="s">
        <v>200</v>
      </c>
      <c r="J319" s="14" t="s">
        <v>94</v>
      </c>
      <c r="K319" s="1"/>
    </row>
    <row r="320" spans="1:11" ht="12.75">
      <c r="A320" s="3"/>
      <c r="B320" s="1"/>
      <c r="C320" s="5"/>
      <c r="D320" s="4"/>
      <c r="E320" s="6"/>
      <c r="F320" s="3"/>
      <c r="G320" s="3"/>
      <c r="H320" s="1"/>
      <c r="I320" s="25"/>
      <c r="J320" s="6"/>
      <c r="K320" s="1"/>
    </row>
    <row r="321" spans="1:11" ht="12.75">
      <c r="A321" s="3"/>
      <c r="B321" s="1"/>
      <c r="C321" s="5" t="s">
        <v>201</v>
      </c>
      <c r="D321" s="4" t="s">
        <v>2</v>
      </c>
      <c r="E321" s="6"/>
      <c r="F321" s="3"/>
      <c r="G321" s="3" t="s">
        <v>191</v>
      </c>
      <c r="H321" s="1"/>
      <c r="I321" s="25" t="s">
        <v>192</v>
      </c>
      <c r="J321" s="6" t="s">
        <v>70</v>
      </c>
      <c r="K321" s="1"/>
    </row>
    <row r="322" spans="1:11" ht="12.75">
      <c r="A322" s="15">
        <f>DATA!A$23</f>
        <v>0</v>
      </c>
      <c r="B322" s="1"/>
      <c r="C322" s="11" t="s">
        <v>71</v>
      </c>
      <c r="D322" s="12" t="s">
        <v>160</v>
      </c>
      <c r="E322" s="13" t="s">
        <v>127</v>
      </c>
      <c r="F322" s="10"/>
      <c r="G322" s="10" t="s">
        <v>183</v>
      </c>
      <c r="H322" s="1"/>
      <c r="I322" s="28" t="s">
        <v>184</v>
      </c>
      <c r="J322" s="13" t="s">
        <v>94</v>
      </c>
      <c r="K322" s="1"/>
    </row>
    <row r="323" spans="1:11" ht="12.75">
      <c r="A323" s="3">
        <f>DATA!F$3</f>
        <v>2003</v>
      </c>
      <c r="B323" s="1"/>
      <c r="C323" s="5" t="e">
        <f>1-DATA!N$23/DATA!F$23</f>
        <v>#DIV/0!</v>
      </c>
      <c r="D323" s="4">
        <f>DATA!V$23</f>
        <v>0</v>
      </c>
      <c r="E323" s="6" t="e">
        <f>C323*D323</f>
        <v>#DIV/0!</v>
      </c>
      <c r="F323" s="3"/>
      <c r="G323" s="25">
        <f>DATA!AD$23</f>
        <v>0</v>
      </c>
      <c r="H323" s="1"/>
      <c r="I323" s="25">
        <f>DATA!AL$23</f>
        <v>0</v>
      </c>
      <c r="J323" s="6"/>
      <c r="K323" s="1"/>
    </row>
    <row r="324" spans="1:11" ht="12.75">
      <c r="A324" s="3">
        <f>DATA!G$3</f>
        <v>2004</v>
      </c>
      <c r="B324" s="1"/>
      <c r="C324" s="5" t="e">
        <f>1-DATA!O$23/DATA!G$23</f>
        <v>#DIV/0!</v>
      </c>
      <c r="D324" s="4">
        <f>DATA!W$23</f>
        <v>0</v>
      </c>
      <c r="E324" s="6" t="e">
        <f>C324*D324</f>
        <v>#DIV/0!</v>
      </c>
      <c r="F324" s="3"/>
      <c r="G324" s="25">
        <f>DATA!AE$23</f>
        <v>0</v>
      </c>
      <c r="H324" s="1"/>
      <c r="I324" s="25">
        <f>DATA!AM$23</f>
        <v>0</v>
      </c>
      <c r="J324" s="6"/>
      <c r="K324" s="1"/>
    </row>
    <row r="325" spans="1:11" ht="12.75">
      <c r="A325" s="3">
        <f>DATA!H$3</f>
        <v>2005</v>
      </c>
      <c r="B325" s="1"/>
      <c r="C325" s="5" t="e">
        <f>1-DATA!P$23/DATA!H$23</f>
        <v>#DIV/0!</v>
      </c>
      <c r="D325" s="4">
        <f>DATA!X$23</f>
        <v>0</v>
      </c>
      <c r="E325" s="6" t="e">
        <f>C325*D325</f>
        <v>#DIV/0!</v>
      </c>
      <c r="F325" s="3"/>
      <c r="G325" s="25">
        <f>DATA!AF$23</f>
        <v>0</v>
      </c>
      <c r="H325" s="1"/>
      <c r="I325" s="25">
        <f>DATA!AN$23</f>
        <v>0</v>
      </c>
      <c r="J325" s="6"/>
      <c r="K325" s="1"/>
    </row>
    <row r="326" spans="1:11" ht="12.75">
      <c r="A326" s="3">
        <f>DATA!I$3</f>
        <v>2006</v>
      </c>
      <c r="B326" s="1"/>
      <c r="C326" s="5" t="e">
        <f>1-DATA!Q$23/DATA!I$23</f>
        <v>#DIV/0!</v>
      </c>
      <c r="D326" s="4">
        <f>DATA!Y$23</f>
        <v>0</v>
      </c>
      <c r="E326" s="6" t="e">
        <f>C326*D326</f>
        <v>#DIV/0!</v>
      </c>
      <c r="F326" s="3"/>
      <c r="G326" s="25">
        <f>DATA!AG$23</f>
        <v>0</v>
      </c>
      <c r="H326" s="1"/>
      <c r="I326" s="25">
        <f>DATA!AO$23</f>
        <v>0</v>
      </c>
      <c r="J326" s="6"/>
      <c r="K326" s="1"/>
    </row>
    <row r="327" spans="1:11" ht="12.75">
      <c r="A327" s="3">
        <f>DATA!J$3</f>
        <v>2007</v>
      </c>
      <c r="B327" s="1"/>
      <c r="C327" s="5" t="e">
        <f>1-DATA!R$23/DATA!J$23</f>
        <v>#DIV/0!</v>
      </c>
      <c r="D327" s="4">
        <f>DATA!Z$23</f>
        <v>0</v>
      </c>
      <c r="E327" s="16" t="e">
        <f>C327*D327</f>
        <v>#DIV/0!</v>
      </c>
      <c r="F327" s="17"/>
      <c r="G327" s="26">
        <f>DATA!AH$23</f>
        <v>0</v>
      </c>
      <c r="H327" s="18"/>
      <c r="I327" s="26">
        <f>DATA!AP$23</f>
        <v>0</v>
      </c>
      <c r="J327" s="6"/>
      <c r="K327" s="1"/>
    </row>
    <row r="328" spans="1:11" ht="12.75">
      <c r="A328" s="19" t="s">
        <v>185</v>
      </c>
      <c r="B328" s="1"/>
      <c r="C328" s="5"/>
      <c r="D328" s="4"/>
      <c r="E328" s="6" t="e">
        <f>AVERAGE(E323:E327)</f>
        <v>#DIV/0!</v>
      </c>
      <c r="F328" s="6"/>
      <c r="G328" s="6">
        <f>DATA!AX$23</f>
        <v>0</v>
      </c>
      <c r="H328" s="1"/>
      <c r="I328" s="25"/>
      <c r="J328" s="6" t="e">
        <f>(I327/I323)^0.25-1</f>
        <v>#DIV/0!</v>
      </c>
      <c r="K328" s="1"/>
    </row>
    <row r="329" spans="1:11" ht="12.75">
      <c r="A329" s="3">
        <f>DATA!K$3</f>
        <v>2008</v>
      </c>
      <c r="B329" s="1"/>
      <c r="C329" s="5" t="e">
        <f>1-DATA!S$23/DATA!K$23</f>
        <v>#DIV/0!</v>
      </c>
      <c r="D329" s="4">
        <f>DATA!AA$23</f>
        <v>0</v>
      </c>
      <c r="E329" s="6" t="e">
        <f>C329*D329</f>
        <v>#DIV/0!</v>
      </c>
      <c r="F329" s="6"/>
      <c r="G329" s="6"/>
      <c r="H329" s="1"/>
      <c r="I329" s="25">
        <f>DATA!AQ$23</f>
        <v>0</v>
      </c>
      <c r="J329" s="6" t="e">
        <f>(I329/I327)-1</f>
        <v>#DIV/0!</v>
      </c>
      <c r="K329" s="1"/>
    </row>
    <row r="330" spans="1:11" ht="12.75">
      <c r="A330" s="3">
        <f>DATA!L$3</f>
        <v>2009</v>
      </c>
      <c r="B330" s="3"/>
      <c r="C330" s="5" t="e">
        <f>1-DATA!T$23/DATA!L$23</f>
        <v>#DIV/0!</v>
      </c>
      <c r="D330" s="4">
        <f>DATA!AB$23</f>
        <v>0</v>
      </c>
      <c r="E330" s="6" t="e">
        <f>C330*D330</f>
        <v>#DIV/0!</v>
      </c>
      <c r="F330" s="3"/>
      <c r="G330" s="6"/>
      <c r="H330" s="3"/>
      <c r="I330" s="25">
        <f>DATA!AR$23</f>
        <v>0</v>
      </c>
      <c r="J330" s="6" t="e">
        <f>(I330/I327)^0.5-1</f>
        <v>#DIV/0!</v>
      </c>
      <c r="K330" s="3"/>
    </row>
    <row r="331" spans="1:11" ht="12.75">
      <c r="A331" s="3" t="str">
        <f>DATA!M$3</f>
        <v>2011-2013</v>
      </c>
      <c r="B331" s="1"/>
      <c r="C331" s="5" t="e">
        <f>1-DATA!U$23/DATA!M$23</f>
        <v>#DIV/0!</v>
      </c>
      <c r="D331" s="4">
        <f>DATA!AC$23</f>
        <v>0</v>
      </c>
      <c r="E331" s="6" t="e">
        <f>C331*D331</f>
        <v>#DIV/0!</v>
      </c>
      <c r="F331" s="6"/>
      <c r="G331" s="6">
        <f>DATA!AY$23</f>
        <v>0</v>
      </c>
      <c r="H331" s="1"/>
      <c r="I331" s="25">
        <f>DATA!AS$23</f>
        <v>0</v>
      </c>
      <c r="J331" s="6" t="e">
        <f>(I331/I327)^0.2-1</f>
        <v>#DIV/0!</v>
      </c>
      <c r="K331" s="1"/>
    </row>
  </sheetData>
  <printOptions/>
  <pageMargins left="1.1" right="0.75" top="0.5" bottom="0.73" header="0.5" footer="0.5"/>
  <pageSetup orientation="portrait" scale="95" r:id="rId1"/>
  <headerFooter alignWithMargins="0">
    <oddFooter>&amp;L&amp;C&amp;R
</oddFooter>
  </headerFooter>
  <rowBreaks count="3" manualBreakCount="3">
    <brk id="56" max="255" man="1"/>
    <brk id="111" max="255" man="1"/>
    <brk id="22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L4" sqref="L4"/>
    </sheetView>
  </sheetViews>
  <sheetFormatPr defaultColWidth="9.00390625" defaultRowHeight="12"/>
  <cols>
    <col min="1" max="1" width="14.00390625" style="0" customWidth="1"/>
    <col min="2" max="3" width="11.375" style="0" customWidth="1"/>
    <col min="4" max="4" width="6.125" style="0" customWidth="1"/>
    <col min="5" max="5" width="1.25" style="0" customWidth="1"/>
    <col min="6" max="7" width="1.875" style="0" customWidth="1"/>
    <col min="8" max="8" width="2.75390625" style="0" customWidth="1"/>
    <col min="9" max="9" width="4.375" style="0" customWidth="1"/>
    <col min="10" max="10" width="2.125" style="0" customWidth="1"/>
    <col min="11" max="11" width="11.375" style="0" customWidth="1"/>
    <col min="12" max="12" width="12.375" style="0" customWidth="1"/>
    <col min="13" max="16384" width="11.375" style="0" customWidth="1"/>
  </cols>
  <sheetData>
    <row r="1" spans="1:12" ht="12.75">
      <c r="A1" s="3"/>
      <c r="B1" s="6"/>
      <c r="C1" s="3"/>
      <c r="D1" s="6"/>
      <c r="E1" s="6"/>
      <c r="F1" s="3"/>
      <c r="G1" s="3"/>
      <c r="H1" s="3"/>
      <c r="I1" s="3"/>
      <c r="J1" s="3"/>
      <c r="K1" s="3"/>
      <c r="L1" s="6" t="s">
        <v>190</v>
      </c>
    </row>
    <row r="2" spans="1:12" ht="12.75">
      <c r="A2" s="3"/>
      <c r="B2" s="6"/>
      <c r="C2" s="3"/>
      <c r="D2" s="7"/>
      <c r="E2" s="7"/>
      <c r="F2" s="19"/>
      <c r="G2" s="19"/>
      <c r="H2" s="19"/>
      <c r="I2" s="19"/>
      <c r="J2" s="19"/>
      <c r="K2" s="3"/>
      <c r="L2" s="6" t="s">
        <v>108</v>
      </c>
    </row>
    <row r="3" spans="1:12" ht="12.75">
      <c r="A3" s="3"/>
      <c r="B3" s="6"/>
      <c r="C3" s="3"/>
      <c r="D3" s="7"/>
      <c r="E3" s="7"/>
      <c r="F3" s="19"/>
      <c r="G3" s="19"/>
      <c r="H3" s="19"/>
      <c r="I3" s="19"/>
      <c r="J3" s="19"/>
      <c r="K3" s="3"/>
      <c r="L3" s="6" t="s">
        <v>109</v>
      </c>
    </row>
    <row r="4" spans="1:12" ht="12.75">
      <c r="A4" s="3"/>
      <c r="B4" s="6"/>
      <c r="C4" s="3"/>
      <c r="D4" s="31"/>
      <c r="E4" s="31"/>
      <c r="F4" s="9" t="str">
        <f>DATA!A1</f>
        <v>KENTUCKY-AMERICAN WATER COMPANY</v>
      </c>
      <c r="G4" s="30"/>
      <c r="H4" s="1"/>
      <c r="I4" s="1"/>
      <c r="J4" s="1"/>
      <c r="K4" s="3"/>
      <c r="L4" s="6"/>
    </row>
    <row r="5" spans="1:12" ht="12.75">
      <c r="A5" s="3"/>
      <c r="B5" s="6"/>
      <c r="C5" s="3"/>
      <c r="D5" s="31"/>
      <c r="E5" s="31"/>
      <c r="F5" s="9"/>
      <c r="G5" s="30"/>
      <c r="H5" s="1"/>
      <c r="I5" s="1"/>
      <c r="J5" s="1"/>
      <c r="K5" s="3"/>
      <c r="L5" s="6"/>
    </row>
    <row r="6" spans="1:12" ht="12.75">
      <c r="A6" s="3"/>
      <c r="B6" s="6"/>
      <c r="C6" s="3"/>
      <c r="D6" s="31"/>
      <c r="E6" s="31"/>
      <c r="F6" s="9" t="s">
        <v>6</v>
      </c>
      <c r="G6" s="30"/>
      <c r="H6" s="1"/>
      <c r="I6" s="1"/>
      <c r="J6" s="1"/>
      <c r="K6" s="3"/>
      <c r="L6" s="6"/>
    </row>
    <row r="7" spans="1:12" ht="12.75">
      <c r="A7" s="3"/>
      <c r="B7" s="6"/>
      <c r="C7" s="3"/>
      <c r="D7" s="7"/>
      <c r="E7" s="7"/>
      <c r="F7" s="3" t="s">
        <v>154</v>
      </c>
      <c r="G7" s="19"/>
      <c r="H7" s="19"/>
      <c r="I7" s="19"/>
      <c r="J7" s="19"/>
      <c r="K7" s="3"/>
      <c r="L7" s="6"/>
    </row>
    <row r="8" spans="1:12" ht="12.75">
      <c r="A8" s="3"/>
      <c r="B8" s="6"/>
      <c r="C8" s="3"/>
      <c r="D8" s="7"/>
      <c r="E8" s="7"/>
      <c r="F8" s="19"/>
      <c r="G8" s="19"/>
      <c r="H8" s="19"/>
      <c r="I8" s="19"/>
      <c r="J8" s="19"/>
      <c r="K8" s="3"/>
      <c r="L8" s="6"/>
    </row>
    <row r="9" spans="1:12" ht="12.75">
      <c r="A9" s="17" t="s">
        <v>92</v>
      </c>
      <c r="B9" s="16" t="s">
        <v>7</v>
      </c>
      <c r="C9" s="3" t="s">
        <v>140</v>
      </c>
      <c r="D9" s="32"/>
      <c r="E9" s="32"/>
      <c r="F9" s="16" t="s">
        <v>150</v>
      </c>
      <c r="G9" s="19"/>
      <c r="H9" s="19"/>
      <c r="I9" s="19"/>
      <c r="J9" s="19"/>
      <c r="K9" s="3" t="s">
        <v>169</v>
      </c>
      <c r="L9" s="16" t="s">
        <v>170</v>
      </c>
    </row>
    <row r="10" spans="1:12" ht="12.75">
      <c r="A10" s="3"/>
      <c r="B10" s="6"/>
      <c r="C10" s="3"/>
      <c r="D10" s="7"/>
      <c r="E10" s="7"/>
      <c r="F10" s="19"/>
      <c r="G10" s="19"/>
      <c r="H10" s="19"/>
      <c r="I10" s="19"/>
      <c r="J10" s="19"/>
      <c r="K10" s="3"/>
      <c r="L10" s="6"/>
    </row>
    <row r="11" spans="1:14" ht="19.5" customHeight="1">
      <c r="A11" s="3" t="str">
        <f>DATA!A5</f>
        <v>ATG</v>
      </c>
      <c r="B11" s="6">
        <v>0.045</v>
      </c>
      <c r="C11" s="3" t="s">
        <v>140</v>
      </c>
      <c r="D11" s="7">
        <v>0.01</v>
      </c>
      <c r="E11" s="7" t="s">
        <v>151</v>
      </c>
      <c r="F11" s="71">
        <v>1</v>
      </c>
      <c r="G11" s="3" t="s">
        <v>186</v>
      </c>
      <c r="H11" s="19" t="s">
        <v>152</v>
      </c>
      <c r="I11" s="33">
        <f>DATA!B5/DATA!AI5</f>
        <v>1.3369321533923304</v>
      </c>
      <c r="J11" s="33" t="s">
        <v>153</v>
      </c>
      <c r="K11" s="3" t="s">
        <v>169</v>
      </c>
      <c r="L11" s="6">
        <f>B11+D11*(1-(1/I11))</f>
        <v>0.0475201888707471</v>
      </c>
      <c r="N11" s="48">
        <f>L11-B11</f>
        <v>0.002520188870747099</v>
      </c>
    </row>
    <row r="12" spans="1:14" ht="19.5" customHeight="1">
      <c r="A12" s="3" t="str">
        <f>DATA!A6</f>
        <v>GAS</v>
      </c>
      <c r="B12" s="6">
        <v>0.0475</v>
      </c>
      <c r="C12" s="3" t="s">
        <v>140</v>
      </c>
      <c r="D12" s="7">
        <v>0</v>
      </c>
      <c r="E12" s="7" t="s">
        <v>151</v>
      </c>
      <c r="F12" s="71">
        <v>1</v>
      </c>
      <c r="G12" s="3" t="s">
        <v>186</v>
      </c>
      <c r="H12" s="19" t="s">
        <v>152</v>
      </c>
      <c r="I12" s="33">
        <f>DATA!B6/DATA!AI6</f>
        <v>1.6582168674698796</v>
      </c>
      <c r="J12" s="33" t="s">
        <v>153</v>
      </c>
      <c r="K12" s="3" t="s">
        <v>169</v>
      </c>
      <c r="L12" s="6">
        <f aca="true" t="shared" si="0" ref="L12:L19">B12+D12*(1-(1/I12))</f>
        <v>0.0475</v>
      </c>
      <c r="N12" s="48">
        <f aca="true" t="shared" si="1" ref="N12:N19">L12-B12</f>
        <v>0</v>
      </c>
    </row>
    <row r="13" spans="1:14" ht="19.5" customHeight="1">
      <c r="A13" s="3" t="str">
        <f>DATA!A7</f>
        <v>NI</v>
      </c>
      <c r="B13" s="6">
        <v>0.02</v>
      </c>
      <c r="C13" s="3" t="s">
        <v>140</v>
      </c>
      <c r="D13" s="7">
        <v>0.005</v>
      </c>
      <c r="E13" s="7" t="s">
        <v>151</v>
      </c>
      <c r="F13" s="71">
        <v>1</v>
      </c>
      <c r="G13" s="3" t="s">
        <v>186</v>
      </c>
      <c r="H13" s="19" t="s">
        <v>152</v>
      </c>
      <c r="I13" s="33">
        <f>DATA!B7/DATA!AI7</f>
        <v>0.5860622222222222</v>
      </c>
      <c r="J13" s="33" t="s">
        <v>153</v>
      </c>
      <c r="K13" s="3" t="s">
        <v>169</v>
      </c>
      <c r="L13" s="6">
        <f t="shared" si="0"/>
        <v>0.016468482679123944</v>
      </c>
      <c r="N13" s="48">
        <f t="shared" si="1"/>
        <v>-0.0035315173208760563</v>
      </c>
    </row>
    <row r="14" spans="1:14" ht="19.5" customHeight="1">
      <c r="A14" s="3" t="str">
        <f>DATA!A8</f>
        <v>NWN</v>
      </c>
      <c r="B14" s="6">
        <v>0.0525</v>
      </c>
      <c r="C14" s="3" t="s">
        <v>140</v>
      </c>
      <c r="D14" s="7">
        <v>0.0075</v>
      </c>
      <c r="E14" s="7" t="s">
        <v>151</v>
      </c>
      <c r="F14" s="71">
        <v>1</v>
      </c>
      <c r="G14" s="3" t="s">
        <v>186</v>
      </c>
      <c r="H14" s="19" t="s">
        <v>152</v>
      </c>
      <c r="I14" s="33">
        <f>DATA!B8/DATA!AI8</f>
        <v>1.838280479210712</v>
      </c>
      <c r="J14" s="33" t="s">
        <v>153</v>
      </c>
      <c r="K14" s="3" t="s">
        <v>169</v>
      </c>
      <c r="L14" s="6">
        <f t="shared" si="0"/>
        <v>0.05592010028675264</v>
      </c>
      <c r="N14" s="48">
        <f t="shared" si="1"/>
        <v>0.0034201002867526448</v>
      </c>
    </row>
    <row r="15" spans="1:14" ht="19.5" customHeight="1">
      <c r="A15" s="3" t="str">
        <f>DATA!A9</f>
        <v>PNY</v>
      </c>
      <c r="B15" s="6">
        <v>0.055</v>
      </c>
      <c r="C15" s="3" t="s">
        <v>140</v>
      </c>
      <c r="D15" s="7">
        <v>0.005</v>
      </c>
      <c r="E15" s="7" t="s">
        <v>151</v>
      </c>
      <c r="F15" s="71">
        <v>1</v>
      </c>
      <c r="G15" s="3" t="s">
        <v>186</v>
      </c>
      <c r="H15" s="19" t="s">
        <v>152</v>
      </c>
      <c r="I15" s="33">
        <f>DATA!B9/DATA!AI9</f>
        <v>2.35521164021164</v>
      </c>
      <c r="J15" s="33" t="s">
        <v>153</v>
      </c>
      <c r="K15" s="3" t="s">
        <v>169</v>
      </c>
      <c r="L15" s="6">
        <f t="shared" si="0"/>
        <v>0.057877048535837444</v>
      </c>
      <c r="N15" s="48">
        <f t="shared" si="1"/>
        <v>0.002877048535837444</v>
      </c>
    </row>
    <row r="16" spans="1:14" ht="19.5" customHeight="1">
      <c r="A16" s="3" t="str">
        <f>DATA!A10</f>
        <v>SJI</v>
      </c>
      <c r="B16" s="6">
        <v>0.065</v>
      </c>
      <c r="C16" s="3" t="s">
        <v>140</v>
      </c>
      <c r="D16" s="7">
        <v>0.02</v>
      </c>
      <c r="E16" s="7" t="s">
        <v>151</v>
      </c>
      <c r="F16" s="71">
        <v>1</v>
      </c>
      <c r="G16" s="3" t="s">
        <v>186</v>
      </c>
      <c r="H16" s="19" t="s">
        <v>152</v>
      </c>
      <c r="I16" s="33">
        <f>DATA!B10/DATA!AI10</f>
        <v>2.1424591738712775</v>
      </c>
      <c r="J16" s="33" t="s">
        <v>153</v>
      </c>
      <c r="K16" s="3" t="s">
        <v>169</v>
      </c>
      <c r="L16" s="6">
        <f t="shared" si="0"/>
        <v>0.07566493296865892</v>
      </c>
      <c r="N16" s="48">
        <f t="shared" si="1"/>
        <v>0.010664932968658919</v>
      </c>
    </row>
    <row r="17" spans="1:14" ht="19.5" customHeight="1">
      <c r="A17" s="3" t="str">
        <f>DATA!A11</f>
        <v>SWX</v>
      </c>
      <c r="B17" s="6">
        <v>0.0525</v>
      </c>
      <c r="C17" s="3" t="s">
        <v>140</v>
      </c>
      <c r="D17" s="7">
        <v>0.035</v>
      </c>
      <c r="E17" s="7" t="s">
        <v>151</v>
      </c>
      <c r="F17" s="71">
        <v>1</v>
      </c>
      <c r="G17" s="3" t="s">
        <v>186</v>
      </c>
      <c r="H17" s="19" t="s">
        <v>152</v>
      </c>
      <c r="I17" s="33">
        <f>DATA!B11/DATA!AI11</f>
        <v>1.0547925608011446</v>
      </c>
      <c r="J17" s="33" t="s">
        <v>153</v>
      </c>
      <c r="K17" s="3" t="s">
        <v>169</v>
      </c>
      <c r="L17" s="6">
        <f t="shared" si="0"/>
        <v>0.0543181201681812</v>
      </c>
      <c r="N17" s="48">
        <f t="shared" si="1"/>
        <v>0.0018181201681812045</v>
      </c>
    </row>
    <row r="18" spans="1:14" ht="19.5" customHeight="1">
      <c r="A18" s="3" t="str">
        <f>DATA!A12</f>
        <v>WGL</v>
      </c>
      <c r="B18" s="6">
        <v>0.045</v>
      </c>
      <c r="C18" s="3" t="s">
        <v>140</v>
      </c>
      <c r="D18" s="7">
        <v>0.0025</v>
      </c>
      <c r="E18" s="7" t="s">
        <v>151</v>
      </c>
      <c r="F18" s="71">
        <v>1</v>
      </c>
      <c r="G18" s="3" t="s">
        <v>186</v>
      </c>
      <c r="H18" s="19" t="s">
        <v>152</v>
      </c>
      <c r="I18" s="33">
        <f>DATA!B12/DATA!AI12</f>
        <v>1.5093542260208932</v>
      </c>
      <c r="J18" s="33" t="s">
        <v>153</v>
      </c>
      <c r="K18" s="3" t="s">
        <v>169</v>
      </c>
      <c r="L18" s="6">
        <f t="shared" si="0"/>
        <v>0.04584366250353918</v>
      </c>
      <c r="N18" s="48">
        <f t="shared" si="1"/>
        <v>0.0008436625035391845</v>
      </c>
    </row>
    <row r="19" spans="1:14" ht="19.5" customHeight="1">
      <c r="A19" s="3" t="str">
        <f>DATA!A13</f>
        <v>CPK</v>
      </c>
      <c r="B19" s="6">
        <v>0.05</v>
      </c>
      <c r="C19" s="3" t="s">
        <v>140</v>
      </c>
      <c r="D19" s="7">
        <v>0.025</v>
      </c>
      <c r="E19" s="7" t="s">
        <v>151</v>
      </c>
      <c r="F19" s="71">
        <v>1</v>
      </c>
      <c r="G19" s="3" t="s">
        <v>186</v>
      </c>
      <c r="H19" s="19" t="s">
        <v>152</v>
      </c>
      <c r="I19" s="33">
        <f>DATA!B13/DATA!AH13</f>
        <v>1.734637188208617</v>
      </c>
      <c r="J19" s="33" t="s">
        <v>153</v>
      </c>
      <c r="K19" s="3" t="s">
        <v>169</v>
      </c>
      <c r="L19" s="6">
        <f t="shared" si="0"/>
        <v>0.06058776430602308</v>
      </c>
      <c r="N19" s="48">
        <f t="shared" si="1"/>
        <v>0.010587764306023074</v>
      </c>
    </row>
    <row r="20" spans="1:12" ht="19.5" customHeight="1">
      <c r="A20" s="3"/>
      <c r="B20" s="6"/>
      <c r="C20" s="3"/>
      <c r="D20" s="7"/>
      <c r="E20" s="7"/>
      <c r="F20" s="71"/>
      <c r="G20" s="3"/>
      <c r="H20" s="19"/>
      <c r="I20" s="33"/>
      <c r="J20" s="33"/>
      <c r="K20" s="3"/>
      <c r="L20" s="6"/>
    </row>
    <row r="21" spans="1:14" ht="12.75">
      <c r="A21" s="3"/>
      <c r="C21" s="3"/>
      <c r="G21" s="34" t="s">
        <v>171</v>
      </c>
      <c r="H21" s="7" t="s">
        <v>169</v>
      </c>
      <c r="I21" s="33">
        <f>AVERAGE(I11:I19)</f>
        <v>1.5795496123787462</v>
      </c>
      <c r="J21" s="19"/>
      <c r="K21" s="3"/>
      <c r="L21" s="6"/>
      <c r="N21" s="48">
        <f>AVERAGE(N11:N19)</f>
        <v>0.003244477813207057</v>
      </c>
    </row>
    <row r="22" spans="1:12" ht="12.75">
      <c r="A22" s="3"/>
      <c r="C22" s="3"/>
      <c r="D22" s="7"/>
      <c r="E22" s="7"/>
      <c r="F22" s="19"/>
      <c r="G22" s="19"/>
      <c r="H22" s="19"/>
      <c r="I22" s="19"/>
      <c r="J22" s="19"/>
      <c r="K22" s="3"/>
      <c r="L22" s="6"/>
    </row>
    <row r="23" spans="1:12" ht="12.75">
      <c r="A23" s="3"/>
      <c r="C23" s="34" t="str">
        <f aca="true" t="shared" si="2" ref="C23:C31">A11</f>
        <v>ATG</v>
      </c>
      <c r="D23" s="3" t="s">
        <v>169</v>
      </c>
      <c r="E23" s="19" t="str">
        <f>DATA!A25</f>
        <v>AGL Resources</v>
      </c>
      <c r="F23" s="19"/>
      <c r="G23" s="19"/>
      <c r="H23" s="19"/>
      <c r="I23" s="19"/>
      <c r="J23" s="19"/>
      <c r="K23" s="3"/>
      <c r="L23" s="6"/>
    </row>
    <row r="24" spans="1:12" ht="12.75">
      <c r="A24" s="3"/>
      <c r="C24" s="34" t="str">
        <f t="shared" si="2"/>
        <v>GAS</v>
      </c>
      <c r="D24" s="3" t="s">
        <v>169</v>
      </c>
      <c r="E24" s="19" t="str">
        <f>DATA!A26</f>
        <v>NICOR</v>
      </c>
      <c r="F24" s="19"/>
      <c r="G24" s="19"/>
      <c r="H24" s="19"/>
      <c r="I24" s="19"/>
      <c r="J24" s="19"/>
      <c r="K24" s="3"/>
      <c r="L24" s="6"/>
    </row>
    <row r="25" spans="1:12" ht="12.75">
      <c r="A25" s="3"/>
      <c r="C25" s="34" t="str">
        <f t="shared" si="2"/>
        <v>NI</v>
      </c>
      <c r="D25" s="3" t="s">
        <v>169</v>
      </c>
      <c r="E25" s="19" t="str">
        <f>DATA!A27</f>
        <v>NiSource</v>
      </c>
      <c r="F25" s="19"/>
      <c r="G25" s="19"/>
      <c r="H25" s="19"/>
      <c r="I25" s="19"/>
      <c r="J25" s="19"/>
      <c r="K25" s="3"/>
      <c r="L25" s="6"/>
    </row>
    <row r="26" spans="1:12" ht="12.75">
      <c r="A26" s="3"/>
      <c r="C26" s="34" t="str">
        <f t="shared" si="2"/>
        <v>NWN</v>
      </c>
      <c r="D26" s="3" t="s">
        <v>169</v>
      </c>
      <c r="E26" s="19" t="str">
        <f>DATA!A28</f>
        <v>Northwest Natrual Gas</v>
      </c>
      <c r="F26" s="19"/>
      <c r="G26" s="19"/>
      <c r="H26" s="19"/>
      <c r="I26" s="19"/>
      <c r="J26" s="19"/>
      <c r="K26" s="3"/>
      <c r="L26" s="6"/>
    </row>
    <row r="27" spans="1:12" ht="12.75">
      <c r="A27" s="3"/>
      <c r="C27" s="34" t="str">
        <f t="shared" si="2"/>
        <v>PNY</v>
      </c>
      <c r="D27" s="3" t="s">
        <v>169</v>
      </c>
      <c r="E27" s="19" t="str">
        <f>DATA!A29</f>
        <v>Piedmont Natural Gas</v>
      </c>
      <c r="F27" s="19"/>
      <c r="G27" s="19"/>
      <c r="H27" s="19"/>
      <c r="I27" s="19"/>
      <c r="J27" s="19"/>
      <c r="K27" s="3"/>
      <c r="L27" s="6"/>
    </row>
    <row r="28" spans="1:12" ht="12.75">
      <c r="A28" s="3"/>
      <c r="C28" s="34" t="str">
        <f t="shared" si="2"/>
        <v>SJI</v>
      </c>
      <c r="D28" s="3" t="s">
        <v>169</v>
      </c>
      <c r="E28" s="19" t="str">
        <f>DATA!A30</f>
        <v>South Jersey Industries</v>
      </c>
      <c r="F28" s="19"/>
      <c r="G28" s="19"/>
      <c r="H28" s="19"/>
      <c r="I28" s="19"/>
      <c r="J28" s="19"/>
      <c r="K28" s="3"/>
      <c r="L28" s="6"/>
    </row>
    <row r="29" spans="1:12" ht="12.75">
      <c r="A29" s="3"/>
      <c r="C29" s="34" t="str">
        <f t="shared" si="2"/>
        <v>SWX</v>
      </c>
      <c r="D29" s="3" t="s">
        <v>169</v>
      </c>
      <c r="E29" s="19" t="str">
        <f>DATA!A31</f>
        <v>Southwest Gas</v>
      </c>
      <c r="F29" s="19"/>
      <c r="G29" s="19"/>
      <c r="H29" s="19"/>
      <c r="I29" s="19"/>
      <c r="J29" s="19"/>
      <c r="K29" s="3"/>
      <c r="L29" s="6"/>
    </row>
    <row r="30" spans="1:12" ht="12.75">
      <c r="A30" s="3"/>
      <c r="C30" s="34" t="str">
        <f t="shared" si="2"/>
        <v>WGL</v>
      </c>
      <c r="D30" s="3" t="s">
        <v>169</v>
      </c>
      <c r="E30" s="19" t="str">
        <f>DATA!A32</f>
        <v>WGL Holdings</v>
      </c>
      <c r="F30" s="19"/>
      <c r="G30" s="19"/>
      <c r="H30" s="19"/>
      <c r="I30" s="19"/>
      <c r="J30" s="19"/>
      <c r="K30" s="3"/>
      <c r="L30" s="6"/>
    </row>
    <row r="31" spans="1:12" ht="12.75">
      <c r="A31" s="3"/>
      <c r="C31" s="34" t="str">
        <f t="shared" si="2"/>
        <v>CPK</v>
      </c>
      <c r="D31" s="3" t="s">
        <v>169</v>
      </c>
      <c r="E31" s="19" t="str">
        <f>DATA!A33</f>
        <v>Chesapeake Utilities Corp.</v>
      </c>
      <c r="F31" s="19"/>
      <c r="G31" s="19"/>
      <c r="H31" s="19"/>
      <c r="I31" s="19"/>
      <c r="J31" s="19"/>
      <c r="K31" s="3"/>
      <c r="L31" s="6"/>
    </row>
    <row r="32" spans="1:12" ht="12.75">
      <c r="A32" s="1"/>
      <c r="C32" s="34"/>
      <c r="D32" s="3"/>
      <c r="E32" s="19"/>
      <c r="F32" s="19"/>
      <c r="G32" s="19"/>
      <c r="H32" s="19"/>
      <c r="I32" s="19"/>
      <c r="J32" s="19"/>
      <c r="K32" s="6"/>
      <c r="L32" s="1"/>
    </row>
    <row r="33" spans="1:12" ht="12.75">
      <c r="A33" s="19" t="s">
        <v>100</v>
      </c>
      <c r="B33" s="6"/>
      <c r="C33" s="34"/>
      <c r="D33" s="3"/>
      <c r="E33" s="19"/>
      <c r="F33" s="19"/>
      <c r="G33" s="19"/>
      <c r="H33" s="19"/>
      <c r="I33" s="19"/>
      <c r="J33" s="19"/>
      <c r="K33" s="3"/>
      <c r="L33" s="6"/>
    </row>
    <row r="34" spans="1:12" ht="12.75">
      <c r="A34" s="3"/>
      <c r="B34" s="6"/>
      <c r="C34" s="34"/>
      <c r="D34" s="3"/>
      <c r="E34" s="19"/>
      <c r="F34" s="19"/>
      <c r="G34" s="19"/>
      <c r="H34" s="19"/>
      <c r="I34" s="19"/>
      <c r="J34" s="19"/>
      <c r="K34" s="3"/>
      <c r="L34" s="6"/>
    </row>
    <row r="35" spans="2:12" ht="12.75">
      <c r="B35" s="6"/>
      <c r="C35" s="34"/>
      <c r="D35" s="3"/>
      <c r="E35" s="19"/>
      <c r="F35" s="19"/>
      <c r="G35" s="19"/>
      <c r="H35" s="19"/>
      <c r="I35" s="19"/>
      <c r="J35" s="19"/>
      <c r="K35" s="3"/>
      <c r="L35" s="6"/>
    </row>
    <row r="36" spans="1:12" ht="12.75">
      <c r="A36" s="3"/>
      <c r="B36" s="6"/>
      <c r="C36" s="3"/>
      <c r="D36" s="7"/>
      <c r="E36" s="7"/>
      <c r="F36" s="19"/>
      <c r="G36" s="19"/>
      <c r="H36" s="19"/>
      <c r="I36" s="19"/>
      <c r="J36" s="19"/>
      <c r="K36" s="3"/>
      <c r="L36" s="6"/>
    </row>
    <row r="37" spans="2:12" ht="12.75">
      <c r="B37" s="6"/>
      <c r="C37" s="3"/>
      <c r="D37" s="7"/>
      <c r="E37" s="7"/>
      <c r="F37" s="19"/>
      <c r="G37" s="19"/>
      <c r="H37" s="19"/>
      <c r="I37" s="19"/>
      <c r="J37" s="19"/>
      <c r="K37" s="3"/>
      <c r="L37" s="6"/>
    </row>
  </sheetData>
  <printOptions/>
  <pageMargins left="0.96" right="0.75" top="1" bottom="1" header="0.5" footer="0.5"/>
  <pageSetup fitToHeight="1" fitToWidth="1" orientation="portrait" scale="97"/>
  <headerFooter alignWithMargins="0">
    <oddFooter>&amp;L&amp;C&amp;R&amp;"Times,Regular"&amp;12Schedule 5-&amp;P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B1">
      <selection activeCell="M20" sqref="M20"/>
    </sheetView>
  </sheetViews>
  <sheetFormatPr defaultColWidth="9.00390625" defaultRowHeight="12"/>
  <cols>
    <col min="1" max="1" width="10.00390625" style="0" customWidth="1"/>
    <col min="2" max="2" width="7.25390625" style="0" customWidth="1"/>
    <col min="3" max="3" width="6.875" style="0" customWidth="1"/>
    <col min="4" max="5" width="7.00390625" style="0" customWidth="1"/>
    <col min="6" max="6" width="8.25390625" style="0" customWidth="1"/>
    <col min="7" max="7" width="6.75390625" style="0" customWidth="1"/>
    <col min="8" max="8" width="6.875" style="0" customWidth="1"/>
    <col min="9" max="9" width="6.25390625" style="0" customWidth="1"/>
    <col min="10" max="10" width="7.875" style="0" customWidth="1"/>
    <col min="11" max="11" width="7.25390625" style="0" customWidth="1"/>
    <col min="12" max="13" width="7.75390625" style="0" customWidth="1"/>
    <col min="14" max="16384" width="11.375" style="0" customWidth="1"/>
  </cols>
  <sheetData>
    <row r="1" spans="1:14" ht="12.75">
      <c r="A1" s="3"/>
      <c r="B1" s="6"/>
      <c r="C1" s="6"/>
      <c r="D1" s="6"/>
      <c r="E1" s="6"/>
      <c r="F1" s="6"/>
      <c r="G1" s="6"/>
      <c r="H1" s="6"/>
      <c r="I1" s="6"/>
      <c r="J1" s="6"/>
      <c r="K1" s="6"/>
      <c r="L1" s="6" t="s">
        <v>173</v>
      </c>
      <c r="M1" s="8"/>
      <c r="N1" s="8"/>
    </row>
    <row r="2" spans="1:14" ht="12.7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 t="s">
        <v>108</v>
      </c>
      <c r="M2" s="8"/>
      <c r="N2" s="8"/>
    </row>
    <row r="3" spans="1:14" ht="12.7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110</v>
      </c>
      <c r="M3" s="8"/>
      <c r="N3" s="8"/>
    </row>
    <row r="4" spans="1:14" ht="12.75">
      <c r="A4" s="3"/>
      <c r="B4" s="6"/>
      <c r="C4" s="8"/>
      <c r="D4" s="1"/>
      <c r="E4" s="6"/>
      <c r="F4" s="6"/>
      <c r="G4" s="35" t="str">
        <f>DATA!A1</f>
        <v>KENTUCKY-AMERICAN WATER COMPANY</v>
      </c>
      <c r="I4" s="1"/>
      <c r="J4" s="6"/>
      <c r="K4" s="6"/>
      <c r="L4" s="6"/>
      <c r="M4" s="8"/>
      <c r="N4" s="8"/>
    </row>
    <row r="5" spans="1:14" ht="12.75">
      <c r="A5" s="3"/>
      <c r="B5" s="6"/>
      <c r="C5" s="8"/>
      <c r="D5" s="1"/>
      <c r="E5" s="6"/>
      <c r="F5" s="6"/>
      <c r="G5" s="35"/>
      <c r="I5" s="1"/>
      <c r="J5" s="6"/>
      <c r="K5" s="6"/>
      <c r="L5" s="6"/>
      <c r="M5" s="8"/>
      <c r="N5" s="8"/>
    </row>
    <row r="6" spans="1:14" ht="12.75">
      <c r="A6" s="3"/>
      <c r="B6" s="6"/>
      <c r="C6" s="8"/>
      <c r="D6" s="1"/>
      <c r="E6" s="6"/>
      <c r="F6" s="6"/>
      <c r="G6" s="35" t="s">
        <v>149</v>
      </c>
      <c r="I6" s="1"/>
      <c r="J6" s="6"/>
      <c r="K6" s="6"/>
      <c r="L6" s="6"/>
      <c r="M6" s="8"/>
      <c r="N6" s="8"/>
    </row>
    <row r="7" spans="1:14" ht="12.75">
      <c r="A7" s="3"/>
      <c r="B7" s="6"/>
      <c r="C7" s="6"/>
      <c r="D7" s="6"/>
      <c r="E7" s="6"/>
      <c r="F7" s="6"/>
      <c r="G7" s="6" t="s">
        <v>118</v>
      </c>
      <c r="H7" s="6"/>
      <c r="I7" s="6"/>
      <c r="J7" s="6"/>
      <c r="K7" s="6"/>
      <c r="L7" s="6"/>
      <c r="M7" s="8"/>
      <c r="N7" s="8"/>
    </row>
    <row r="8" spans="1:14" ht="12.75">
      <c r="A8" s="3"/>
      <c r="B8" s="6"/>
      <c r="C8" s="6"/>
      <c r="D8" s="6"/>
      <c r="E8" s="6"/>
      <c r="F8" s="6"/>
      <c r="G8" s="6"/>
      <c r="H8" s="6"/>
      <c r="I8" s="6"/>
      <c r="J8" s="6" t="s">
        <v>155</v>
      </c>
      <c r="K8" s="6"/>
      <c r="L8" s="6"/>
      <c r="M8" s="8"/>
      <c r="N8" s="8"/>
    </row>
    <row r="9" spans="1:14" ht="12.75">
      <c r="A9" s="3"/>
      <c r="B9" s="6" t="s">
        <v>131</v>
      </c>
      <c r="C9" s="13"/>
      <c r="D9" s="13" t="s">
        <v>112</v>
      </c>
      <c r="E9" s="13"/>
      <c r="F9" s="6" t="s">
        <v>155</v>
      </c>
      <c r="G9" s="13"/>
      <c r="H9" s="13" t="s">
        <v>113</v>
      </c>
      <c r="I9" s="13"/>
      <c r="J9" s="6" t="s">
        <v>59</v>
      </c>
      <c r="K9" s="13"/>
      <c r="L9" s="13" t="s">
        <v>57</v>
      </c>
      <c r="M9" s="36"/>
      <c r="N9" s="1"/>
    </row>
    <row r="10" spans="1:14" ht="12.75">
      <c r="A10" s="17" t="s">
        <v>92</v>
      </c>
      <c r="B10" s="16" t="s">
        <v>132</v>
      </c>
      <c r="C10" s="16" t="s">
        <v>142</v>
      </c>
      <c r="D10" s="16" t="s">
        <v>143</v>
      </c>
      <c r="E10" s="16" t="s">
        <v>54</v>
      </c>
      <c r="F10" s="16" t="s">
        <v>142</v>
      </c>
      <c r="G10" s="16" t="s">
        <v>142</v>
      </c>
      <c r="H10" s="16" t="s">
        <v>143</v>
      </c>
      <c r="I10" s="16" t="s">
        <v>54</v>
      </c>
      <c r="J10" s="16" t="s">
        <v>60</v>
      </c>
      <c r="K10" s="16" t="s">
        <v>142</v>
      </c>
      <c r="L10" s="16" t="s">
        <v>143</v>
      </c>
      <c r="M10" s="16" t="s">
        <v>54</v>
      </c>
      <c r="N10" s="1"/>
    </row>
    <row r="11" spans="1:17" ht="19.5" customHeight="1">
      <c r="A11" s="3" t="str">
        <f>DATA!A5</f>
        <v>ATG</v>
      </c>
      <c r="B11" s="37">
        <f>'Sch3,p3'!L11</f>
        <v>0.0475201888707471</v>
      </c>
      <c r="C11" s="6">
        <f>DATA!AU5</f>
        <v>0.03</v>
      </c>
      <c r="D11" s="6">
        <f>DATA!AW5</f>
        <v>0.04</v>
      </c>
      <c r="E11" s="6">
        <f>DATA!AY5</f>
        <v>0.02</v>
      </c>
      <c r="F11" s="37">
        <f>DATA!BA5</f>
        <v>0.0425</v>
      </c>
      <c r="G11" s="6">
        <f>DATA!AT5</f>
        <v>0.15</v>
      </c>
      <c r="H11" s="6">
        <f>DATA!AV5</f>
        <v>0.04</v>
      </c>
      <c r="I11" s="6">
        <f>DATA!AX5</f>
        <v>0.105</v>
      </c>
      <c r="J11" s="37">
        <f aca="true" t="shared" si="0" ref="J11:J19">AVERAGE(C11,D11,E11,G11,H11,I11,F11)</f>
        <v>0.06107142857142856</v>
      </c>
      <c r="K11" s="6">
        <f>(DATA!$K5/DATA!$F5)^0.2-1</f>
        <v>0.05356197037534094</v>
      </c>
      <c r="L11" s="6">
        <f>(DATA!$S5/DATA!$N5)^0.2-1</f>
        <v>0.08641877075961335</v>
      </c>
      <c r="M11" s="6">
        <f>(DATA!$AI5/DATA!$AD5)^0.2-1</f>
        <v>0.09042272478752311</v>
      </c>
      <c r="N11" s="1"/>
      <c r="Q11" s="48"/>
    </row>
    <row r="12" spans="1:17" ht="19.5" customHeight="1">
      <c r="A12" s="3" t="str">
        <f>DATA!A6</f>
        <v>GAS</v>
      </c>
      <c r="B12" s="38">
        <f>'Sch3,p3'!L12</f>
        <v>0.0475</v>
      </c>
      <c r="C12" s="6">
        <f>DATA!AU6</f>
        <v>0.04</v>
      </c>
      <c r="D12" s="6">
        <f>DATA!AW6</f>
        <v>0</v>
      </c>
      <c r="E12" s="6">
        <f>DATA!AY6</f>
        <v>0.045</v>
      </c>
      <c r="F12" s="38">
        <f>DATA!BA6</f>
        <v>0.0285</v>
      </c>
      <c r="G12" s="6">
        <f>DATA!AT6</f>
        <v>-0.015</v>
      </c>
      <c r="H12" s="6">
        <f>DATA!AV6</f>
        <v>0.01</v>
      </c>
      <c r="I12" s="6">
        <f>DATA!AX6</f>
        <v>0.04</v>
      </c>
      <c r="J12" s="38">
        <f t="shared" si="0"/>
        <v>0.021214285714285713</v>
      </c>
      <c r="K12" s="6">
        <f>(DATA!$K6/DATA!$F6)^0.2-1</f>
        <v>0.012931349775644252</v>
      </c>
      <c r="L12" s="6">
        <f>(DATA!$S6/DATA!$N6)^0.2-1</f>
        <v>0</v>
      </c>
      <c r="M12" s="6">
        <f>(DATA!$AI6/DATA!$AD6)^0.2-1</f>
        <v>0.039087565156050275</v>
      </c>
      <c r="N12" s="1"/>
      <c r="Q12" s="48"/>
    </row>
    <row r="13" spans="1:17" ht="19.5" customHeight="1">
      <c r="A13" s="3" t="str">
        <f>DATA!A7</f>
        <v>NI</v>
      </c>
      <c r="B13" s="38">
        <f>'Sch3,p3'!L13</f>
        <v>0.016468482679123944</v>
      </c>
      <c r="C13" s="6">
        <f>DATA!AU7</f>
        <v>0.05</v>
      </c>
      <c r="D13" s="6">
        <f>DATA!AW7</f>
        <v>0.015</v>
      </c>
      <c r="E13" s="6">
        <f>DATA!AY7</f>
        <v>0.02</v>
      </c>
      <c r="F13" s="38">
        <f>DATA!BA7</f>
        <v>0.016</v>
      </c>
      <c r="G13" s="6">
        <f>DATA!AT7</f>
        <v>-0.055</v>
      </c>
      <c r="H13" s="6">
        <f>DATA!AV7</f>
        <v>-0.025</v>
      </c>
      <c r="I13" s="6">
        <f>DATA!AX7</f>
        <v>0.02</v>
      </c>
      <c r="J13" s="38">
        <f t="shared" si="0"/>
        <v>0.0058571428571428585</v>
      </c>
      <c r="K13" s="6">
        <f>(DATA!$K7/DATA!$F7)^0.2-1</f>
        <v>-0.04697876468925022</v>
      </c>
      <c r="L13" s="6">
        <f>(DATA!$S7/DATA!$N7)^0.2-1</f>
        <v>-0.035107282837861575</v>
      </c>
      <c r="M13" s="6">
        <f>(DATA!$AI7/DATA!$AD7)^0.2-1</f>
        <v>0.022084287015949444</v>
      </c>
      <c r="N13" s="1"/>
      <c r="Q13" s="48"/>
    </row>
    <row r="14" spans="1:17" ht="19.5" customHeight="1">
      <c r="A14" s="3" t="str">
        <f>DATA!A8</f>
        <v>NWN</v>
      </c>
      <c r="B14" s="38">
        <f>'Sch3,p3'!L14</f>
        <v>0.05592010028675264</v>
      </c>
      <c r="C14" s="6">
        <f>DATA!AU8</f>
        <v>0.07</v>
      </c>
      <c r="D14" s="6">
        <f>DATA!AW8</f>
        <v>0.055</v>
      </c>
      <c r="E14" s="6">
        <f>DATA!AY8</f>
        <v>0.035</v>
      </c>
      <c r="F14" s="38">
        <f>DATA!BA8</f>
        <v>0.0475</v>
      </c>
      <c r="G14" s="6">
        <f>DATA!AT8</f>
        <v>0.065</v>
      </c>
      <c r="H14" s="6">
        <f>DATA!AV8</f>
        <v>0.02</v>
      </c>
      <c r="I14" s="6">
        <f>DATA!AX8</f>
        <v>0.035</v>
      </c>
      <c r="J14" s="38">
        <f t="shared" si="0"/>
        <v>0.046785714285714285</v>
      </c>
      <c r="K14" s="6">
        <f>(DATA!$K8/DATA!$F8)^0.2-1</f>
        <v>0.07697470355932268</v>
      </c>
      <c r="L14" s="6">
        <f>(DATA!$S8/DATA!$N8)^0.2-1</f>
        <v>0.03659228783256574</v>
      </c>
      <c r="M14" s="6">
        <f>(DATA!$AI8/DATA!$AD8)^0.2-1</f>
        <v>0.039130916713006725</v>
      </c>
      <c r="N14" s="1"/>
      <c r="Q14" s="48"/>
    </row>
    <row r="15" spans="1:17" ht="19.5" customHeight="1">
      <c r="A15" s="3" t="str">
        <f>DATA!A9</f>
        <v>PNY</v>
      </c>
      <c r="B15" s="38">
        <f>'Sch3,p3'!L15</f>
        <v>0.057877048535837444</v>
      </c>
      <c r="C15" s="6">
        <f>DATA!AU9</f>
        <v>0.075</v>
      </c>
      <c r="D15" s="6">
        <f>DATA!AW9</f>
        <v>0.04</v>
      </c>
      <c r="E15" s="6">
        <f>DATA!AY9</f>
        <v>0.045</v>
      </c>
      <c r="F15" s="38">
        <f>DATA!BA9</f>
        <v>0.0713</v>
      </c>
      <c r="G15" s="6">
        <f>DATA!AT9</f>
        <v>0.06</v>
      </c>
      <c r="H15" s="6">
        <f>DATA!AV9</f>
        <v>0.045</v>
      </c>
      <c r="I15" s="6">
        <f>DATA!AX9</f>
        <v>0.065</v>
      </c>
      <c r="J15" s="38">
        <f t="shared" si="0"/>
        <v>0.05732857142857143</v>
      </c>
      <c r="K15" s="6">
        <f>(DATA!$K9/DATA!$F9)^0.2-1</f>
        <v>0.06905917194048938</v>
      </c>
      <c r="L15" s="6">
        <f>(DATA!$S9/DATA!$N9)^0.2-1</f>
        <v>0.04665770403664582</v>
      </c>
      <c r="M15" s="6">
        <f>(DATA!$AI9/DATA!$AD9)^0.2-1</f>
        <v>0.06125302037503699</v>
      </c>
      <c r="N15" s="1"/>
      <c r="Q15" s="48"/>
    </row>
    <row r="16" spans="1:17" ht="19.5" customHeight="1">
      <c r="A16" s="3" t="str">
        <f>DATA!A10</f>
        <v>SJI</v>
      </c>
      <c r="B16" s="38">
        <f>'Sch3,p3'!L16</f>
        <v>0.07566493296865892</v>
      </c>
      <c r="C16" s="6">
        <f>DATA!AU10</f>
        <v>0.06</v>
      </c>
      <c r="D16" s="6">
        <f>DATA!AW10</f>
        <v>0.055</v>
      </c>
      <c r="E16" s="6">
        <f>DATA!AY10</f>
        <v>0.045</v>
      </c>
      <c r="F16" s="38">
        <f>DATA!BA10</f>
        <v>0.075</v>
      </c>
      <c r="G16" s="6">
        <f>DATA!AT10</f>
        <v>0.125</v>
      </c>
      <c r="H16" s="6">
        <f>DATA!AV10</f>
        <v>0.045</v>
      </c>
      <c r="I16" s="6">
        <f>DATA!AX10</f>
        <v>0.125</v>
      </c>
      <c r="J16" s="38">
        <f t="shared" si="0"/>
        <v>0.0757142857142857</v>
      </c>
      <c r="K16" s="6">
        <f>(DATA!$K10/DATA!$F10)^0.2-1</f>
        <v>0.10917852815841678</v>
      </c>
      <c r="L16" s="6">
        <f>(DATA!$S10/DATA!$N10)^0.2-1</f>
        <v>0.07311354150601401</v>
      </c>
      <c r="M16" s="6">
        <f>(DATA!$AI10/DATA!$AD10)^0.2-1</f>
        <v>0.09031557941462043</v>
      </c>
      <c r="N16" s="1"/>
      <c r="Q16" s="48"/>
    </row>
    <row r="17" spans="1:17" ht="19.5" customHeight="1">
      <c r="A17" s="3" t="str">
        <f>DATA!A11</f>
        <v>SWX</v>
      </c>
      <c r="B17" s="38">
        <f>'Sch3,p3'!L17</f>
        <v>0.0543181201681812</v>
      </c>
      <c r="C17" s="6">
        <f>DATA!AU11</f>
        <v>0.065</v>
      </c>
      <c r="D17" s="6">
        <f>DATA!AW11</f>
        <v>0.04</v>
      </c>
      <c r="E17" s="6">
        <f>DATA!AY11</f>
        <v>0.04</v>
      </c>
      <c r="F17" s="38">
        <f>DATA!BA11</f>
        <v>0.06</v>
      </c>
      <c r="G17" s="6">
        <f>DATA!AT11</f>
        <v>0.06</v>
      </c>
      <c r="H17" s="6">
        <f>DATA!AV11</f>
        <v>0</v>
      </c>
      <c r="I17" s="6">
        <f>DATA!AX11</f>
        <v>0.035</v>
      </c>
      <c r="J17" s="38">
        <f t="shared" si="0"/>
        <v>0.042857142857142864</v>
      </c>
      <c r="K17" s="6">
        <f>(DATA!$K11/DATA!$F11)^0.2-1</f>
        <v>0.09142003312797908</v>
      </c>
      <c r="L17" s="6">
        <f>(DATA!$S11/DATA!$N11)^0.2-1</f>
        <v>0.018792481782990533</v>
      </c>
      <c r="M17" s="6">
        <f>(DATA!$AI11/DATA!$AD11)^0.2-1</f>
        <v>0.048125432198166784</v>
      </c>
      <c r="N17" s="1"/>
      <c r="Q17" s="48"/>
    </row>
    <row r="18" spans="1:17" ht="19.5" customHeight="1">
      <c r="A18" s="3" t="str">
        <f>DATA!A12</f>
        <v>WGL</v>
      </c>
      <c r="B18" s="38">
        <f>'Sch3,p3'!L18</f>
        <v>0.04584366250353918</v>
      </c>
      <c r="C18" s="6">
        <f>DATA!AU12</f>
        <v>0.035</v>
      </c>
      <c r="D18" s="6">
        <f>DATA!AW12</f>
        <v>0.025</v>
      </c>
      <c r="E18" s="6">
        <f>DATA!AY12</f>
        <v>0.05</v>
      </c>
      <c r="F18" s="38">
        <f>DATA!BA12</f>
        <v>0.04</v>
      </c>
      <c r="G18" s="6">
        <f>DATA!AT12</f>
        <v>0.05</v>
      </c>
      <c r="H18" s="6">
        <f>DATA!AV12</f>
        <v>0.015</v>
      </c>
      <c r="I18" s="6">
        <f>DATA!AX12</f>
        <v>0.035</v>
      </c>
      <c r="J18" s="38">
        <f t="shared" si="0"/>
        <v>0.03571428571428572</v>
      </c>
      <c r="K18" s="6">
        <f>(DATA!$K12/DATA!$F12)^0.2-1</f>
        <v>0.0025951906207815068</v>
      </c>
      <c r="L18" s="6">
        <f>(DATA!$S12/DATA!$N12)^0.2-1</f>
        <v>0.020976333038736472</v>
      </c>
      <c r="M18" s="6">
        <f>(DATA!$AI12/DATA!$AD12)^0.2-1</f>
        <v>0.05322461456795824</v>
      </c>
      <c r="N18" s="1"/>
      <c r="Q18" s="48"/>
    </row>
    <row r="19" spans="1:17" ht="19.5" customHeight="1">
      <c r="A19" s="3" t="str">
        <f>DATA!A13</f>
        <v>CPK</v>
      </c>
      <c r="B19" s="39">
        <f>'Sch3,p3'!L19</f>
        <v>0.06058776430602308</v>
      </c>
      <c r="C19" s="16" t="s">
        <v>188</v>
      </c>
      <c r="D19" s="16" t="str">
        <f>DATA!AW13</f>
        <v>n/a</v>
      </c>
      <c r="E19" s="16" t="str">
        <f>DATA!AY13</f>
        <v>n/a</v>
      </c>
      <c r="F19" s="39">
        <f>DATA!BA13</f>
        <v>0.051</v>
      </c>
      <c r="G19" s="16">
        <f>DATA!AT13</f>
        <v>0.08</v>
      </c>
      <c r="H19" s="16">
        <f>DATA!AV13</f>
        <v>0.015</v>
      </c>
      <c r="I19" s="16">
        <f>DATA!AX13</f>
        <v>0.06</v>
      </c>
      <c r="J19" s="39">
        <f t="shared" si="0"/>
        <v>0.0515</v>
      </c>
      <c r="K19" s="16">
        <f>(DATA!$K13/DATA!$F13)^0.2-1</f>
        <v>0.023836255539609663</v>
      </c>
      <c r="L19" s="16">
        <f>(DATA!$S13/DATA!$N13)^0.2-1</f>
        <v>0.017554577175587616</v>
      </c>
      <c r="M19" s="16">
        <f>(DATA!$AH13/DATA!$AD13)^0.25-1</f>
        <v>0.08158689335912395</v>
      </c>
      <c r="N19" s="1"/>
      <c r="Q19" s="48"/>
    </row>
    <row r="20" spans="1:13" ht="19.5" customHeight="1">
      <c r="A20" s="1"/>
      <c r="B20" s="40"/>
      <c r="C20" s="42">
        <f>AVERAGE(C11:C19)</f>
        <v>0.053125000000000006</v>
      </c>
      <c r="D20" s="13">
        <f>AVERAGE(D11:D19)</f>
        <v>0.03375</v>
      </c>
      <c r="E20" s="50">
        <f>AVERAGE(E11:E19)</f>
        <v>0.0375</v>
      </c>
      <c r="F20" s="40"/>
      <c r="G20" s="42">
        <f>AVERAGE(G11:G19)</f>
        <v>0.05777777777777778</v>
      </c>
      <c r="H20" s="13">
        <f>AVERAGE(H11:H19)</f>
        <v>0.018333333333333337</v>
      </c>
      <c r="I20" s="50">
        <f>AVERAGE(I11:I19)</f>
        <v>0.05777777777777778</v>
      </c>
      <c r="J20" s="38"/>
      <c r="K20" s="42">
        <f>AVERAGE(K11:K19)</f>
        <v>0.0436198264898149</v>
      </c>
      <c r="L20" s="13">
        <f>AVERAGE(L11:L19)</f>
        <v>0.02944426814381022</v>
      </c>
      <c r="M20" s="13">
        <f>AVERAGE(M11:M19)</f>
        <v>0.05835900373193733</v>
      </c>
    </row>
    <row r="21" spans="1:13" ht="19.5" customHeight="1">
      <c r="A21" s="3" t="s">
        <v>58</v>
      </c>
      <c r="B21" s="41">
        <f>AVERAGE(B11:B19)</f>
        <v>0.05130003336876261</v>
      </c>
      <c r="C21" s="1"/>
      <c r="D21" s="6">
        <f>(C20+D20+E20)/3</f>
        <v>0.04145833333333334</v>
      </c>
      <c r="E21" s="1"/>
      <c r="F21" s="41">
        <f>AVERAGE(F11:F19)</f>
        <v>0.04797777777777777</v>
      </c>
      <c r="G21" s="1"/>
      <c r="H21" s="6">
        <f>(G20+H20+I20)/3</f>
        <v>0.04462962962962963</v>
      </c>
      <c r="I21" s="1"/>
      <c r="J21" s="41">
        <f>AVERAGE(J11:J19)</f>
        <v>0.04422698412698412</v>
      </c>
      <c r="K21" s="1"/>
      <c r="L21" s="6">
        <f>(K20+L20+M20)/3</f>
        <v>0.043807699455187483</v>
      </c>
      <c r="M21" s="1"/>
    </row>
    <row r="24" spans="1:9" ht="12.75">
      <c r="A24" s="1"/>
      <c r="C24" s="1"/>
      <c r="D24" s="8"/>
      <c r="G24" s="48"/>
      <c r="H24" s="48"/>
      <c r="I24" s="48"/>
    </row>
    <row r="25" spans="2:4" ht="12.75">
      <c r="B25" s="44" t="s">
        <v>193</v>
      </c>
      <c r="C25" s="1" t="s">
        <v>4</v>
      </c>
      <c r="D25" s="8"/>
    </row>
    <row r="26" ht="12.75">
      <c r="C26" s="1" t="s">
        <v>3</v>
      </c>
    </row>
    <row r="28" spans="16:18" s="8" customFormat="1" ht="12.75">
      <c r="P28"/>
      <c r="Q28"/>
      <c r="R28"/>
    </row>
    <row r="29" spans="3:18" s="1" customFormat="1" ht="12.75">
      <c r="C29"/>
      <c r="D29" s="8"/>
      <c r="H29" s="8"/>
      <c r="L29" s="8"/>
      <c r="P29"/>
      <c r="Q29"/>
      <c r="R29"/>
    </row>
  </sheetData>
  <printOptions/>
  <pageMargins left="0.75" right="0.75" top="1" bottom="1" header="0.5" footer="0.5"/>
  <pageSetup fitToHeight="1" fitToWidth="1" orientation="portrait" scale="86"/>
  <headerFooter alignWithMargins="0">
    <oddFooter>&amp;L&amp;C&amp;R&amp;"Times,Regular"&amp;12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C1">
      <selection activeCell="E26" sqref="E26"/>
    </sheetView>
  </sheetViews>
  <sheetFormatPr defaultColWidth="9.00390625" defaultRowHeight="12"/>
  <cols>
    <col min="1" max="1" width="15.25390625" style="0" customWidth="1"/>
    <col min="2" max="2" width="17.125" style="0" customWidth="1"/>
    <col min="3" max="3" width="6.375" style="0" customWidth="1"/>
    <col min="4" max="4" width="18.00390625" style="0" customWidth="1"/>
    <col min="5" max="5" width="19.375" style="0" customWidth="1"/>
    <col min="6" max="16384" width="11.375" style="0" customWidth="1"/>
  </cols>
  <sheetData>
    <row r="1" spans="1:5" ht="12.75">
      <c r="A1" s="3"/>
      <c r="B1" s="3"/>
      <c r="C1" s="3"/>
      <c r="D1" s="3"/>
      <c r="E1" s="3" t="s">
        <v>190</v>
      </c>
    </row>
    <row r="2" spans="1:5" ht="12.75">
      <c r="A2" s="3"/>
      <c r="B2" s="3"/>
      <c r="C2" s="3"/>
      <c r="D2" s="3"/>
      <c r="E2" s="3" t="s">
        <v>162</v>
      </c>
    </row>
    <row r="3" spans="1:5" ht="12.75">
      <c r="A3" s="3"/>
      <c r="B3" s="3"/>
      <c r="C3" s="3"/>
      <c r="D3" s="3"/>
      <c r="E3" s="3" t="s">
        <v>144</v>
      </c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9" t="str">
        <f>DATA!A1</f>
        <v>KENTUCKY-AMERICAN WATER COMPANY</v>
      </c>
      <c r="D5" s="3"/>
      <c r="E5" s="3"/>
    </row>
    <row r="6" spans="1:5" ht="12.75">
      <c r="A6" s="3"/>
      <c r="B6" s="3"/>
      <c r="C6" s="9"/>
      <c r="D6" s="3"/>
      <c r="E6" s="3"/>
    </row>
    <row r="7" spans="1:5" ht="12.75">
      <c r="A7" s="3"/>
      <c r="B7" s="3"/>
      <c r="C7" s="9" t="s">
        <v>174</v>
      </c>
      <c r="D7" s="3"/>
      <c r="E7" s="3"/>
    </row>
    <row r="8" spans="1:5" ht="12.75">
      <c r="A8" s="3"/>
      <c r="B8" s="3"/>
      <c r="C8" s="3" t="s">
        <v>118</v>
      </c>
      <c r="D8" s="3"/>
      <c r="E8" s="3"/>
    </row>
    <row r="9" spans="1:5" ht="12.75">
      <c r="A9" s="3"/>
      <c r="B9" s="3"/>
      <c r="C9" s="3"/>
      <c r="D9" s="3"/>
      <c r="E9" s="3"/>
    </row>
    <row r="10" spans="1:8" ht="12.75">
      <c r="A10" s="3"/>
      <c r="B10" s="3" t="s">
        <v>175</v>
      </c>
      <c r="C10" s="3"/>
      <c r="D10" s="3" t="s">
        <v>176</v>
      </c>
      <c r="E10" s="3" t="s">
        <v>141</v>
      </c>
      <c r="H10" s="55">
        <v>38374</v>
      </c>
    </row>
    <row r="11" spans="1:8" ht="12.75">
      <c r="A11" s="17" t="s">
        <v>92</v>
      </c>
      <c r="B11" s="17" t="str">
        <f>DATA!B2</f>
        <v>12/8/08-1/27/09</v>
      </c>
      <c r="C11" s="17"/>
      <c r="D11" s="17" t="s">
        <v>141</v>
      </c>
      <c r="E11" s="17" t="s">
        <v>177</v>
      </c>
      <c r="H11" t="s">
        <v>163</v>
      </c>
    </row>
    <row r="12" spans="1:8" ht="12.75">
      <c r="A12" s="3"/>
      <c r="B12" s="3" t="s">
        <v>178</v>
      </c>
      <c r="C12" s="3"/>
      <c r="D12" s="3" t="s">
        <v>178</v>
      </c>
      <c r="E12" s="3"/>
      <c r="H12" t="s">
        <v>164</v>
      </c>
    </row>
    <row r="13" spans="1:8" ht="12.75">
      <c r="A13" s="3"/>
      <c r="B13" s="3"/>
      <c r="C13" s="3"/>
      <c r="D13" s="3"/>
      <c r="E13" s="3"/>
      <c r="H13" t="s">
        <v>179</v>
      </c>
    </row>
    <row r="14" spans="1:8" ht="21.75" customHeight="1">
      <c r="A14" s="3" t="str">
        <f>DATA!A5</f>
        <v>ATG</v>
      </c>
      <c r="B14" s="43">
        <f>DATA!B5</f>
        <v>30.21466666666667</v>
      </c>
      <c r="C14" s="3" t="s">
        <v>5</v>
      </c>
      <c r="D14" s="43">
        <f>DATA!$E5*4*(1+'Sch3,p3'!L11)</f>
        <v>1.759833917302855</v>
      </c>
      <c r="E14" s="6">
        <f aca="true" t="shared" si="0" ref="E14:E22">D14/B14</f>
        <v>0.0582443598242417</v>
      </c>
      <c r="G14" s="69" t="str">
        <f>DATA!A5</f>
        <v>ATG</v>
      </c>
      <c r="H14">
        <v>0.055</v>
      </c>
    </row>
    <row r="15" spans="1:8" ht="21.75" customHeight="1">
      <c r="A15" s="3" t="str">
        <f>DATA!A6</f>
        <v>GAS</v>
      </c>
      <c r="B15" s="43">
        <f>DATA!B6</f>
        <v>34.408</v>
      </c>
      <c r="C15" s="3"/>
      <c r="D15" s="43">
        <f>DATA!$E6*4</f>
        <v>1.86</v>
      </c>
      <c r="E15" s="6">
        <f t="shared" si="0"/>
        <v>0.054057196000930015</v>
      </c>
      <c r="G15" s="69" t="str">
        <f>DATA!A6</f>
        <v>GAS</v>
      </c>
      <c r="H15">
        <v>0.055</v>
      </c>
    </row>
    <row r="16" spans="1:8" ht="21.75" customHeight="1">
      <c r="A16" s="3" t="str">
        <f>DATA!A7</f>
        <v>NI</v>
      </c>
      <c r="B16" s="43">
        <f>DATA!B7</f>
        <v>10.988666666666665</v>
      </c>
      <c r="C16" s="3"/>
      <c r="D16" s="43">
        <f>DATA!$E7*4</f>
        <v>0.92</v>
      </c>
      <c r="E16" s="6">
        <f t="shared" si="0"/>
        <v>0.0837226233088637</v>
      </c>
      <c r="G16" s="69" t="str">
        <f>DATA!A7</f>
        <v>NI</v>
      </c>
      <c r="H16">
        <v>0.085</v>
      </c>
    </row>
    <row r="17" spans="1:16" ht="21.75" customHeight="1">
      <c r="A17" s="3" t="str">
        <f>DATA!A8</f>
        <v>NWN</v>
      </c>
      <c r="B17" s="43">
        <f>DATA!B8</f>
        <v>43.47533333333333</v>
      </c>
      <c r="C17" s="3"/>
      <c r="D17" s="43">
        <f>DATA!$E8*4</f>
        <v>1.58</v>
      </c>
      <c r="E17" s="6">
        <f t="shared" si="0"/>
        <v>0.03634244705810191</v>
      </c>
      <c r="G17" s="69" t="str">
        <f>DATA!A8</f>
        <v>NWN</v>
      </c>
      <c r="H17">
        <v>0.038</v>
      </c>
      <c r="P17">
        <f>I17+M17</f>
        <v>0</v>
      </c>
    </row>
    <row r="18" spans="1:16" ht="21.75" customHeight="1">
      <c r="A18" s="3" t="str">
        <f>DATA!A9</f>
        <v>PNY</v>
      </c>
      <c r="B18" s="43">
        <f>DATA!B9</f>
        <v>29.67566666666666</v>
      </c>
      <c r="C18" s="3" t="s">
        <v>5</v>
      </c>
      <c r="D18" s="43">
        <f>DATA!$E9*4*(1+'Sch3,p3'!L15)</f>
        <v>1.100192130477271</v>
      </c>
      <c r="E18" s="6">
        <f t="shared" si="0"/>
        <v>0.037073880861219786</v>
      </c>
      <c r="G18" s="69" t="str">
        <f>DATA!A9</f>
        <v>PNY</v>
      </c>
      <c r="H18">
        <v>0.038</v>
      </c>
      <c r="P18">
        <f>I18+M18</f>
        <v>0</v>
      </c>
    </row>
    <row r="19" spans="1:16" ht="21.75" customHeight="1">
      <c r="A19" s="3" t="str">
        <f>DATA!A10</f>
        <v>SJI</v>
      </c>
      <c r="B19" s="43">
        <f>DATA!B10</f>
        <v>37.17166666666667</v>
      </c>
      <c r="C19" s="3"/>
      <c r="D19" s="43">
        <f>DATA!$E10*4</f>
        <v>1.192</v>
      </c>
      <c r="E19" s="6">
        <f t="shared" si="0"/>
        <v>0.032067434874232165</v>
      </c>
      <c r="G19" s="69" t="str">
        <f>DATA!A10</f>
        <v>SJI</v>
      </c>
      <c r="H19">
        <v>0.031</v>
      </c>
      <c r="P19">
        <f>I19+M19</f>
        <v>0</v>
      </c>
    </row>
    <row r="20" spans="1:16" ht="21.75" customHeight="1">
      <c r="A20" s="3" t="str">
        <f>DATA!A11</f>
        <v>SWX</v>
      </c>
      <c r="B20" s="43">
        <f>DATA!B11</f>
        <v>24.576666666666668</v>
      </c>
      <c r="C20" s="3" t="s">
        <v>5</v>
      </c>
      <c r="D20" s="43">
        <f>DATA!$E11*4*(1+'Sch3,p3'!L17)</f>
        <v>0.9488863081513632</v>
      </c>
      <c r="E20" s="6">
        <f t="shared" si="0"/>
        <v>0.03860923537846317</v>
      </c>
      <c r="G20" s="69" t="str">
        <f>DATA!A11</f>
        <v>SWX</v>
      </c>
      <c r="H20">
        <v>0.037</v>
      </c>
      <c r="P20">
        <f>I20+M20</f>
        <v>0</v>
      </c>
    </row>
    <row r="21" spans="1:8" ht="21.75" customHeight="1">
      <c r="A21" s="3" t="str">
        <f>DATA!A12</f>
        <v>WGL</v>
      </c>
      <c r="B21" s="43">
        <f>DATA!B12</f>
        <v>31.78700000000001</v>
      </c>
      <c r="C21" s="3" t="s">
        <v>5</v>
      </c>
      <c r="D21" s="43">
        <f>DATA!$E12*4*(1+'Sch3,p3'!L18)</f>
        <v>1.5060148740050965</v>
      </c>
      <c r="E21" s="6">
        <f t="shared" si="0"/>
        <v>0.04737832680042458</v>
      </c>
      <c r="G21" s="69" t="str">
        <f>DATA!A12</f>
        <v>WGL</v>
      </c>
      <c r="H21">
        <v>0.046</v>
      </c>
    </row>
    <row r="22" spans="1:16" ht="21.75" customHeight="1">
      <c r="A22" s="3" t="str">
        <f>DATA!A13</f>
        <v>CPK</v>
      </c>
      <c r="B22" s="43">
        <f>DATA!B13</f>
        <v>30.599000000000004</v>
      </c>
      <c r="C22" s="3"/>
      <c r="D22" s="43">
        <f>DATA!$E13*4</f>
        <v>1.22</v>
      </c>
      <c r="E22" s="16">
        <f t="shared" si="0"/>
        <v>0.03987058400601326</v>
      </c>
      <c r="G22" s="69" t="str">
        <f>DATA!A13</f>
        <v>CPK</v>
      </c>
      <c r="H22">
        <v>0.038</v>
      </c>
      <c r="P22">
        <f>I22+M22</f>
        <v>0</v>
      </c>
    </row>
    <row r="23" spans="1:5" ht="21.75" customHeight="1">
      <c r="A23" s="3"/>
      <c r="B23" s="43"/>
      <c r="C23" s="3"/>
      <c r="D23" s="43"/>
      <c r="E23" s="16"/>
    </row>
    <row r="24" spans="1:8" ht="12.75">
      <c r="A24" s="3"/>
      <c r="B24" s="43"/>
      <c r="C24" s="3"/>
      <c r="D24" s="44" t="s">
        <v>68</v>
      </c>
      <c r="E24" s="35">
        <f>AVERAGE(E14:E22)</f>
        <v>0.0474851209013878</v>
      </c>
      <c r="H24" s="48">
        <f>AVERAGE(H14:H22)</f>
        <v>0.047</v>
      </c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3" ht="12.75">
      <c r="A27" s="3"/>
      <c r="B27" s="3"/>
      <c r="C27" s="3"/>
    </row>
    <row r="28" spans="1:5" ht="12.75">
      <c r="A28" s="1" t="s">
        <v>189</v>
      </c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59"/>
      <c r="B30" s="60"/>
      <c r="C30" s="60"/>
      <c r="D30" s="60"/>
      <c r="E30" s="60"/>
    </row>
  </sheetData>
  <printOptions/>
  <pageMargins left="1.29" right="0.75" top="1" bottom="1" header="0.5" footer="0.5"/>
  <pageSetup orientation="portrait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4" sqref="E4"/>
    </sheetView>
  </sheetViews>
  <sheetFormatPr defaultColWidth="9.00390625" defaultRowHeight="12"/>
  <cols>
    <col min="1" max="2" width="18.875" style="0" customWidth="1"/>
    <col min="3" max="3" width="3.375" style="0" customWidth="1"/>
    <col min="4" max="5" width="18.875" style="0" customWidth="1"/>
    <col min="6" max="16384" width="11.375" style="0" customWidth="1"/>
  </cols>
  <sheetData>
    <row r="1" spans="1:5" ht="12.75">
      <c r="A1" s="3"/>
      <c r="B1" s="6"/>
      <c r="C1" s="6"/>
      <c r="D1" s="6"/>
      <c r="E1" s="6" t="s">
        <v>190</v>
      </c>
    </row>
    <row r="2" spans="1:5" ht="12.75">
      <c r="A2" s="3"/>
      <c r="B2" s="6"/>
      <c r="C2" s="6"/>
      <c r="D2" s="6"/>
      <c r="E2" s="6" t="s">
        <v>61</v>
      </c>
    </row>
    <row r="3" spans="1:5" ht="12.75">
      <c r="A3" s="3"/>
      <c r="B3" s="6"/>
      <c r="C3" s="6"/>
      <c r="D3" s="6"/>
      <c r="E3" s="6" t="s">
        <v>144</v>
      </c>
    </row>
    <row r="4" spans="1:5" ht="12.75">
      <c r="A4" s="3"/>
      <c r="B4" s="6"/>
      <c r="C4" s="6"/>
      <c r="D4" s="6"/>
      <c r="E4" s="6"/>
    </row>
    <row r="5" spans="1:5" ht="12.75">
      <c r="A5" s="3"/>
      <c r="B5" s="6"/>
      <c r="C5" s="35" t="str">
        <f>DATA!A1</f>
        <v>KENTUCKY-AMERICAN WATER COMPANY</v>
      </c>
      <c r="D5" s="6"/>
      <c r="E5" s="6"/>
    </row>
    <row r="6" spans="1:5" ht="12.75">
      <c r="A6" s="3"/>
      <c r="B6" s="6"/>
      <c r="C6" s="35"/>
      <c r="D6" s="6"/>
      <c r="E6" s="6"/>
    </row>
    <row r="7" spans="1:5" ht="12.75">
      <c r="A7" s="3"/>
      <c r="B7" s="6"/>
      <c r="C7" s="35" t="s">
        <v>69</v>
      </c>
      <c r="D7" s="6"/>
      <c r="E7" s="6"/>
    </row>
    <row r="8" spans="1:5" ht="12.75">
      <c r="A8" s="3"/>
      <c r="B8" s="6"/>
      <c r="C8" s="6" t="s">
        <v>118</v>
      </c>
      <c r="D8" s="6"/>
      <c r="E8" s="6"/>
    </row>
    <row r="9" spans="1:5" ht="12.75">
      <c r="A9" s="3"/>
      <c r="B9" s="6"/>
      <c r="C9" s="6"/>
      <c r="D9" s="6"/>
      <c r="E9" s="6"/>
    </row>
    <row r="10" spans="1:5" ht="12.75">
      <c r="A10" s="3"/>
      <c r="B10" s="6" t="s">
        <v>77</v>
      </c>
      <c r="C10" s="6"/>
      <c r="D10" s="6" t="s">
        <v>78</v>
      </c>
      <c r="E10" s="6" t="s">
        <v>79</v>
      </c>
    </row>
    <row r="11" spans="1:5" ht="12.75">
      <c r="A11" s="17" t="s">
        <v>92</v>
      </c>
      <c r="B11" s="16" t="s">
        <v>133</v>
      </c>
      <c r="C11" s="16"/>
      <c r="D11" s="16" t="s">
        <v>61</v>
      </c>
      <c r="E11" s="16" t="s">
        <v>187</v>
      </c>
    </row>
    <row r="12" spans="1:5" ht="12.75">
      <c r="A12" s="3"/>
      <c r="B12" s="6"/>
      <c r="C12" s="6"/>
      <c r="D12" s="6"/>
      <c r="E12" s="6"/>
    </row>
    <row r="13" spans="1:5" ht="12.75">
      <c r="A13" s="3"/>
      <c r="B13" s="6"/>
      <c r="C13" s="6"/>
      <c r="D13" s="6"/>
      <c r="E13" s="6"/>
    </row>
    <row r="14" spans="1:5" ht="21.75" customHeight="1">
      <c r="A14" s="3" t="str">
        <f>DATA!A5</f>
        <v>ATG</v>
      </c>
      <c r="B14" s="6">
        <f>Sch4p2!E14</f>
        <v>0.0582443598242417</v>
      </c>
      <c r="C14" s="6"/>
      <c r="D14" s="6">
        <f>'Sch3,p3'!L11</f>
        <v>0.0475201888707471</v>
      </c>
      <c r="E14" s="6">
        <f aca="true" t="shared" si="0" ref="E14:E22">B14+D14</f>
        <v>0.1057645486949888</v>
      </c>
    </row>
    <row r="15" spans="1:5" ht="21.75" customHeight="1">
      <c r="A15" s="3" t="str">
        <f>DATA!A6</f>
        <v>GAS</v>
      </c>
      <c r="B15" s="6">
        <f>Sch4p2!E15</f>
        <v>0.054057196000930015</v>
      </c>
      <c r="C15" s="6"/>
      <c r="D15" s="6">
        <f>'Sch3,p3'!L12</f>
        <v>0.0475</v>
      </c>
      <c r="E15" s="6">
        <f t="shared" si="0"/>
        <v>0.10155719600093002</v>
      </c>
    </row>
    <row r="16" spans="1:5" ht="21.75" customHeight="1">
      <c r="A16" s="3" t="str">
        <f>DATA!A7</f>
        <v>NI</v>
      </c>
      <c r="B16" s="6">
        <f>Sch4p2!E16</f>
        <v>0.0837226233088637</v>
      </c>
      <c r="C16" s="6"/>
      <c r="D16" s="6">
        <f>'Sch3,p3'!L13</f>
        <v>0.016468482679123944</v>
      </c>
      <c r="E16" s="6">
        <f t="shared" si="0"/>
        <v>0.10019110598798764</v>
      </c>
    </row>
    <row r="17" spans="1:5" ht="21.75" customHeight="1">
      <c r="A17" s="3" t="str">
        <f>DATA!A8</f>
        <v>NWN</v>
      </c>
      <c r="B17" s="6">
        <f>Sch4p2!E17</f>
        <v>0.03634244705810191</v>
      </c>
      <c r="C17" s="6"/>
      <c r="D17" s="6">
        <f>'Sch3,p3'!L14</f>
        <v>0.05592010028675264</v>
      </c>
      <c r="E17" s="6">
        <f t="shared" si="0"/>
        <v>0.09226254734485456</v>
      </c>
    </row>
    <row r="18" spans="1:5" ht="21.75" customHeight="1">
      <c r="A18" s="3" t="str">
        <f>DATA!A9</f>
        <v>PNY</v>
      </c>
      <c r="B18" s="6">
        <f>Sch4p2!E18</f>
        <v>0.037073880861219786</v>
      </c>
      <c r="C18" s="6"/>
      <c r="D18" s="6">
        <f>'Sch3,p3'!L15</f>
        <v>0.057877048535837444</v>
      </c>
      <c r="E18" s="6">
        <f t="shared" si="0"/>
        <v>0.09495092939705724</v>
      </c>
    </row>
    <row r="19" spans="1:5" ht="21.75" customHeight="1">
      <c r="A19" s="3" t="str">
        <f>DATA!A10</f>
        <v>SJI</v>
      </c>
      <c r="B19" s="6">
        <f>Sch4p2!E19</f>
        <v>0.032067434874232165</v>
      </c>
      <c r="C19" s="6"/>
      <c r="D19" s="6">
        <f>'Sch3,p3'!L16</f>
        <v>0.07566493296865892</v>
      </c>
      <c r="E19" s="6">
        <f t="shared" si="0"/>
        <v>0.10773236784289109</v>
      </c>
    </row>
    <row r="20" spans="1:5" ht="21.75" customHeight="1">
      <c r="A20" s="3" t="str">
        <f>DATA!A11</f>
        <v>SWX</v>
      </c>
      <c r="B20" s="6">
        <f>Sch4p2!E20</f>
        <v>0.03860923537846317</v>
      </c>
      <c r="C20" s="6"/>
      <c r="D20" s="6">
        <f>'Sch3,p3'!L17</f>
        <v>0.0543181201681812</v>
      </c>
      <c r="E20" s="6">
        <f t="shared" si="0"/>
        <v>0.09292735554664437</v>
      </c>
    </row>
    <row r="21" spans="1:5" ht="21.75" customHeight="1">
      <c r="A21" s="3" t="str">
        <f>DATA!A12</f>
        <v>WGL</v>
      </c>
      <c r="B21" s="6">
        <f>Sch4p2!E21</f>
        <v>0.04737832680042458</v>
      </c>
      <c r="C21" s="6"/>
      <c r="D21" s="6">
        <f>'Sch3,p3'!L18</f>
        <v>0.04584366250353918</v>
      </c>
      <c r="E21" s="6">
        <f t="shared" si="0"/>
        <v>0.09322198930396376</v>
      </c>
    </row>
    <row r="22" spans="1:5" ht="21.75" customHeight="1">
      <c r="A22" s="3" t="str">
        <f>DATA!A13</f>
        <v>CPK</v>
      </c>
      <c r="B22" s="6">
        <f>Sch4p2!E22</f>
        <v>0.03987058400601326</v>
      </c>
      <c r="C22" s="6"/>
      <c r="D22" s="6">
        <f>'Sch3,p3'!L19</f>
        <v>0.06058776430602308</v>
      </c>
      <c r="E22" s="16">
        <f t="shared" si="0"/>
        <v>0.10045834831203634</v>
      </c>
    </row>
    <row r="23" spans="1:5" ht="21.75" customHeight="1">
      <c r="A23" s="3"/>
      <c r="B23" s="6"/>
      <c r="C23" s="6"/>
      <c r="D23" s="6"/>
      <c r="E23" s="6"/>
    </row>
    <row r="24" spans="1:5" ht="12.75">
      <c r="A24" s="3"/>
      <c r="B24" s="6"/>
      <c r="C24" s="6"/>
      <c r="D24" s="6"/>
      <c r="E24" s="6"/>
    </row>
    <row r="25" spans="1:7" ht="12.75">
      <c r="A25" s="3"/>
      <c r="B25" s="6"/>
      <c r="C25" s="6"/>
      <c r="D25" s="34" t="s">
        <v>68</v>
      </c>
      <c r="E25" s="35">
        <f>AVERAGE(E14:E22)</f>
        <v>0.09878515427015042</v>
      </c>
      <c r="G25" s="48"/>
    </row>
    <row r="26" spans="1:5" ht="12.75">
      <c r="A26" s="3"/>
      <c r="B26" s="6"/>
      <c r="C26" s="6"/>
      <c r="D26" s="6"/>
      <c r="E26" s="35"/>
    </row>
    <row r="27" spans="1:5" ht="12.75">
      <c r="A27" s="3"/>
      <c r="B27" s="6"/>
      <c r="C27" s="6"/>
      <c r="D27" s="34" t="s">
        <v>180</v>
      </c>
      <c r="E27" s="35">
        <f>STDEV(E14:E22)</f>
        <v>0.005741660941651107</v>
      </c>
    </row>
  </sheetData>
  <printOptions/>
  <pageMargins left="0.97" right="0.75" top="1" bottom="1" header="0.5" footer="0.5"/>
  <pageSetup orientation="portrait"/>
  <headerFooter alignWithMargins="0">
    <oddFooter>&amp;L&amp;C&amp;R&amp;"Times,Regular"&amp;12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49" sqref="A49"/>
    </sheetView>
  </sheetViews>
  <sheetFormatPr defaultColWidth="9.00390625" defaultRowHeight="12"/>
  <cols>
    <col min="1" max="1" width="24.375" style="0" customWidth="1"/>
    <col min="2" max="2" width="11.375" style="0" customWidth="1"/>
    <col min="3" max="3" width="1.875" style="0" customWidth="1"/>
    <col min="4" max="4" width="24.125" style="0" customWidth="1"/>
    <col min="5" max="5" width="16.125" style="0" customWidth="1"/>
    <col min="6" max="16384" width="11.375" style="0" customWidth="1"/>
  </cols>
  <sheetData>
    <row r="1" spans="1:5" ht="12.75">
      <c r="A1" s="1"/>
      <c r="B1" s="8"/>
      <c r="C1" s="1"/>
      <c r="D1" s="1"/>
      <c r="E1" s="3" t="s">
        <v>195</v>
      </c>
    </row>
    <row r="2" spans="1:5" ht="12.75">
      <c r="A2" s="1"/>
      <c r="B2" s="8"/>
      <c r="C2" s="1"/>
      <c r="D2" s="1"/>
      <c r="E2" s="3" t="s">
        <v>204</v>
      </c>
    </row>
    <row r="3" spans="1:5" ht="12.75">
      <c r="A3" s="1"/>
      <c r="B3" s="8"/>
      <c r="C3" s="1"/>
      <c r="D3" s="1"/>
      <c r="E3" s="3" t="s">
        <v>144</v>
      </c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D5" s="1"/>
      <c r="E5" s="1"/>
    </row>
    <row r="6" spans="1:5" ht="12.75">
      <c r="A6" s="1"/>
      <c r="B6" s="1"/>
      <c r="D6" s="1"/>
      <c r="E6" s="1"/>
    </row>
    <row r="7" spans="1:5" ht="12.75">
      <c r="A7" s="1"/>
      <c r="B7" s="1"/>
      <c r="C7" s="9" t="str">
        <f>DATA!A1</f>
        <v>KENTUCKY-AMERICAN WATER COMPANY</v>
      </c>
      <c r="D7" s="1"/>
      <c r="E7" s="1"/>
    </row>
    <row r="8" spans="1:5" ht="12.75">
      <c r="A8" s="1"/>
      <c r="B8" s="1"/>
      <c r="C8" s="9"/>
      <c r="D8" s="1"/>
      <c r="E8" s="1"/>
    </row>
    <row r="9" spans="1:5" ht="12.75">
      <c r="A9" s="1"/>
      <c r="C9" s="9" t="s">
        <v>0</v>
      </c>
      <c r="E9" s="1"/>
    </row>
    <row r="10" spans="1:5" ht="12.75">
      <c r="A10" s="1"/>
      <c r="C10" s="3" t="s">
        <v>119</v>
      </c>
      <c r="E10" s="1"/>
    </row>
    <row r="11" spans="1:5" ht="12.75">
      <c r="A11" s="1"/>
      <c r="C11" s="3"/>
      <c r="E11" s="1"/>
    </row>
    <row r="12" spans="1:5" ht="12.75">
      <c r="A12" s="1"/>
      <c r="E12" s="1"/>
    </row>
    <row r="13" spans="1:5" ht="12.75">
      <c r="A13" s="1"/>
      <c r="E13" s="1"/>
    </row>
    <row r="14" spans="1:5" ht="12.75">
      <c r="A14" s="1"/>
      <c r="E14" s="1"/>
    </row>
    <row r="15" spans="1:5" ht="12.75">
      <c r="A15" s="1"/>
      <c r="B15" s="1"/>
      <c r="C15" s="9" t="s">
        <v>126</v>
      </c>
      <c r="D15" s="1"/>
      <c r="E15" s="1"/>
    </row>
    <row r="16" spans="1:5" ht="12.75">
      <c r="A16" s="1"/>
      <c r="B16" s="1"/>
      <c r="C16" s="1"/>
      <c r="D16" s="1"/>
      <c r="E16" s="1"/>
    </row>
    <row r="17" spans="2:4" ht="12.75">
      <c r="B17" s="65" t="s">
        <v>124</v>
      </c>
      <c r="C17" s="1"/>
      <c r="D17" s="1"/>
    </row>
    <row r="18" spans="2:5" ht="12.75">
      <c r="B18" s="1"/>
      <c r="C18" s="1"/>
      <c r="D18" s="1"/>
      <c r="E18" s="1"/>
    </row>
    <row r="19" spans="2:5" ht="12.75">
      <c r="B19" s="44" t="s">
        <v>16</v>
      </c>
      <c r="C19" s="1" t="s">
        <v>169</v>
      </c>
      <c r="D19" s="7">
        <v>0.03</v>
      </c>
      <c r="E19" s="1"/>
    </row>
    <row r="20" spans="2:5" ht="12.75">
      <c r="B20" s="44" t="s">
        <v>17</v>
      </c>
      <c r="C20" s="1" t="s">
        <v>169</v>
      </c>
      <c r="D20" s="7" t="s">
        <v>125</v>
      </c>
      <c r="E20" s="1"/>
    </row>
    <row r="21" spans="2:5" ht="12.75">
      <c r="B21" s="44" t="s">
        <v>17</v>
      </c>
      <c r="C21" s="1" t="s">
        <v>169</v>
      </c>
      <c r="D21" s="7" t="s">
        <v>20</v>
      </c>
      <c r="E21" s="1"/>
    </row>
    <row r="22" spans="2:14" ht="12.75">
      <c r="B22" s="44" t="s">
        <v>147</v>
      </c>
      <c r="C22" s="1" t="s">
        <v>169</v>
      </c>
      <c r="D22" s="7">
        <v>0.053</v>
      </c>
      <c r="E22" s="18"/>
      <c r="K22" t="s">
        <v>129</v>
      </c>
      <c r="M22" t="s">
        <v>130</v>
      </c>
      <c r="N22" t="s">
        <v>114</v>
      </c>
    </row>
    <row r="23" spans="2:14" ht="12.75">
      <c r="B23" s="44" t="s">
        <v>146</v>
      </c>
      <c r="C23" s="1" t="s">
        <v>169</v>
      </c>
      <c r="D23" s="33">
        <f>DATA!C21</f>
        <v>0.7166666666666667</v>
      </c>
      <c r="E23" s="1"/>
      <c r="K23" t="s">
        <v>65</v>
      </c>
      <c r="L23" t="s">
        <v>66</v>
      </c>
      <c r="M23" t="s">
        <v>67</v>
      </c>
      <c r="N23" t="s">
        <v>75</v>
      </c>
    </row>
    <row r="24" spans="5:14" ht="12.75">
      <c r="E24" s="1"/>
      <c r="K24" s="66">
        <v>38339</v>
      </c>
      <c r="L24" s="48">
        <v>0.0001</v>
      </c>
      <c r="M24" s="48">
        <v>0.0309</v>
      </c>
      <c r="N24" s="48">
        <v>0.0755</v>
      </c>
    </row>
    <row r="25" spans="2:14" ht="12.75">
      <c r="B25" s="44"/>
      <c r="C25" s="1"/>
      <c r="D25" s="19"/>
      <c r="E25" s="1"/>
      <c r="G25" s="77">
        <f>D23*0.05</f>
        <v>0.035833333333333335</v>
      </c>
      <c r="H25" s="76">
        <f>G25+D19</f>
        <v>0.06583333333333333</v>
      </c>
      <c r="K25" s="66">
        <v>38711</v>
      </c>
      <c r="L25" s="48">
        <v>0.0001</v>
      </c>
      <c r="M25" s="48">
        <v>0.0265</v>
      </c>
      <c r="N25" s="48">
        <v>0.0709</v>
      </c>
    </row>
    <row r="26" spans="2:14" ht="12.75">
      <c r="B26" s="44" t="s">
        <v>1</v>
      </c>
      <c r="C26" s="1" t="s">
        <v>169</v>
      </c>
      <c r="D26" s="19" t="s">
        <v>202</v>
      </c>
      <c r="E26" s="1"/>
      <c r="G26" s="77">
        <f>D23*D22</f>
        <v>0.037983333333333334</v>
      </c>
      <c r="H26" s="76">
        <f>G26+D19</f>
        <v>0.06798333333333334</v>
      </c>
      <c r="K26" s="66">
        <v>38353</v>
      </c>
      <c r="L26" s="48">
        <v>0.0001</v>
      </c>
      <c r="M26" s="48">
        <v>0.0263</v>
      </c>
      <c r="N26" s="48">
        <v>0.0707</v>
      </c>
    </row>
    <row r="27" spans="2:14" ht="12.75">
      <c r="B27" s="44" t="s">
        <v>1</v>
      </c>
      <c r="C27" s="1" t="s">
        <v>169</v>
      </c>
      <c r="D27" s="19" t="s">
        <v>101</v>
      </c>
      <c r="E27" s="1"/>
      <c r="G27" s="77">
        <f>D23*0.065</f>
        <v>0.04658333333333334</v>
      </c>
      <c r="H27" s="76">
        <f>G27+D19</f>
        <v>0.07658333333333334</v>
      </c>
      <c r="K27" s="66">
        <v>38360</v>
      </c>
      <c r="L27" s="48">
        <v>0.0009</v>
      </c>
      <c r="M27" s="48">
        <v>0.0256</v>
      </c>
      <c r="N27" s="48">
        <v>0.0658</v>
      </c>
    </row>
    <row r="28" spans="2:14" ht="12.75">
      <c r="B28" s="67" t="s">
        <v>1</v>
      </c>
      <c r="C28" s="65" t="s">
        <v>169</v>
      </c>
      <c r="D28" s="31" t="s">
        <v>103</v>
      </c>
      <c r="E28" s="1"/>
      <c r="K28" s="66">
        <v>38367</v>
      </c>
      <c r="L28" s="48">
        <v>0.0009</v>
      </c>
      <c r="M28" s="48">
        <v>0.0304</v>
      </c>
      <c r="N28" s="48">
        <v>0.0672</v>
      </c>
    </row>
    <row r="29" spans="5:14" ht="12.75">
      <c r="E29" s="1"/>
      <c r="K29" s="66">
        <v>38374</v>
      </c>
      <c r="L29" s="48">
        <v>0.0009</v>
      </c>
      <c r="M29" s="48">
        <v>0.0289</v>
      </c>
      <c r="N29" s="48">
        <v>0.066</v>
      </c>
    </row>
    <row r="30" spans="12:14" ht="12">
      <c r="L30" s="48"/>
      <c r="M30" s="48"/>
      <c r="N30" s="48"/>
    </row>
    <row r="31" spans="1:14" ht="12.75">
      <c r="A31" s="68"/>
      <c r="K31" t="s">
        <v>172</v>
      </c>
      <c r="L31" s="48">
        <f>AVERAGE(L24:L29)</f>
        <v>0.0005</v>
      </c>
      <c r="M31" s="48">
        <f>AVERAGE(M24:M29)</f>
        <v>0.0281</v>
      </c>
      <c r="N31" s="48">
        <f>AVERAGE(N24:N29)</f>
        <v>0.06935000000000001</v>
      </c>
    </row>
    <row r="32" ht="12.75">
      <c r="A32" s="1"/>
    </row>
    <row r="33" ht="12.75">
      <c r="A33" s="1" t="s">
        <v>111</v>
      </c>
    </row>
    <row r="34" ht="12.75">
      <c r="A34" s="68" t="s">
        <v>148</v>
      </c>
    </row>
    <row r="35" ht="12.75">
      <c r="A35" s="68" t="s">
        <v>10</v>
      </c>
    </row>
    <row r="36" ht="12.75">
      <c r="A36" s="18" t="s">
        <v>11</v>
      </c>
    </row>
    <row r="42" ht="12">
      <c r="G42">
        <f>0.0419+0.81*0.053</f>
        <v>0.08483</v>
      </c>
    </row>
    <row r="43" ht="12">
      <c r="G43">
        <f>0.0899-G42</f>
        <v>0.005069999999999991</v>
      </c>
    </row>
  </sheetData>
  <printOptions/>
  <pageMargins left="1.05" right="0.75" top="1" bottom="1" header="0.42" footer="0.5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DSPENARD</cp:lastModifiedBy>
  <cp:lastPrinted>2009-02-03T19:16:14Z</cp:lastPrinted>
  <dcterms:created xsi:type="dcterms:W3CDTF">1999-05-05T16:36:35Z</dcterms:created>
  <dcterms:modified xsi:type="dcterms:W3CDTF">2009-02-20T20:12:24Z</dcterms:modified>
  <cp:category/>
  <cp:version/>
  <cp:contentType/>
  <cp:contentStatus/>
</cp:coreProperties>
</file>