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960" windowHeight="6540" activeTab="0"/>
  </bookViews>
  <sheets>
    <sheet name="2008" sheetId="1" r:id="rId1"/>
    <sheet name="2007" sheetId="2" r:id="rId2"/>
    <sheet name="2006" sheetId="3" r:id="rId3"/>
    <sheet name="2005" sheetId="4" r:id="rId4"/>
    <sheet name="2004" sheetId="5" r:id="rId5"/>
    <sheet name="2003" sheetId="6" r:id="rId6"/>
    <sheet name="2002" sheetId="7" r:id="rId7"/>
    <sheet name="2001" sheetId="8" r:id="rId8"/>
    <sheet name="2000" sheetId="9" r:id="rId9"/>
    <sheet name="1999" sheetId="10" r:id="rId10"/>
  </sheets>
  <externalReferences>
    <externalReference r:id="rId13"/>
    <externalReference r:id="rId14"/>
  </externalReferences>
  <definedNames>
    <definedName name="PRINT_AR01">#REF!</definedName>
    <definedName name="PRINT_AR02">#REF!</definedName>
    <definedName name="PRINT_AR03">#REF!</definedName>
    <definedName name="PRINT_AR04">#REF!</definedName>
    <definedName name="PRINT_AR05">#REF!</definedName>
    <definedName name="PRINT_AR06">#REF!</definedName>
    <definedName name="PRINT_AR07">#REF!</definedName>
    <definedName name="PRINT_AR08">#REF!</definedName>
    <definedName name="PRINT_AR09">#REF!</definedName>
    <definedName name="PRINT_AR10">#REF!</definedName>
    <definedName name="_xlnm.Print_Area" localSheetId="4">'2004'!$A$1:$X$79</definedName>
    <definedName name="_xlnm.Print_Area" localSheetId="3">'2005'!$A$1:$X$80</definedName>
    <definedName name="_xlnm.Print_Area" localSheetId="2">'2006'!$A$1:$X$87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<sst xmlns="http://schemas.openxmlformats.org/spreadsheetml/2006/main" count="2045" uniqueCount="375">
  <si>
    <t>Attachment A</t>
  </si>
  <si>
    <t>PSC Data Request 1</t>
  </si>
  <si>
    <t xml:space="preserve">As of </t>
  </si>
  <si>
    <t>Type of Filing:_X__Original _____Updated _____Revised</t>
  </si>
  <si>
    <t>Workpaper Reference No(s).:______________________</t>
  </si>
  <si>
    <t>Witness Responsible:</t>
  </si>
  <si>
    <t>Linda Bridwell</t>
  </si>
  <si>
    <t>ORIGINAL</t>
  </si>
  <si>
    <t>ACTUAL</t>
  </si>
  <si>
    <t xml:space="preserve">          ORIGINAL</t>
  </si>
  <si>
    <t>Total</t>
  </si>
  <si>
    <t>Date</t>
  </si>
  <si>
    <t>PROJECT</t>
  </si>
  <si>
    <t xml:space="preserve">            BUDGET</t>
  </si>
  <si>
    <t>Annual</t>
  </si>
  <si>
    <t>Percent</t>
  </si>
  <si>
    <t>Actual</t>
  </si>
  <si>
    <t>Budget</t>
  </si>
  <si>
    <t>Original</t>
  </si>
  <si>
    <t>BUDGET PROJECTS</t>
  </si>
  <si>
    <t>EXPLANATION</t>
  </si>
  <si>
    <t>COST</t>
  </si>
  <si>
    <t>START</t>
  </si>
  <si>
    <t>END</t>
  </si>
  <si>
    <t>Variance</t>
  </si>
  <si>
    <t xml:space="preserve">of </t>
  </si>
  <si>
    <t>Project</t>
  </si>
  <si>
    <t>Item</t>
  </si>
  <si>
    <t>Description</t>
  </si>
  <si>
    <t>Dollars</t>
  </si>
  <si>
    <t>Cost</t>
  </si>
  <si>
    <t>Start</t>
  </si>
  <si>
    <t>End</t>
  </si>
  <si>
    <t>TOTAL</t>
  </si>
  <si>
    <t>SERVICES</t>
  </si>
  <si>
    <t>GRAND TOTAL COMPLETED BP'S</t>
  </si>
  <si>
    <t>TRANSPORTATION EQUIPMENT</t>
  </si>
  <si>
    <t>GENERAL EQUIPMENT</t>
  </si>
  <si>
    <t>MISCELLANEOUS</t>
  </si>
  <si>
    <t>92-12</t>
  </si>
  <si>
    <t xml:space="preserve">DEVELOP OHIO RIVER SUPPLY </t>
  </si>
  <si>
    <t>96-02</t>
  </si>
  <si>
    <t>NEW CIRCLE ROAD AT WINCHESTER ROAD</t>
  </si>
  <si>
    <t>96-12</t>
  </si>
  <si>
    <t>96-17</t>
  </si>
  <si>
    <t>BUSINESS SYSTEMS SOFTWARE</t>
  </si>
  <si>
    <t>96-18</t>
  </si>
  <si>
    <t>AVON TANK AND BOOSTER PUMP</t>
  </si>
  <si>
    <t>96-19</t>
  </si>
  <si>
    <t>CUSTOMER SERVICE SOFTWARE</t>
  </si>
  <si>
    <t>Project delayed by KYDOT</t>
  </si>
  <si>
    <t xml:space="preserve">     FOR THE YEAR 1999</t>
  </si>
  <si>
    <t>97-03</t>
  </si>
  <si>
    <t>97-05</t>
  </si>
  <si>
    <t>97-08</t>
  </si>
  <si>
    <t>AIR GAPS ON KRS FILTER TO WASTE</t>
  </si>
  <si>
    <t>SCOTT COUNTY MAINS</t>
  </si>
  <si>
    <t>CHEMICAL SYSTEMS IMPROVEMENTS</t>
  </si>
  <si>
    <t>KRS - ADDITIONAL RESIDUALS HANDLING FAC.</t>
  </si>
  <si>
    <t>Project completed as proposed</t>
  </si>
  <si>
    <t>98-01</t>
  </si>
  <si>
    <t>98-02</t>
  </si>
  <si>
    <t>98-03</t>
  </si>
  <si>
    <t>98-05</t>
  </si>
  <si>
    <t>98-06</t>
  </si>
  <si>
    <t>98-08</t>
  </si>
  <si>
    <t>98-09</t>
  </si>
  <si>
    <t>98-10</t>
  </si>
  <si>
    <t>98-12</t>
  </si>
  <si>
    <t>INTEGRATED RESOUCE PLAN</t>
  </si>
  <si>
    <t>16" FROM CLAYS MILL TO HARRODSBURG ROAD</t>
  </si>
  <si>
    <t>REPLACE HIGH SERVICE PUMP # 11</t>
  </si>
  <si>
    <t>4,000' OF 12" LEESTOWN ROAD</t>
  </si>
  <si>
    <t>DISINFECTION BYPRODUCT STUDY</t>
  </si>
  <si>
    <t>SURGE PROTECTION/KRS</t>
  </si>
  <si>
    <t>UPGRADE CART WINCH AT INTAKE - KRS</t>
  </si>
  <si>
    <t>CLARK COUNTY MAINS IMPROVEMENTS</t>
  </si>
  <si>
    <t>A</t>
  </si>
  <si>
    <t>B</t>
  </si>
  <si>
    <t>C</t>
  </si>
  <si>
    <t>D</t>
  </si>
  <si>
    <t>MAINS &amp; HYDRANTS, DEPOSIT AGREEMENTS</t>
  </si>
  <si>
    <t>MAINS &amp; HYDRANTS, NEW &amp; REPLACEMENT</t>
  </si>
  <si>
    <t>METERS &amp; INSTALLATIONS</t>
  </si>
  <si>
    <t>E</t>
  </si>
  <si>
    <t>F</t>
  </si>
  <si>
    <t>G</t>
  </si>
  <si>
    <t>H</t>
  </si>
  <si>
    <t>OFFICE FURNITURE &amp; EQUIPMENT</t>
  </si>
  <si>
    <t>ENTER ITEM A  AND SUBTRACT</t>
  </si>
  <si>
    <t>99-01</t>
  </si>
  <si>
    <t>99-02</t>
  </si>
  <si>
    <t>99-03</t>
  </si>
  <si>
    <t>99-04</t>
  </si>
  <si>
    <t>99-05</t>
  </si>
  <si>
    <t>99-06</t>
  </si>
  <si>
    <t>99-07</t>
  </si>
  <si>
    <t>99-08</t>
  </si>
  <si>
    <t>NORTH BROADWAY REPLACEMENT</t>
  </si>
  <si>
    <t>REPLACE FILTER VALVES @ KRS</t>
  </si>
  <si>
    <t>REPLACE TANK TELEMETRY WITH RADIO</t>
  </si>
  <si>
    <t>REYNOLDS ROAD 24" RELOCATION</t>
  </si>
  <si>
    <t>BOURBON COUNTY MAIN EXTENSIONS</t>
  </si>
  <si>
    <t>US 62 RELOCATION</t>
  </si>
  <si>
    <t>REINFORCE INTAKE STRUCTURE, PUMP REN. - KRS</t>
  </si>
  <si>
    <t>Project scope revised due to KYDOT redesign</t>
  </si>
  <si>
    <t>Project completed as proposed , electric work exceeded estimate</t>
  </si>
  <si>
    <t>Project completed as proposed  - easement work delayed completion</t>
  </si>
  <si>
    <t>Project cancelled due to Jessamine South Elkhorn moving vault</t>
  </si>
  <si>
    <t>Project completed as proposed, low turbidity delayed completion</t>
  </si>
  <si>
    <t>Project completed as proposed, manufacturer took longer than anticipated</t>
  </si>
  <si>
    <t>Project cancelled due to extremely high bids, will be done in the future</t>
  </si>
  <si>
    <t>Project completed as proposed, developer delayed construction</t>
  </si>
  <si>
    <t>Page 10 of 10</t>
  </si>
  <si>
    <t>Page 6 of 10</t>
  </si>
  <si>
    <t>Page 1 of 10</t>
  </si>
  <si>
    <t>Page 7 of 10</t>
  </si>
  <si>
    <t>Page 8 of 10</t>
  </si>
  <si>
    <t>Page 9 of 10</t>
  </si>
  <si>
    <t>ELECTRIC RENOVATIONS @ KRS, JACOBSON</t>
  </si>
  <si>
    <t xml:space="preserve">     FOR THE YEAR 2000</t>
  </si>
  <si>
    <t xml:space="preserve">     FOR THE YEAR 2001</t>
  </si>
  <si>
    <t xml:space="preserve">     FOR THE YEAR 2002</t>
  </si>
  <si>
    <t xml:space="preserve">     FOR THE YEAR 2003</t>
  </si>
  <si>
    <t>BLUEGRASS WATER PROJECT</t>
  </si>
  <si>
    <t>BACKWASH WASTE SYSTEM - KRS</t>
  </si>
  <si>
    <t>LEESTOWN ROAD (PHASE II)</t>
  </si>
  <si>
    <t>REPLACE TANK TELEMETRY - KRS</t>
  </si>
  <si>
    <t>00-01</t>
  </si>
  <si>
    <t>REBUILD UNDERDRAIN OF KRS FILTERS 5 &amp; 6</t>
  </si>
  <si>
    <t>00-02</t>
  </si>
  <si>
    <t>PARIS PIKE RELCOATION - DESIGN</t>
  </si>
  <si>
    <t>00-03</t>
  </si>
  <si>
    <t>HARRODSBURG ROAD RELOCATION - DESIGN</t>
  </si>
  <si>
    <t>00-04</t>
  </si>
  <si>
    <t>RICHMOND ROAD RELOCATION - DESIGN</t>
  </si>
  <si>
    <t>00-05</t>
  </si>
  <si>
    <t>HARRISON COUNTY MAIN EXTENSION</t>
  </si>
  <si>
    <t>GRAND TOTAL INVESTMENT PROJECTS</t>
  </si>
  <si>
    <t>TOTAL  ITEM B - H</t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</si>
  <si>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</si>
  <si>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</si>
  <si>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</si>
  <si>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</si>
  <si>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</si>
  <si>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</si>
  <si>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</si>
  <si>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</si>
  <si>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</si>
  <si>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</si>
  <si>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</si>
  <si>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PARIS PIKE RELOCATION</t>
  </si>
  <si>
    <t>HARRODSBURG ROAD RELOCATION</t>
  </si>
  <si>
    <t>RICHMOND ROAD RELOCATION</t>
  </si>
  <si>
    <t>SECURITY SYSTEM IMPROVEMENTS</t>
  </si>
  <si>
    <t>GROUND STORAGE TANK - 3.0 MG</t>
  </si>
  <si>
    <t>SCADA IMPROVEMENTS</t>
  </si>
  <si>
    <t>RUSSELL CAVE ROAD TANK - 1.0 MG</t>
  </si>
  <si>
    <t>KRS SLUICE GATE</t>
  </si>
  <si>
    <t>MAJOR HIGHWAY RELOCATIONS</t>
  </si>
  <si>
    <t>ACQUISITION OF TRI VILLAGE &amp; ELK LAKE WATER</t>
  </si>
  <si>
    <t>ACQUISITION OF SOUTH SHORE</t>
  </si>
  <si>
    <t>RRS HYDRAULIC IMPROVEMENTS</t>
  </si>
  <si>
    <t>TRI VILLAGE NEW COLUMBUS PROJECT</t>
  </si>
  <si>
    <t xml:space="preserve">KENTUCKY AMERICAN WATER       -      COMPARISON OF ACTUAL VS. BUDGETED CONSTRUCTION EXPENDITURES      -  </t>
  </si>
  <si>
    <t>02-01</t>
  </si>
  <si>
    <t>02-02</t>
  </si>
  <si>
    <t>02-03</t>
  </si>
  <si>
    <t>02-04</t>
  </si>
  <si>
    <t>INTEGRATED RESOURCE PLAN</t>
  </si>
  <si>
    <t>SURGE PROTECTION KRS</t>
  </si>
  <si>
    <t>HARRODSBURG ROAD RELOCATION DESIGN</t>
  </si>
  <si>
    <t>ACQUISITION OF TRIVILLAGE/ELK LAKE</t>
  </si>
  <si>
    <t>LEESTOWN ROAD MAIN IMPROVEMENTS</t>
  </si>
  <si>
    <t>REPLACE TRAVELING SCREEN &amp; HOUSING</t>
  </si>
  <si>
    <t>WATER SUPPLY DEVELOPMENT PROJECT</t>
  </si>
  <si>
    <t>UPGRADE CART WINCH KRS</t>
  </si>
  <si>
    <t>GRAND TOTAL ITEM B-H TO IP'S</t>
  </si>
  <si>
    <t>03-01</t>
  </si>
  <si>
    <t>03-02</t>
  </si>
  <si>
    <t>03-03</t>
  </si>
  <si>
    <t>NEW COLUMBUS PROJECT</t>
  </si>
  <si>
    <t>REPLACE TRAVELLING SCREEN &amp; HOUSING</t>
  </si>
  <si>
    <t>SOURCE OF SUPPLY DEVELOPMENT</t>
  </si>
  <si>
    <t>ELEVATED STORAGE TANK - 2.0 MG</t>
  </si>
  <si>
    <t>ELECTRICAL &amp; RELIABILITY IMPROVEMENTS</t>
  </si>
  <si>
    <t>Kentucky American Water</t>
  </si>
  <si>
    <t>2002 MAJOR HIGHWAY RELOCATIONS</t>
  </si>
  <si>
    <t>FILTER TO WASTE SYSTEM - KRS</t>
  </si>
  <si>
    <t>Project completed as proposed - project delayed by programming &amp;materials delivery</t>
  </si>
  <si>
    <t>Project completed as proposed - scope changed during const to improve oper.</t>
  </si>
  <si>
    <t>Project completed as proposed - scope changed during const due to filter coating</t>
  </si>
  <si>
    <t>PARIS PIKE RELOCATION - DESIGN</t>
  </si>
  <si>
    <t xml:space="preserve">Project scope was revised to include design &amp; construction of chlorine scrubber </t>
  </si>
  <si>
    <t>Project scope was reduced to eliminate feed to Ford-Hampton area, bids were below estimate</t>
  </si>
  <si>
    <t>Project costs exceeded estimates due to rock, project delayed waiting on property owners</t>
  </si>
  <si>
    <t>Project scope expanded by KYDOT</t>
  </si>
  <si>
    <t>Project exceeded cost &amp; delayed over easement negotiation, master meter vault sizing</t>
  </si>
  <si>
    <t>ACQUISITION OF TRI-VILLAGE/ELK LAKE WATER</t>
  </si>
  <si>
    <t>KRS SLUICE GATES</t>
  </si>
  <si>
    <t>2001 MAJOR HIGHWAY RELOCATIONS</t>
  </si>
  <si>
    <t>Project exceeded scope due to KYDOT</t>
  </si>
  <si>
    <t>Project scope expanded to complete Scott County service</t>
  </si>
  <si>
    <t>Project delayed by DOW approval, completed as proposed</t>
  </si>
  <si>
    <t>2003 MAJOR HIGHWAY RELOCATIONS</t>
  </si>
  <si>
    <t>Project scope reduced by KYDOT</t>
  </si>
  <si>
    <t>CUSTOMER SERVICE SOFTWARD</t>
  </si>
  <si>
    <t>Project scope expanded to include national Call Center</t>
  </si>
  <si>
    <t>Schedule 1</t>
  </si>
  <si>
    <t>Construction Projects</t>
  </si>
  <si>
    <t>INVESTMENT</t>
  </si>
  <si>
    <t>INVESTMENT PROJECTS</t>
  </si>
  <si>
    <t>11/200</t>
  </si>
  <si>
    <t>3/200</t>
  </si>
  <si>
    <t>INVESTMENT  PROJECTS</t>
  </si>
  <si>
    <t>GRAND TOTAL COMPLETED IP'S</t>
  </si>
  <si>
    <t>Project scope expanded after 9/11</t>
  </si>
  <si>
    <t>Acquisition never completed</t>
  </si>
  <si>
    <t>KRS -ADDITIONAL RESIDUALS HANDLING FACILITY</t>
  </si>
  <si>
    <t>KRS-ADDITIONAL RESIDUALS FACILITIES</t>
  </si>
  <si>
    <t>Project cancelled - permit revised</t>
  </si>
  <si>
    <t xml:space="preserve">     FOR THE YEAR 2006</t>
  </si>
  <si>
    <t xml:space="preserve">     FOR THE YEAR 2004</t>
  </si>
  <si>
    <t xml:space="preserve">     FOR THE YEAR 2005</t>
  </si>
  <si>
    <t>DEVELOPER/GOVERNMENTAL CONTRIBUTIONS</t>
  </si>
  <si>
    <t>NETWORK - REPLACEMENT/RENEWAL</t>
  </si>
  <si>
    <t>NETWORK - EXTENSION</t>
  </si>
  <si>
    <t>HYDRANTS - REPLACEMENTS</t>
  </si>
  <si>
    <t>HYDRANTS - NEW</t>
  </si>
  <si>
    <t>SERVICES - REPLACEMENT</t>
  </si>
  <si>
    <t>SERVICES - NEW</t>
  </si>
  <si>
    <t>METERS - REPLACEMENT</t>
  </si>
  <si>
    <t>METERS - NEW</t>
  </si>
  <si>
    <t>ITS EQUIPMENT &amp; SYSTEMS</t>
  </si>
  <si>
    <t>OFFICES AND OPERATIONS CENTERS</t>
  </si>
  <si>
    <t>VEHICLES</t>
  </si>
  <si>
    <t>TOOLS AND EQUIPMENT</t>
  </si>
  <si>
    <t>TANK REHABILITATION/PAINTING (if capitalized)</t>
  </si>
  <si>
    <t>COMPREHENSIVE PLANNING STUDIES (if capitalized)</t>
  </si>
  <si>
    <t>ENTER ITEM 80  AND SUBTRACT</t>
  </si>
  <si>
    <t>TOTAL  ITEM 81 - 97</t>
  </si>
  <si>
    <t>BUSINESS PROCESS EFFCIENCY PROJECT &amp; ORCOM BUDGET</t>
  </si>
  <si>
    <t>04-04</t>
  </si>
  <si>
    <t>04-02</t>
  </si>
  <si>
    <t>04-03</t>
  </si>
  <si>
    <t>OWEN COUNTY MAIN EXTENSIONS</t>
  </si>
  <si>
    <t>OWEN COUNTY MAIN EXTENSIONS (343)</t>
  </si>
  <si>
    <t>MAJOR HIGHWAY RELOCATIONS (343)</t>
  </si>
  <si>
    <t>GROUND STORAGE TANK - 3.0 MG (342)</t>
  </si>
  <si>
    <t>KRS VALVE MECHANICAL IMPROVEMENT</t>
  </si>
  <si>
    <t>05-05</t>
  </si>
  <si>
    <t>REPLACE TRAC-VAC SYSTEM AT RRS (332)</t>
  </si>
  <si>
    <t>05-02</t>
  </si>
  <si>
    <t>RUSSELL CAVE ROAD MAIN - 34,000' OF 12" (343)</t>
  </si>
  <si>
    <t>05-01</t>
  </si>
  <si>
    <t>LEX - SECURITY SYSTEM IMPROVEMENT</t>
  </si>
  <si>
    <t>04-06</t>
  </si>
  <si>
    <t>REPLACE FILTER MEDIA 3 &amp; 4</t>
  </si>
  <si>
    <t>RUSSELL CAVE ROAD MAIN</t>
  </si>
  <si>
    <t>05-04</t>
  </si>
  <si>
    <t>REPLACE TRAC-VAC SYSTEM</t>
  </si>
  <si>
    <t>05-06</t>
  </si>
  <si>
    <t>SLUDGE HANDLING IMPROVEMENT</t>
  </si>
  <si>
    <t>05-08</t>
  </si>
  <si>
    <t>KENTUCKY RELIABILITY IMPROVEMENT</t>
  </si>
  <si>
    <t>06-01</t>
  </si>
  <si>
    <t>06-02</t>
  </si>
  <si>
    <t xml:space="preserve">VALVE HOUSE UPGRADES AT KRS </t>
  </si>
  <si>
    <t>YARNALLTON ROAD MAIN EXTENSION</t>
  </si>
  <si>
    <t>06-05</t>
  </si>
  <si>
    <t>MALLARD POINT PRESSURE</t>
  </si>
  <si>
    <t>06-06</t>
  </si>
  <si>
    <t>06-07</t>
  </si>
  <si>
    <t>06-13</t>
  </si>
  <si>
    <t>PARKER'S MILL PUMP &amp; DIESEL</t>
  </si>
  <si>
    <t>NEW WTP POOL 3 OF KENTUCKY</t>
  </si>
  <si>
    <t>HIGHWAY RELOCATION - CLAYS MILL</t>
  </si>
  <si>
    <t>06-04</t>
  </si>
  <si>
    <t>05-07</t>
  </si>
  <si>
    <t>CHEMICAL FEED IMPROVEMENTS</t>
  </si>
  <si>
    <t>PROCESS PLANT - REPLACEMENTS</t>
  </si>
  <si>
    <t>PROCESS PLANT - ADDITIONS</t>
  </si>
  <si>
    <t>TREATMENT MEDIA REPLACEMENT &amp; PROCESS REHAB (if capitalized)</t>
  </si>
  <si>
    <t>OWEN COUNTY SCADA SYSTEM</t>
  </si>
  <si>
    <t>n/a</t>
  </si>
  <si>
    <t>KRS IMPROVEMENTS</t>
  </si>
  <si>
    <t>Project scope was expanded.</t>
  </si>
  <si>
    <t>Bid exceeded estimate cost by $220,000.  Project scope was expanded by $100,000 to include replacing trash rake which was scheduled for following year.</t>
  </si>
  <si>
    <t>Engineer's estimate was increased after design.  Construction was delayed by change in project manager.</t>
  </si>
  <si>
    <t>Project was moved forward due to filter media deterioration.  Project scope was expanded to include repair to filter bottom.</t>
  </si>
  <si>
    <t>On schedule, construction costs higher than anticipated.</t>
  </si>
  <si>
    <t>Equipment delivery delayed on switchgear.</t>
  </si>
  <si>
    <t>Delay in completing programming.</t>
  </si>
  <si>
    <t>Property acquisition longer than anticipated.</t>
  </si>
  <si>
    <t>Completion delayed on source of supply.</t>
  </si>
  <si>
    <t>Construction bids favorable.</t>
  </si>
  <si>
    <t>Bids favorable.</t>
  </si>
  <si>
    <t>Bids higher than anticipated.</t>
  </si>
  <si>
    <t>Item 9b</t>
  </si>
  <si>
    <t>Page 2 of 20</t>
  </si>
  <si>
    <t>Page 1 of 20</t>
  </si>
  <si>
    <t>Page 3 of 20</t>
  </si>
  <si>
    <t>Page 4 of 20</t>
  </si>
  <si>
    <t>Page 5 of 20</t>
  </si>
  <si>
    <t>Page 6 of 20</t>
  </si>
  <si>
    <t>Item 9 b</t>
  </si>
  <si>
    <t>Page 7 of 20</t>
  </si>
  <si>
    <t>Page 8 of 20</t>
  </si>
  <si>
    <t>Page 9 of 20</t>
  </si>
  <si>
    <t>Page 10 of 20</t>
  </si>
  <si>
    <t>Page 11 of 20</t>
  </si>
  <si>
    <t>Page 12 of 20</t>
  </si>
  <si>
    <t>Page 13 of 20</t>
  </si>
  <si>
    <t>Page 14 of 20</t>
  </si>
  <si>
    <t>Page 15 of 20</t>
  </si>
  <si>
    <t>Page 16 of 20</t>
  </si>
  <si>
    <t>Page 17 of 20</t>
  </si>
  <si>
    <t>Page 18 of 20</t>
  </si>
  <si>
    <t>Page 19 of 20</t>
  </si>
  <si>
    <t>Page 20 of 20</t>
  </si>
  <si>
    <t>Case No. 2008 - 00427</t>
  </si>
  <si>
    <t>Case No. 2008-00427</t>
  </si>
  <si>
    <t>Page 3 of 10</t>
  </si>
  <si>
    <t xml:space="preserve">     FOR THE YEAR 2007</t>
  </si>
  <si>
    <t>DV</t>
  </si>
  <si>
    <t xml:space="preserve">D </t>
  </si>
  <si>
    <t>J</t>
  </si>
  <si>
    <t xml:space="preserve">I </t>
  </si>
  <si>
    <t>K</t>
  </si>
  <si>
    <t>L</t>
  </si>
  <si>
    <t>M</t>
  </si>
  <si>
    <t>N</t>
  </si>
  <si>
    <t>O</t>
  </si>
  <si>
    <t>P</t>
  </si>
  <si>
    <t>Q</t>
  </si>
  <si>
    <t>R</t>
  </si>
  <si>
    <t>S</t>
  </si>
  <si>
    <t>ENTER ITEM DV  AND SUBTRACT</t>
  </si>
  <si>
    <t>TOTAL  ITEM A - S</t>
  </si>
  <si>
    <t>MAINS - NEW</t>
  </si>
  <si>
    <t>MAINS - REPLACED/RESTORED</t>
  </si>
  <si>
    <t>MAINS - UNSCHEDULED</t>
  </si>
  <si>
    <t>MAINS - RELOCATED</t>
  </si>
  <si>
    <t>HYDRANTS, VALVES, AND MANHOLES - NEW</t>
  </si>
  <si>
    <t>HYDRANTS, VALVES, AND MANHOLES - REPLACED</t>
  </si>
  <si>
    <t>SERVICES AND LATERALS - NEW</t>
  </si>
  <si>
    <t>SERVICES AND LATERALS - REPLACED</t>
  </si>
  <si>
    <t>METERS - REPLACED</t>
  </si>
  <si>
    <t>ITS EQUIPMENT AND SYSTEMS</t>
  </si>
  <si>
    <t>SCADA EQUIPMENT AND SYSTEMS</t>
  </si>
  <si>
    <t>SECURITY EQUIPMENT AND SYSTEMS</t>
  </si>
  <si>
    <t>PROCESS PLANT FACILITIES AND EQUIPMENT</t>
  </si>
  <si>
    <t>CAPITALIZED TANK REHABILIATION/PAINTING</t>
  </si>
  <si>
    <t>ENGINEERING STUDIES</t>
  </si>
  <si>
    <t>MAJOR HIGHWAY RELOCATIONS 2007</t>
  </si>
  <si>
    <t>SYSTEM-WIDE ENHANCEMENT</t>
  </si>
  <si>
    <t>NORTH BROADWAY MAIN REPLACEMENT</t>
  </si>
  <si>
    <t xml:space="preserve">KY NRW </t>
  </si>
  <si>
    <t>INCLINE CAR REPLACEMENT AT KRS</t>
  </si>
  <si>
    <t>N/A</t>
  </si>
  <si>
    <t>1202-5</t>
  </si>
  <si>
    <t>Project design delayed to accommodate Division of Water requirements.</t>
  </si>
  <si>
    <t>Construction bids higher than anticipated.  Project delayed for programming.</t>
  </si>
  <si>
    <t>Pump manufacturer delayed delivery of booster station.</t>
  </si>
  <si>
    <t xml:space="preserve">Project scope expanded in preliminary stage, delayed project start. </t>
  </si>
  <si>
    <t>Page 4 of 10</t>
  </si>
  <si>
    <t>Page  5 of 10</t>
  </si>
  <si>
    <t>1202-6</t>
  </si>
  <si>
    <t>1232-1</t>
  </si>
  <si>
    <t>OWENTON CHEMICAL BULK STORAGE</t>
  </si>
  <si>
    <t xml:space="preserve">     FOR THE YEAR 2008</t>
  </si>
  <si>
    <t xml:space="preserve">Note that no projects have been completed in 2008 as of Septmeber 30, 2008.  </t>
  </si>
  <si>
    <t>CARRICK ROAD MAIN EXTENSION</t>
  </si>
  <si>
    <t>Page 2 of 10</t>
  </si>
  <si>
    <t>Forecast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</si>
</sst>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0_)"/>
    <numFmt numFmtId="166" formatCode="m/d"/>
    <numFmt numFmtId="167" formatCode="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/dd/yy"/>
    <numFmt numFmtId="173" formatCode="[$-409]dddd\,\ mmmm\ dd\,\ yyyy"/>
    <numFmt numFmtId="174" formatCode="0_);\(0\)"/>
    <numFmt numFmtId="175" formatCode="#,##0.000000000"/>
    <numFmt numFmtId="176" formatCode="_(* #,##0.0_);_(* \(#,##0.0\);_(* &quot;-&quot;??_);_(@_)"/>
    <numFmt numFmtId="177" formatCode="_(* #,##0_);_(* \(#,##0\);_(* &quot;-&quot;??_);_(@_)"/>
  </numFmts>
  <fonts count="9">
    <font>
      <sz val="9"/>
      <name val="Times New Roman"/>
      <family val="0"/>
    </font>
    <font>
      <sz val="10"/>
      <name val="Arial"/>
      <family val="0"/>
    </font>
    <font>
      <b/>
      <sz val="12"/>
      <name val="Arial"/>
      <family val="2"/>
    </font>
    <font>
      <sz val="14"/>
      <name val="Helv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5.4"/>
      <color indexed="12"/>
      <name val="Times New Roman"/>
      <family val="0"/>
    </font>
    <font>
      <u val="single"/>
      <sz val="5.4"/>
      <color indexed="36"/>
      <name val="Times New Roman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37" fontId="4" fillId="0" borderId="3" xfId="0" applyNumberFormat="1" applyFont="1" applyFill="1" applyBorder="1" applyAlignment="1" applyProtection="1">
      <alignment/>
      <protection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/>
      <protection/>
    </xf>
    <xf numFmtId="0" fontId="4" fillId="0" borderId="9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5" fontId="5" fillId="0" borderId="6" xfId="0" applyNumberFormat="1" applyFont="1" applyFill="1" applyBorder="1" applyAlignment="1" applyProtection="1">
      <alignment/>
      <protection/>
    </xf>
    <xf numFmtId="10" fontId="5" fillId="0" borderId="6" xfId="0" applyNumberFormat="1" applyFont="1" applyFill="1" applyBorder="1" applyAlignment="1" applyProtection="1">
      <alignment/>
      <protection/>
    </xf>
    <xf numFmtId="10" fontId="5" fillId="0" borderId="2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37" fontId="5" fillId="0" borderId="6" xfId="0" applyNumberFormat="1" applyFont="1" applyFill="1" applyBorder="1" applyAlignment="1" applyProtection="1">
      <alignment/>
      <protection/>
    </xf>
    <xf numFmtId="10" fontId="5" fillId="0" borderId="3" xfId="0" applyNumberFormat="1" applyFont="1" applyFill="1" applyBorder="1" applyAlignment="1" applyProtection="1">
      <alignment/>
      <protection/>
    </xf>
    <xf numFmtId="37" fontId="5" fillId="0" borderId="9" xfId="0" applyNumberFormat="1" applyFont="1" applyFill="1" applyBorder="1" applyAlignment="1" applyProtection="1">
      <alignment/>
      <protection/>
    </xf>
    <xf numFmtId="10" fontId="5" fillId="0" borderId="9" xfId="0" applyNumberFormat="1" applyFont="1" applyFill="1" applyBorder="1" applyAlignment="1" applyProtection="1">
      <alignment/>
      <protection/>
    </xf>
    <xf numFmtId="10" fontId="5" fillId="0" borderId="8" xfId="0" applyNumberFormat="1" applyFont="1" applyFill="1" applyBorder="1" applyAlignment="1" applyProtection="1">
      <alignment/>
      <protection/>
    </xf>
    <xf numFmtId="37" fontId="5" fillId="0" borderId="12" xfId="0" applyNumberFormat="1" applyFont="1" applyFill="1" applyBorder="1" applyAlignment="1" applyProtection="1">
      <alignment/>
      <protection/>
    </xf>
    <xf numFmtId="10" fontId="5" fillId="0" borderId="0" xfId="0" applyNumberFormat="1" applyFont="1" applyFill="1" applyAlignment="1" applyProtection="1">
      <alignment/>
      <protection/>
    </xf>
    <xf numFmtId="10" fontId="5" fillId="0" borderId="7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3" xfId="0" applyNumberFormat="1" applyFont="1" applyFill="1" applyBorder="1" applyAlignment="1" applyProtection="1">
      <alignment/>
      <protection/>
    </xf>
    <xf numFmtId="37" fontId="5" fillId="0" borderId="8" xfId="0" applyNumberFormat="1" applyFont="1" applyFill="1" applyBorder="1" applyAlignment="1" applyProtection="1">
      <alignment/>
      <protection/>
    </xf>
    <xf numFmtId="164" fontId="5" fillId="0" borderId="6" xfId="0" applyNumberFormat="1" applyFont="1" applyFill="1" applyBorder="1" applyAlignment="1" applyProtection="1">
      <alignment/>
      <protection/>
    </xf>
    <xf numFmtId="0" fontId="5" fillId="0" borderId="3" xfId="0" applyFont="1" applyFill="1" applyBorder="1" applyAlignment="1">
      <alignment/>
    </xf>
    <xf numFmtId="164" fontId="5" fillId="0" borderId="3" xfId="0" applyNumberFormat="1" applyFont="1" applyFill="1" applyBorder="1" applyAlignment="1" applyProtection="1">
      <alignment/>
      <protection/>
    </xf>
    <xf numFmtId="0" fontId="5" fillId="0" borderId="6" xfId="0" applyFont="1" applyFill="1" applyBorder="1" applyAlignment="1">
      <alignment/>
    </xf>
    <xf numFmtId="164" fontId="5" fillId="0" borderId="9" xfId="0" applyNumberFormat="1" applyFont="1" applyFill="1" applyBorder="1" applyAlignment="1" applyProtection="1">
      <alignment/>
      <protection/>
    </xf>
    <xf numFmtId="0" fontId="5" fillId="0" borderId="9" xfId="0" applyFont="1" applyFill="1" applyBorder="1" applyAlignment="1">
      <alignment/>
    </xf>
    <xf numFmtId="17" fontId="5" fillId="0" borderId="3" xfId="0" applyNumberFormat="1" applyFont="1" applyFill="1" applyBorder="1" applyAlignment="1">
      <alignment/>
    </xf>
    <xf numFmtId="17" fontId="5" fillId="0" borderId="6" xfId="0" applyNumberFormat="1" applyFont="1" applyFill="1" applyBorder="1" applyAlignment="1">
      <alignment/>
    </xf>
    <xf numFmtId="167" fontId="4" fillId="0" borderId="3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37" fontId="5" fillId="0" borderId="14" xfId="0" applyNumberFormat="1" applyFont="1" applyFill="1" applyBorder="1" applyAlignment="1" applyProtection="1">
      <alignment/>
      <protection/>
    </xf>
    <xf numFmtId="10" fontId="5" fillId="0" borderId="14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>
      <alignment/>
    </xf>
    <xf numFmtId="5" fontId="4" fillId="0" borderId="8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37" fontId="4" fillId="0" borderId="16" xfId="0" applyNumberFormat="1" applyFont="1" applyFill="1" applyBorder="1" applyAlignment="1" applyProtection="1">
      <alignment/>
      <protection/>
    </xf>
    <xf numFmtId="167" fontId="4" fillId="0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7" fontId="5" fillId="0" borderId="9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37" fontId="5" fillId="0" borderId="16" xfId="0" applyNumberFormat="1" applyFont="1" applyFill="1" applyBorder="1" applyAlignment="1" applyProtection="1">
      <alignment/>
      <protection/>
    </xf>
    <xf numFmtId="10" fontId="5" fillId="0" borderId="16" xfId="0" applyNumberFormat="1" applyFont="1" applyFill="1" applyBorder="1" applyAlignment="1" applyProtection="1">
      <alignment/>
      <protection/>
    </xf>
    <xf numFmtId="16" fontId="4" fillId="0" borderId="10" xfId="0" applyNumberFormat="1" applyFont="1" applyFill="1" applyBorder="1" applyAlignment="1" quotePrefix="1">
      <alignment horizontal="center"/>
    </xf>
    <xf numFmtId="16" fontId="4" fillId="0" borderId="11" xfId="0" applyNumberFormat="1" applyFont="1" applyFill="1" applyBorder="1" applyAlignment="1" quotePrefix="1">
      <alignment horizontal="center"/>
    </xf>
    <xf numFmtId="37" fontId="8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8" fillId="0" borderId="20" xfId="0" applyNumberFormat="1" applyFont="1" applyBorder="1" applyAlignment="1" applyProtection="1">
      <alignment horizontal="center"/>
      <protection locked="0"/>
    </xf>
    <xf numFmtId="0" fontId="8" fillId="0" borderId="20" xfId="0" applyNumberFormat="1" applyFont="1" applyBorder="1" applyAlignment="1" applyProtection="1">
      <alignment horizontal="left"/>
      <protection locked="0"/>
    </xf>
    <xf numFmtId="0" fontId="8" fillId="0" borderId="21" xfId="0" applyNumberFormat="1" applyFont="1" applyBorder="1" applyAlignment="1" applyProtection="1">
      <alignment horizontal="center"/>
      <protection locked="0"/>
    </xf>
    <xf numFmtId="0" fontId="8" fillId="0" borderId="21" xfId="0" applyNumberFormat="1" applyFont="1" applyBorder="1" applyAlignment="1" applyProtection="1">
      <alignment horizontal="left"/>
      <protection locked="0"/>
    </xf>
    <xf numFmtId="16" fontId="8" fillId="0" borderId="21" xfId="0" applyNumberFormat="1" applyFont="1" applyBorder="1" applyAlignment="1" applyProtection="1">
      <alignment horizontal="center"/>
      <protection locked="0"/>
    </xf>
    <xf numFmtId="16" fontId="8" fillId="0" borderId="21" xfId="0" applyNumberFormat="1" applyFont="1" applyBorder="1" applyAlignment="1" applyProtection="1" quotePrefix="1">
      <alignment horizontal="center"/>
      <protection locked="0"/>
    </xf>
    <xf numFmtId="0" fontId="8" fillId="0" borderId="21" xfId="0" applyNumberFormat="1" applyFont="1" applyBorder="1" applyAlignment="1" applyProtection="1" quotePrefix="1">
      <alignment horizontal="center"/>
      <protection locked="0"/>
    </xf>
    <xf numFmtId="0" fontId="8" fillId="0" borderId="21" xfId="0" applyNumberFormat="1" applyFont="1" applyBorder="1" applyAlignment="1" applyProtection="1" quotePrefix="1">
      <alignment horizontal="center"/>
      <protection locked="0"/>
    </xf>
    <xf numFmtId="0" fontId="8" fillId="0" borderId="21" xfId="0" applyNumberFormat="1" applyFont="1" applyBorder="1" applyAlignment="1" applyProtection="1">
      <alignment horizontal="left"/>
      <protection locked="0"/>
    </xf>
    <xf numFmtId="16" fontId="8" fillId="0" borderId="21" xfId="0" applyNumberFormat="1" applyFont="1" applyBorder="1" applyAlignment="1" applyProtection="1" quotePrefix="1">
      <alignment horizontal="center"/>
      <protection locked="0"/>
    </xf>
    <xf numFmtId="0" fontId="8" fillId="0" borderId="21" xfId="0" applyNumberFormat="1" applyFont="1" applyBorder="1" applyAlignment="1" applyProtection="1">
      <alignment horizontal="center"/>
      <protection locked="0"/>
    </xf>
    <xf numFmtId="0" fontId="8" fillId="0" borderId="19" xfId="0" applyNumberFormat="1" applyFont="1" applyBorder="1" applyAlignment="1" applyProtection="1">
      <alignment horizontal="left"/>
      <protection locked="0"/>
    </xf>
    <xf numFmtId="3" fontId="4" fillId="0" borderId="20" xfId="0" applyNumberFormat="1" applyFont="1" applyBorder="1" applyAlignment="1" applyProtection="1">
      <alignment/>
      <protection locked="0"/>
    </xf>
    <xf numFmtId="37" fontId="5" fillId="0" borderId="22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>
      <alignment/>
    </xf>
    <xf numFmtId="37" fontId="8" fillId="0" borderId="21" xfId="0" applyNumberFormat="1" applyFont="1" applyBorder="1" applyAlignment="1" applyProtection="1">
      <alignment horizontal="center"/>
      <protection locked="0"/>
    </xf>
    <xf numFmtId="37" fontId="8" fillId="0" borderId="21" xfId="0" applyNumberFormat="1" applyFont="1" applyBorder="1" applyAlignment="1" applyProtection="1">
      <alignment horizontal="left"/>
      <protection locked="0"/>
    </xf>
    <xf numFmtId="0" fontId="8" fillId="0" borderId="19" xfId="0" applyNumberFormat="1" applyFont="1" applyBorder="1" applyAlignment="1" applyProtection="1">
      <alignment horizontal="center"/>
      <protection locked="0"/>
    </xf>
    <xf numFmtId="0" fontId="8" fillId="0" borderId="19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/>
    </xf>
    <xf numFmtId="37" fontId="8" fillId="0" borderId="21" xfId="0" applyNumberFormat="1" applyFont="1" applyBorder="1" applyAlignment="1" applyProtection="1" quotePrefix="1">
      <alignment horizontal="center"/>
      <protection locked="0"/>
    </xf>
    <xf numFmtId="10" fontId="5" fillId="0" borderId="0" xfId="0" applyNumberFormat="1" applyFont="1" applyFill="1" applyBorder="1" applyAlignment="1" applyProtection="1">
      <alignment/>
      <protection/>
    </xf>
    <xf numFmtId="37" fontId="5" fillId="0" borderId="17" xfId="0" applyNumberFormat="1" applyFont="1" applyFill="1" applyBorder="1" applyAlignment="1" applyProtection="1">
      <alignment/>
      <protection/>
    </xf>
    <xf numFmtId="16" fontId="4" fillId="0" borderId="15" xfId="0" applyNumberFormat="1" applyFont="1" applyFill="1" applyBorder="1" applyAlignment="1" quotePrefix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15" xfId="0" applyFont="1" applyFill="1" applyBorder="1" applyAlignment="1" quotePrefix="1">
      <alignment horizontal="center"/>
    </xf>
    <xf numFmtId="16" fontId="4" fillId="0" borderId="3" xfId="0" applyNumberFormat="1" applyFont="1" applyFill="1" applyBorder="1" applyAlignment="1" quotePrefix="1">
      <alignment horizontal="center"/>
    </xf>
    <xf numFmtId="17" fontId="0" fillId="0" borderId="0" xfId="0" applyNumberFormat="1" applyFill="1" applyAlignment="1">
      <alignment/>
    </xf>
    <xf numFmtId="17" fontId="5" fillId="0" borderId="0" xfId="0" applyNumberFormat="1" applyFont="1" applyFill="1" applyAlignment="1">
      <alignment/>
    </xf>
    <xf numFmtId="17" fontId="5" fillId="0" borderId="3" xfId="0" applyNumberFormat="1" applyFont="1" applyFill="1" applyBorder="1" applyAlignment="1" applyProtection="1">
      <alignment/>
      <protection/>
    </xf>
    <xf numFmtId="5" fontId="4" fillId="0" borderId="0" xfId="0" applyNumberFormat="1" applyFont="1" applyFill="1" applyBorder="1" applyAlignment="1" applyProtection="1">
      <alignment/>
      <protection/>
    </xf>
    <xf numFmtId="0" fontId="4" fillId="0" borderId="6" xfId="0" applyFont="1" applyFill="1" applyBorder="1" applyAlignment="1">
      <alignment wrapText="1"/>
    </xf>
    <xf numFmtId="42" fontId="5" fillId="0" borderId="6" xfId="17" applyNumberFormat="1" applyFont="1" applyFill="1" applyBorder="1" applyAlignment="1" applyProtection="1">
      <alignment/>
      <protection/>
    </xf>
    <xf numFmtId="42" fontId="5" fillId="0" borderId="9" xfId="17" applyNumberFormat="1" applyFont="1" applyFill="1" applyBorder="1" applyAlignment="1" applyProtection="1">
      <alignment/>
      <protection/>
    </xf>
    <xf numFmtId="42" fontId="5" fillId="0" borderId="6" xfId="0" applyNumberFormat="1" applyFont="1" applyFill="1" applyBorder="1" applyAlignment="1" applyProtection="1">
      <alignment/>
      <protection/>
    </xf>
    <xf numFmtId="42" fontId="5" fillId="0" borderId="3" xfId="0" applyNumberFormat="1" applyFont="1" applyFill="1" applyBorder="1" applyAlignment="1" applyProtection="1">
      <alignment/>
      <protection/>
    </xf>
    <xf numFmtId="42" fontId="5" fillId="0" borderId="9" xfId="0" applyNumberFormat="1" applyFont="1" applyFill="1" applyBorder="1" applyAlignment="1" applyProtection="1">
      <alignment/>
      <protection/>
    </xf>
    <xf numFmtId="10" fontId="5" fillId="0" borderId="24" xfId="0" applyNumberFormat="1" applyFont="1" applyFill="1" applyBorder="1" applyAlignment="1" applyProtection="1">
      <alignment/>
      <protection/>
    </xf>
    <xf numFmtId="37" fontId="8" fillId="0" borderId="21" xfId="0" applyNumberFormat="1" applyFont="1" applyBorder="1" applyAlignment="1" applyProtection="1">
      <alignment horizontal="left"/>
      <protection locked="0"/>
    </xf>
    <xf numFmtId="37" fontId="8" fillId="0" borderId="21" xfId="0" applyNumberFormat="1" applyFont="1" applyBorder="1" applyAlignment="1" applyProtection="1" quotePrefix="1">
      <alignment horizontal="center"/>
      <protection locked="0"/>
    </xf>
    <xf numFmtId="0" fontId="5" fillId="0" borderId="6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17" fontId="5" fillId="0" borderId="6" xfId="0" applyNumberFormat="1" applyFont="1" applyFill="1" applyBorder="1" applyAlignment="1" applyProtection="1">
      <alignment/>
      <protection/>
    </xf>
    <xf numFmtId="17" fontId="5" fillId="0" borderId="9" xfId="0" applyNumberFormat="1" applyFont="1" applyFill="1" applyBorder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 locked="0"/>
    </xf>
    <xf numFmtId="0" fontId="4" fillId="0" borderId="3" xfId="0" applyFont="1" applyFill="1" applyBorder="1" applyAlignment="1" quotePrefix="1">
      <alignment horizontal="center"/>
    </xf>
    <xf numFmtId="37" fontId="4" fillId="0" borderId="17" xfId="0" applyNumberFormat="1" applyFont="1" applyFill="1" applyBorder="1" applyAlignment="1" applyProtection="1">
      <alignment/>
      <protection/>
    </xf>
    <xf numFmtId="167" fontId="4" fillId="0" borderId="16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37" fontId="5" fillId="0" borderId="6" xfId="0" applyNumberFormat="1" applyFont="1" applyFill="1" applyBorder="1" applyAlignment="1" applyProtection="1">
      <alignment/>
      <protection hidden="1" locked="0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4" fontId="8" fillId="0" borderId="21" xfId="0" applyNumberFormat="1" applyFont="1" applyBorder="1" applyAlignment="1" applyProtection="1" quotePrefix="1">
      <alignment horizontal="center"/>
      <protection locked="0"/>
    </xf>
    <xf numFmtId="164" fontId="5" fillId="0" borderId="6" xfId="0" applyNumberFormat="1" applyFont="1" applyFill="1" applyBorder="1" applyAlignment="1" applyProtection="1">
      <alignment horizontal="center"/>
      <protection/>
    </xf>
    <xf numFmtId="17" fontId="5" fillId="0" borderId="6" xfId="0" applyNumberFormat="1" applyFont="1" applyFill="1" applyBorder="1" applyAlignment="1">
      <alignment horizontal="center"/>
    </xf>
    <xf numFmtId="37" fontId="8" fillId="0" borderId="21" xfId="0" applyNumberFormat="1" applyFont="1" applyBorder="1" applyAlignment="1" applyProtection="1">
      <alignment horizontal="center"/>
      <protection locked="0"/>
    </xf>
    <xf numFmtId="37" fontId="8" fillId="0" borderId="26" xfId="0" applyNumberFormat="1" applyFont="1" applyBorder="1" applyAlignment="1" applyProtection="1" quotePrefix="1">
      <alignment horizontal="center"/>
      <protection locked="0"/>
    </xf>
    <xf numFmtId="37" fontId="8" fillId="0" borderId="19" xfId="0" applyNumberFormat="1" applyFont="1" applyBorder="1" applyAlignment="1" applyProtection="1" quotePrefix="1">
      <alignment horizontal="center"/>
      <protection locked="0"/>
    </xf>
    <xf numFmtId="167" fontId="5" fillId="0" borderId="6" xfId="0" applyNumberFormat="1" applyFont="1" applyFill="1" applyBorder="1" applyAlignment="1" applyProtection="1">
      <alignment/>
      <protection/>
    </xf>
    <xf numFmtId="167" fontId="5" fillId="0" borderId="6" xfId="0" applyNumberFormat="1" applyFont="1" applyFill="1" applyBorder="1" applyAlignment="1">
      <alignment/>
    </xf>
    <xf numFmtId="37" fontId="8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Fill="1" applyBorder="1" applyAlignment="1">
      <alignment/>
    </xf>
    <xf numFmtId="37" fontId="5" fillId="0" borderId="19" xfId="0" applyNumberFormat="1" applyFont="1" applyFill="1" applyBorder="1" applyAlignment="1" applyProtection="1">
      <alignment/>
      <protection/>
    </xf>
    <xf numFmtId="167" fontId="5" fillId="0" borderId="19" xfId="0" applyNumberFormat="1" applyFont="1" applyFill="1" applyBorder="1" applyAlignment="1" applyProtection="1">
      <alignment/>
      <protection/>
    </xf>
    <xf numFmtId="167" fontId="5" fillId="0" borderId="25" xfId="0" applyNumberFormat="1" applyFont="1" applyFill="1" applyBorder="1" applyAlignment="1">
      <alignment/>
    </xf>
    <xf numFmtId="37" fontId="8" fillId="0" borderId="21" xfId="0" applyNumberFormat="1" applyFont="1" applyFill="1" applyBorder="1" applyAlignment="1" applyProtection="1">
      <alignment horizontal="left"/>
      <protection locked="0"/>
    </xf>
    <xf numFmtId="0" fontId="8" fillId="0" borderId="21" xfId="0" applyNumberFormat="1" applyFont="1" applyFill="1" applyBorder="1" applyAlignment="1" applyProtection="1">
      <alignment horizontal="left"/>
      <protection locked="0"/>
    </xf>
    <xf numFmtId="0" fontId="8" fillId="0" borderId="25" xfId="0" applyNumberFormat="1" applyFont="1" applyFill="1" applyBorder="1" applyAlignment="1" applyProtection="1">
      <alignment horizontal="left"/>
      <protection locked="0"/>
    </xf>
    <xf numFmtId="0" fontId="8" fillId="0" borderId="21" xfId="0" applyNumberFormat="1" applyFont="1" applyFill="1" applyBorder="1" applyAlignment="1" applyProtection="1" quotePrefix="1">
      <alignment horizontal="center"/>
      <protection locked="0"/>
    </xf>
    <xf numFmtId="0" fontId="8" fillId="0" borderId="21" xfId="0" applyNumberFormat="1" applyFont="1" applyFill="1" applyBorder="1" applyAlignment="1" applyProtection="1" quotePrefix="1">
      <alignment horizontal="center"/>
      <protection locked="0"/>
    </xf>
    <xf numFmtId="0" fontId="8" fillId="0" borderId="21" xfId="0" applyNumberFormat="1" applyFont="1" applyFill="1" applyBorder="1" applyAlignment="1" applyProtection="1">
      <alignment horizontal="left"/>
      <protection locked="0"/>
    </xf>
    <xf numFmtId="37" fontId="8" fillId="0" borderId="21" xfId="0" applyNumberFormat="1" applyFont="1" applyFill="1" applyBorder="1" applyAlignment="1" applyProtection="1">
      <alignment horizontal="center"/>
      <protection locked="0"/>
    </xf>
    <xf numFmtId="37" fontId="8" fillId="0" borderId="21" xfId="0" applyNumberFormat="1" applyFont="1" applyFill="1" applyBorder="1" applyAlignment="1" applyProtection="1" quotePrefix="1">
      <alignment horizontal="center"/>
      <protection locked="0"/>
    </xf>
    <xf numFmtId="37" fontId="8" fillId="0" borderId="21" xfId="0" applyNumberFormat="1" applyFont="1" applyFill="1" applyBorder="1" applyAlignment="1" applyProtection="1">
      <alignment horizontal="left"/>
      <protection locked="0"/>
    </xf>
    <xf numFmtId="0" fontId="8" fillId="0" borderId="21" xfId="0" applyNumberFormat="1" applyFont="1" applyFill="1" applyBorder="1" applyAlignment="1" applyProtection="1">
      <alignment horizontal="center"/>
      <protection locked="0"/>
    </xf>
    <xf numFmtId="16" fontId="8" fillId="0" borderId="21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ill="1" applyAlignment="1">
      <alignment/>
    </xf>
    <xf numFmtId="177" fontId="0" fillId="0" borderId="0" xfId="15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ntucky\2008%20Rate%20Case\Rate%20Base\KY%20RP%20Edited%20SCEP%202008-2010%20w%20retirements%20&amp;%20C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ntucky\2008%20Rate%20Case\Rate%20Base\KY%20IP%20Edited%20SCEP%20with%20Utility%20Accounts%202008-2009-2010%20ret%20&amp;%20C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rpose Code Calculations"/>
      <sheetName val="CAPEX"/>
      <sheetName val="Retirement"/>
      <sheetName val="COR"/>
      <sheetName val="Project Prioritization"/>
      <sheetName val="Asset Code Calculations"/>
      <sheetName val="Summary"/>
    </sheetNames>
    <sheetDataSet>
      <sheetData sheetId="1">
        <row r="10">
          <cell r="Q10">
            <v>3764858.2899999996</v>
          </cell>
        </row>
        <row r="11">
          <cell r="Q11">
            <v>255000.16</v>
          </cell>
        </row>
        <row r="12">
          <cell r="Q12">
            <v>1200000.4</v>
          </cell>
        </row>
        <row r="13">
          <cell r="Q13">
            <v>221936.95000000004</v>
          </cell>
        </row>
        <row r="14">
          <cell r="Q14">
            <v>300000.01</v>
          </cell>
        </row>
        <row r="15">
          <cell r="Q15">
            <v>125000.18</v>
          </cell>
        </row>
        <row r="16">
          <cell r="Q16">
            <v>124999.59000000003</v>
          </cell>
        </row>
        <row r="17">
          <cell r="Q17">
            <v>855914.6799999999</v>
          </cell>
        </row>
        <row r="18">
          <cell r="Q18">
            <v>904617.64</v>
          </cell>
        </row>
        <row r="19">
          <cell r="Q19">
            <v>1349928.1</v>
          </cell>
        </row>
        <row r="23">
          <cell r="Q23">
            <v>1573398.9</v>
          </cell>
        </row>
        <row r="27">
          <cell r="Q27">
            <v>259750.32</v>
          </cell>
        </row>
        <row r="28">
          <cell r="Q28">
            <v>50999.770000000004</v>
          </cell>
        </row>
        <row r="29">
          <cell r="Q29">
            <v>10000</v>
          </cell>
        </row>
        <row r="30">
          <cell r="Q30">
            <v>1752359</v>
          </cell>
        </row>
        <row r="31">
          <cell r="Q31">
            <v>299999.61</v>
          </cell>
        </row>
        <row r="32">
          <cell r="Q32">
            <v>100000</v>
          </cell>
        </row>
        <row r="33">
          <cell r="Q33">
            <v>50000</v>
          </cell>
        </row>
        <row r="34">
          <cell r="Q34">
            <v>50000</v>
          </cell>
        </row>
        <row r="35">
          <cell r="Q35">
            <v>218014.09000000003</v>
          </cell>
        </row>
        <row r="36">
          <cell r="Q36">
            <v>820600.3099999998</v>
          </cell>
        </row>
        <row r="40">
          <cell r="Q40">
            <v>100000</v>
          </cell>
        </row>
        <row r="41">
          <cell r="Q41">
            <v>260999.68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ex"/>
      <sheetName val="Retirement"/>
      <sheetName val="COR"/>
    </sheetNames>
    <sheetDataSet>
      <sheetData sheetId="0">
        <row r="5">
          <cell r="R5">
            <v>230989.56999999998</v>
          </cell>
        </row>
        <row r="6">
          <cell r="R6">
            <v>268376.63</v>
          </cell>
        </row>
        <row r="7">
          <cell r="R7">
            <v>137647.78</v>
          </cell>
        </row>
        <row r="8">
          <cell r="R8">
            <v>169884.3</v>
          </cell>
        </row>
        <row r="9">
          <cell r="R9">
            <v>1367265.1300000001</v>
          </cell>
        </row>
        <row r="10">
          <cell r="R10">
            <v>33099.869999999995</v>
          </cell>
        </row>
        <row r="11">
          <cell r="R11">
            <v>300000</v>
          </cell>
        </row>
        <row r="25">
          <cell r="R25">
            <v>31599999.42</v>
          </cell>
        </row>
        <row r="26">
          <cell r="R26">
            <v>670994.3400000001</v>
          </cell>
        </row>
        <row r="29">
          <cell r="R29">
            <v>336000.01999999996</v>
          </cell>
        </row>
        <row r="31">
          <cell r="R31">
            <v>535000.01</v>
          </cell>
        </row>
        <row r="36">
          <cell r="R36">
            <v>1000000</v>
          </cell>
        </row>
        <row r="37">
          <cell r="R37">
            <v>767402.36</v>
          </cell>
        </row>
        <row r="39">
          <cell r="R39">
            <v>309778.76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workbookViewId="0" topLeftCell="A1">
      <selection activeCell="A44" sqref="A44:N44"/>
    </sheetView>
  </sheetViews>
  <sheetFormatPr defaultColWidth="9.83203125" defaultRowHeight="12"/>
  <cols>
    <col min="1" max="1" width="10.83203125" style="1" customWidth="1"/>
    <col min="2" max="2" width="62.16015625" style="1" customWidth="1"/>
    <col min="3" max="3" width="13.66015625" style="1" customWidth="1"/>
    <col min="4" max="4" width="12.66015625" style="1" customWidth="1"/>
    <col min="5" max="5" width="13.832031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6.5" style="1" customWidth="1"/>
    <col min="16" max="16" width="7.83203125" style="1" customWidth="1"/>
    <col min="17" max="17" width="57.5" style="1" customWidth="1"/>
    <col min="18" max="18" width="72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186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 t="s">
        <v>0</v>
      </c>
    </row>
    <row r="2" spans="1:23" ht="12">
      <c r="A2" s="161" t="s">
        <v>320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1</v>
      </c>
    </row>
    <row r="3" spans="1:23" ht="12">
      <c r="A3" s="161" t="s">
        <v>209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298</v>
      </c>
    </row>
    <row r="4" spans="4:23" ht="12">
      <c r="D4" s="3" t="s">
        <v>2</v>
      </c>
      <c r="E4" s="130">
        <v>2008</v>
      </c>
      <c r="W4" s="2" t="s">
        <v>115</v>
      </c>
    </row>
    <row r="5" spans="1:12" ht="12">
      <c r="A5" s="2" t="s">
        <v>3</v>
      </c>
      <c r="L5" s="2" t="s">
        <v>208</v>
      </c>
    </row>
    <row r="6" spans="1:16" ht="15.75">
      <c r="A6" s="2" t="s">
        <v>4</v>
      </c>
      <c r="L6" s="2" t="s">
        <v>300</v>
      </c>
      <c r="P6" s="5" t="s">
        <v>164</v>
      </c>
    </row>
    <row r="7" spans="12:21" ht="19.5">
      <c r="L7" s="2" t="s">
        <v>5</v>
      </c>
      <c r="P7" s="6"/>
      <c r="U7" s="5" t="s">
        <v>370</v>
      </c>
    </row>
    <row r="8" spans="12:13" ht="12">
      <c r="L8" s="4" t="s">
        <v>6</v>
      </c>
      <c r="M8" s="4"/>
    </row>
    <row r="9" spans="17:24" ht="12.75">
      <c r="Q9" s="7"/>
      <c r="R9" s="7"/>
      <c r="S9" s="7"/>
      <c r="T9" s="8" t="s">
        <v>7</v>
      </c>
      <c r="U9" s="7"/>
      <c r="V9" s="7"/>
      <c r="W9" s="7"/>
      <c r="X9" s="7"/>
    </row>
    <row r="10" spans="17:24" ht="12.75">
      <c r="Q10" s="7"/>
      <c r="R10" s="7"/>
      <c r="S10" s="8" t="s">
        <v>8</v>
      </c>
      <c r="T10" s="9" t="s">
        <v>210</v>
      </c>
      <c r="U10" s="10" t="s">
        <v>9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10</v>
      </c>
      <c r="I11" s="12" t="s">
        <v>10</v>
      </c>
      <c r="J11" s="12"/>
      <c r="K11" s="12" t="s">
        <v>11</v>
      </c>
      <c r="L11" s="12" t="s">
        <v>11</v>
      </c>
      <c r="M11" s="12"/>
      <c r="N11" s="12"/>
      <c r="Q11" s="7"/>
      <c r="R11" s="7"/>
      <c r="S11" s="9" t="s">
        <v>12</v>
      </c>
      <c r="T11" s="9" t="s">
        <v>12</v>
      </c>
      <c r="U11" s="13" t="s">
        <v>13</v>
      </c>
      <c r="V11" s="14"/>
      <c r="W11" s="7"/>
      <c r="X11" s="7"/>
    </row>
    <row r="12" spans="1:24" ht="12.75">
      <c r="A12" s="9"/>
      <c r="B12" s="15"/>
      <c r="C12" s="15"/>
      <c r="D12" s="15" t="s">
        <v>14</v>
      </c>
      <c r="E12" s="15"/>
      <c r="F12" s="15"/>
      <c r="G12" s="15" t="s">
        <v>15</v>
      </c>
      <c r="H12" s="15" t="s">
        <v>16</v>
      </c>
      <c r="I12" s="15" t="s">
        <v>17</v>
      </c>
      <c r="J12" s="15"/>
      <c r="K12" s="15" t="s">
        <v>18</v>
      </c>
      <c r="L12" s="15" t="s">
        <v>18</v>
      </c>
      <c r="M12" s="15" t="s">
        <v>11</v>
      </c>
      <c r="N12" s="15" t="s">
        <v>11</v>
      </c>
      <c r="P12" s="4"/>
      <c r="Q12" s="16" t="s">
        <v>211</v>
      </c>
      <c r="R12" s="16" t="s">
        <v>20</v>
      </c>
      <c r="S12" s="17" t="s">
        <v>21</v>
      </c>
      <c r="T12" s="17" t="s">
        <v>21</v>
      </c>
      <c r="U12" s="16" t="s">
        <v>22</v>
      </c>
      <c r="V12" s="16" t="s">
        <v>23</v>
      </c>
      <c r="W12" s="16" t="s">
        <v>22</v>
      </c>
      <c r="X12" s="16" t="s">
        <v>23</v>
      </c>
    </row>
    <row r="13" spans="1:26" ht="12.75">
      <c r="A13" s="9"/>
      <c r="B13" s="15"/>
      <c r="C13" s="15" t="s">
        <v>14</v>
      </c>
      <c r="D13" s="15" t="s">
        <v>18</v>
      </c>
      <c r="E13" s="15" t="s">
        <v>24</v>
      </c>
      <c r="F13" s="15" t="s">
        <v>24</v>
      </c>
      <c r="G13" s="15" t="s">
        <v>25</v>
      </c>
      <c r="H13" s="15" t="s">
        <v>26</v>
      </c>
      <c r="I13" s="15" t="s">
        <v>26</v>
      </c>
      <c r="J13" s="15"/>
      <c r="K13" s="15" t="s">
        <v>17</v>
      </c>
      <c r="L13" s="15" t="s">
        <v>17</v>
      </c>
      <c r="M13" s="15" t="s">
        <v>16</v>
      </c>
      <c r="N13" s="15" t="s">
        <v>16</v>
      </c>
      <c r="P13" s="136"/>
      <c r="Q13" s="116"/>
      <c r="R13" s="19"/>
      <c r="S13" s="34"/>
      <c r="T13" s="34"/>
      <c r="U13" s="138"/>
      <c r="V13" s="138"/>
      <c r="W13" s="138"/>
      <c r="X13" s="139"/>
      <c r="Y13" s="105"/>
      <c r="Z13" s="105"/>
    </row>
    <row r="14" spans="1:24" ht="12.75">
      <c r="A14" s="17" t="s">
        <v>27</v>
      </c>
      <c r="B14" s="21" t="s">
        <v>28</v>
      </c>
      <c r="C14" s="21" t="s">
        <v>374</v>
      </c>
      <c r="D14" s="21" t="s">
        <v>17</v>
      </c>
      <c r="E14" s="21" t="s">
        <v>29</v>
      </c>
      <c r="F14" s="21" t="s">
        <v>15</v>
      </c>
      <c r="G14" s="21" t="s">
        <v>17</v>
      </c>
      <c r="H14" s="21" t="s">
        <v>30</v>
      </c>
      <c r="I14" s="21" t="s">
        <v>30</v>
      </c>
      <c r="J14" s="21" t="s">
        <v>24</v>
      </c>
      <c r="K14" s="21" t="s">
        <v>31</v>
      </c>
      <c r="L14" s="21" t="s">
        <v>32</v>
      </c>
      <c r="M14" s="21" t="s">
        <v>31</v>
      </c>
      <c r="N14" s="21" t="s">
        <v>32</v>
      </c>
      <c r="P14" s="117"/>
      <c r="Q14" s="116"/>
      <c r="R14" s="22"/>
      <c r="S14" s="34"/>
      <c r="T14" s="34"/>
      <c r="U14" s="138"/>
      <c r="V14" s="138"/>
      <c r="W14" s="138"/>
      <c r="X14" s="139"/>
    </row>
    <row r="15" spans="1:24" ht="12.75">
      <c r="A15" s="9" t="s">
        <v>324</v>
      </c>
      <c r="B15" s="14" t="s">
        <v>224</v>
      </c>
      <c r="C15" s="110">
        <f>+'[1]CAPEX'!Q10</f>
        <v>3764858.2899999996</v>
      </c>
      <c r="D15" s="110">
        <v>4000000</v>
      </c>
      <c r="E15" s="112">
        <f aca="true" t="shared" si="0" ref="E15:E34">C15-D15</f>
        <v>-235141.71000000043</v>
      </c>
      <c r="F15" s="31">
        <f aca="true" t="shared" si="1" ref="F15:F35">C15/D15</f>
        <v>0.9412145724999998</v>
      </c>
      <c r="G15" s="32">
        <f aca="true" t="shared" si="2" ref="G15:G34">D15/(D$35+D$79)</f>
        <v>0.07235945121796242</v>
      </c>
      <c r="H15" s="33"/>
      <c r="I15" s="33"/>
      <c r="J15" s="33"/>
      <c r="K15" s="33"/>
      <c r="L15" s="33"/>
      <c r="M15" s="33"/>
      <c r="N15" s="33"/>
      <c r="P15" s="117"/>
      <c r="Q15" s="116"/>
      <c r="R15" s="22"/>
      <c r="S15" s="34"/>
      <c r="T15" s="34"/>
      <c r="U15" s="138"/>
      <c r="V15" s="138"/>
      <c r="W15" s="138"/>
      <c r="X15" s="139"/>
    </row>
    <row r="16" spans="1:24" ht="12.75">
      <c r="A16" s="9" t="s">
        <v>77</v>
      </c>
      <c r="B16" s="14" t="s">
        <v>339</v>
      </c>
      <c r="C16" s="110">
        <f>+'[1]CAPEX'!Q11</f>
        <v>255000.16</v>
      </c>
      <c r="D16" s="110">
        <v>535000</v>
      </c>
      <c r="E16" s="112">
        <f t="shared" si="0"/>
        <v>-279999.83999999997</v>
      </c>
      <c r="F16" s="31">
        <f t="shared" si="1"/>
        <v>0.4766358130841122</v>
      </c>
      <c r="G16" s="35">
        <f t="shared" si="2"/>
        <v>0.009678076600402473</v>
      </c>
      <c r="H16" s="33"/>
      <c r="I16" s="33"/>
      <c r="J16" s="33"/>
      <c r="K16" s="33"/>
      <c r="L16" s="33"/>
      <c r="M16" s="33"/>
      <c r="N16" s="33"/>
      <c r="P16" s="137"/>
      <c r="Q16" s="140"/>
      <c r="R16" s="141"/>
      <c r="S16" s="142"/>
      <c r="T16" s="142"/>
      <c r="U16" s="143"/>
      <c r="V16" s="143"/>
      <c r="W16" s="143"/>
      <c r="X16" s="144"/>
    </row>
    <row r="17" spans="1:24" ht="12.75">
      <c r="A17" s="9" t="s">
        <v>78</v>
      </c>
      <c r="B17" s="14" t="s">
        <v>340</v>
      </c>
      <c r="C17" s="110">
        <f>+'[1]CAPEX'!Q12</f>
        <v>1200000.4</v>
      </c>
      <c r="D17" s="110">
        <v>1886000</v>
      </c>
      <c r="E17" s="112">
        <f t="shared" si="0"/>
        <v>-685999.6000000001</v>
      </c>
      <c r="F17" s="31">
        <f t="shared" si="1"/>
        <v>0.6362674443266171</v>
      </c>
      <c r="G17" s="35">
        <f t="shared" si="2"/>
        <v>0.034117481249269284</v>
      </c>
      <c r="H17" s="33"/>
      <c r="I17" s="33"/>
      <c r="J17" s="33"/>
      <c r="K17" s="33"/>
      <c r="L17" s="33"/>
      <c r="M17" s="33"/>
      <c r="N17" s="33"/>
      <c r="P17" s="67"/>
      <c r="Q17" s="17" t="s">
        <v>35</v>
      </c>
      <c r="R17" s="61"/>
      <c r="S17" s="61">
        <f>SUM(S13:S16)</f>
        <v>0</v>
      </c>
      <c r="T17" s="61">
        <f>SUM(T13:T16)</f>
        <v>0</v>
      </c>
      <c r="U17" s="68"/>
      <c r="V17" s="68"/>
      <c r="W17" s="68"/>
      <c r="X17" s="68"/>
    </row>
    <row r="18" spans="1:24" ht="12.75">
      <c r="A18" s="9" t="s">
        <v>79</v>
      </c>
      <c r="B18" s="14" t="s">
        <v>341</v>
      </c>
      <c r="C18" s="110">
        <f>+'[1]CAPEX'!Q13</f>
        <v>221936.95000000004</v>
      </c>
      <c r="D18" s="110">
        <v>221937</v>
      </c>
      <c r="E18" s="112">
        <f t="shared" si="0"/>
        <v>-0.04999999995925464</v>
      </c>
      <c r="F18" s="31">
        <f t="shared" si="1"/>
        <v>0.9999997747108416</v>
      </c>
      <c r="G18" s="35">
        <f t="shared" si="2"/>
        <v>0.004014809881240231</v>
      </c>
      <c r="H18" s="33"/>
      <c r="I18" s="33"/>
      <c r="J18" s="33"/>
      <c r="K18" s="33"/>
      <c r="L18" s="33"/>
      <c r="M18" s="33"/>
      <c r="N18" s="33"/>
      <c r="P18" s="67"/>
      <c r="Q18" s="67"/>
      <c r="R18" s="108"/>
      <c r="S18" s="108"/>
      <c r="T18" s="108"/>
      <c r="U18" s="68"/>
      <c r="V18" s="68"/>
      <c r="W18" s="68"/>
      <c r="X18" s="68"/>
    </row>
    <row r="19" spans="1:24" ht="12.75">
      <c r="A19" s="9" t="s">
        <v>325</v>
      </c>
      <c r="B19" s="14" t="s">
        <v>342</v>
      </c>
      <c r="C19" s="110">
        <f>+'[1]CAPEX'!Q14</f>
        <v>300000.01</v>
      </c>
      <c r="D19" s="110">
        <v>0</v>
      </c>
      <c r="E19" s="112">
        <f t="shared" si="0"/>
        <v>300000.01</v>
      </c>
      <c r="F19" s="31"/>
      <c r="G19" s="35">
        <f t="shared" si="2"/>
        <v>0</v>
      </c>
      <c r="H19" s="33"/>
      <c r="I19" s="33"/>
      <c r="J19" s="33"/>
      <c r="K19" s="33"/>
      <c r="L19" s="33"/>
      <c r="M19" s="33"/>
      <c r="N19" s="33"/>
      <c r="P19" s="67"/>
      <c r="Q19" s="67" t="s">
        <v>371</v>
      </c>
      <c r="R19" s="108"/>
      <c r="S19" s="108"/>
      <c r="T19" s="108"/>
      <c r="U19" s="68"/>
      <c r="V19" s="68"/>
      <c r="W19" s="68"/>
      <c r="X19" s="68"/>
    </row>
    <row r="20" spans="1:24" ht="12.75">
      <c r="A20" s="9" t="s">
        <v>84</v>
      </c>
      <c r="B20" s="14" t="s">
        <v>343</v>
      </c>
      <c r="C20" s="110">
        <f>+'[1]CAPEX'!Q15</f>
        <v>125000.18</v>
      </c>
      <c r="D20" s="110">
        <v>427992</v>
      </c>
      <c r="E20" s="112">
        <f t="shared" si="0"/>
        <v>-302991.82</v>
      </c>
      <c r="F20" s="31">
        <f t="shared" si="1"/>
        <v>0.29206195442905475</v>
      </c>
      <c r="G20" s="35">
        <f t="shared" si="2"/>
        <v>0.007742316561419544</v>
      </c>
      <c r="H20" s="33"/>
      <c r="I20" s="33"/>
      <c r="J20" s="33"/>
      <c r="K20" s="33"/>
      <c r="L20" s="33"/>
      <c r="M20" s="33"/>
      <c r="N20" s="33"/>
      <c r="P20" s="67"/>
      <c r="Q20" s="67"/>
      <c r="R20" s="108"/>
      <c r="S20" s="108"/>
      <c r="T20" s="108"/>
      <c r="U20" s="68"/>
      <c r="V20" s="68"/>
      <c r="W20" s="68"/>
      <c r="X20" s="68"/>
    </row>
    <row r="21" spans="1:24" ht="12.75">
      <c r="A21" s="9" t="s">
        <v>85</v>
      </c>
      <c r="B21" s="14" t="s">
        <v>344</v>
      </c>
      <c r="C21" s="110">
        <f>+'[1]CAPEX'!Q16</f>
        <v>124999.59000000003</v>
      </c>
      <c r="D21" s="110">
        <v>125000</v>
      </c>
      <c r="E21" s="112">
        <f t="shared" si="0"/>
        <v>-0.40999999997438863</v>
      </c>
      <c r="F21" s="31">
        <f t="shared" si="1"/>
        <v>0.9999967200000002</v>
      </c>
      <c r="G21" s="35">
        <f t="shared" si="2"/>
        <v>0.0022612328505613255</v>
      </c>
      <c r="H21" s="33"/>
      <c r="I21" s="33"/>
      <c r="J21" s="33"/>
      <c r="K21" s="33"/>
      <c r="L21" s="33"/>
      <c r="M21" s="33"/>
      <c r="N21" s="33"/>
      <c r="P21" s="67"/>
      <c r="Q21" s="67"/>
      <c r="R21" s="108"/>
      <c r="S21" s="108"/>
      <c r="T21" s="108"/>
      <c r="U21" s="68"/>
      <c r="V21" s="68"/>
      <c r="W21" s="68"/>
      <c r="X21" s="68"/>
    </row>
    <row r="22" spans="1:24" ht="12.75">
      <c r="A22" s="9" t="s">
        <v>86</v>
      </c>
      <c r="B22" s="14" t="s">
        <v>345</v>
      </c>
      <c r="C22" s="110">
        <f>+'[1]CAPEX'!Q17</f>
        <v>855914.6799999999</v>
      </c>
      <c r="D22" s="110">
        <v>855915</v>
      </c>
      <c r="E22" s="112">
        <f t="shared" si="0"/>
        <v>-0.3200000000651926</v>
      </c>
      <c r="F22" s="31">
        <f t="shared" si="1"/>
        <v>0.9999996261310994</v>
      </c>
      <c r="G22" s="35">
        <f t="shared" si="2"/>
        <v>0.015483384922305577</v>
      </c>
      <c r="H22" s="33"/>
      <c r="I22" s="33"/>
      <c r="J22" s="33"/>
      <c r="K22" s="33"/>
      <c r="L22" s="33"/>
      <c r="M22" s="33"/>
      <c r="N22" s="33"/>
      <c r="P22" s="67"/>
      <c r="Q22" s="67"/>
      <c r="R22" s="108"/>
      <c r="S22" s="108"/>
      <c r="T22" s="108"/>
      <c r="U22" s="68"/>
      <c r="V22" s="68"/>
      <c r="W22" s="68"/>
      <c r="X22" s="68"/>
    </row>
    <row r="23" spans="1:24" ht="12.75">
      <c r="A23" s="9" t="s">
        <v>87</v>
      </c>
      <c r="B23" s="14" t="s">
        <v>346</v>
      </c>
      <c r="C23" s="110">
        <f>+'[1]CAPEX'!Q18</f>
        <v>904617.64</v>
      </c>
      <c r="D23" s="110">
        <v>641603</v>
      </c>
      <c r="E23" s="112">
        <f t="shared" si="0"/>
        <v>263014.64</v>
      </c>
      <c r="F23" s="31">
        <f t="shared" si="1"/>
        <v>1.40993361938769</v>
      </c>
      <c r="G23" s="35">
        <f t="shared" si="2"/>
        <v>0.011606510244949585</v>
      </c>
      <c r="H23" s="33"/>
      <c r="I23" s="33"/>
      <c r="J23" s="33"/>
      <c r="K23" s="33"/>
      <c r="L23" s="33"/>
      <c r="M23" s="33"/>
      <c r="N23" s="33"/>
      <c r="P23" s="67"/>
      <c r="Q23" s="67"/>
      <c r="R23" s="108"/>
      <c r="S23" s="108"/>
      <c r="T23" s="108"/>
      <c r="U23" s="68"/>
      <c r="V23" s="68"/>
      <c r="W23" s="68"/>
      <c r="X23" s="68"/>
    </row>
    <row r="24" spans="1:24" ht="12.75">
      <c r="A24" s="9" t="s">
        <v>327</v>
      </c>
      <c r="B24" s="14" t="s">
        <v>232</v>
      </c>
      <c r="C24" s="110">
        <f>+'[1]CAPEX'!Q19</f>
        <v>1349928.1</v>
      </c>
      <c r="D24" s="110">
        <v>1149930</v>
      </c>
      <c r="E24" s="112">
        <f t="shared" si="0"/>
        <v>199998.1000000001</v>
      </c>
      <c r="F24" s="31">
        <f t="shared" si="1"/>
        <v>1.173921977859522</v>
      </c>
      <c r="G24" s="35">
        <f t="shared" si="2"/>
        <v>0.02080207593476788</v>
      </c>
      <c r="H24" s="33"/>
      <c r="I24" s="33"/>
      <c r="J24" s="33"/>
      <c r="K24" s="33"/>
      <c r="L24" s="33"/>
      <c r="M24" s="33"/>
      <c r="N24" s="33"/>
      <c r="P24" s="67"/>
      <c r="Q24" s="67"/>
      <c r="R24" s="108"/>
      <c r="S24" s="108"/>
      <c r="T24" s="108"/>
      <c r="U24" s="68"/>
      <c r="V24" s="68"/>
      <c r="W24" s="68"/>
      <c r="X24" s="68"/>
    </row>
    <row r="25" spans="1:24" ht="12.75">
      <c r="A25" s="9" t="s">
        <v>326</v>
      </c>
      <c r="B25" s="14" t="s">
        <v>347</v>
      </c>
      <c r="C25" s="110">
        <f>+'[1]CAPEX'!$Q$23</f>
        <v>1573398.9</v>
      </c>
      <c r="D25" s="110">
        <v>1473399</v>
      </c>
      <c r="E25" s="112">
        <f t="shared" si="0"/>
        <v>99999.8999999999</v>
      </c>
      <c r="F25" s="31">
        <f t="shared" si="1"/>
        <v>1.067870210309631</v>
      </c>
      <c r="G25" s="35">
        <f t="shared" si="2"/>
        <v>0.026653585766273653</v>
      </c>
      <c r="H25" s="33"/>
      <c r="I25" s="33"/>
      <c r="J25" s="33"/>
      <c r="K25" s="33"/>
      <c r="L25" s="33"/>
      <c r="M25" s="33"/>
      <c r="N25" s="33"/>
      <c r="P25" s="67"/>
      <c r="Q25" s="67"/>
      <c r="R25" s="108"/>
      <c r="S25" s="108"/>
      <c r="T25" s="108"/>
      <c r="U25" s="68"/>
      <c r="V25" s="68"/>
      <c r="W25" s="68"/>
      <c r="X25" s="68"/>
    </row>
    <row r="26" spans="1:24" ht="12.75">
      <c r="A26" s="9" t="s">
        <v>328</v>
      </c>
      <c r="B26" s="14" t="s">
        <v>348</v>
      </c>
      <c r="C26" s="110">
        <f>+'[1]CAPEX'!$Q$27</f>
        <v>259750.32</v>
      </c>
      <c r="D26" s="110">
        <v>259750</v>
      </c>
      <c r="E26" s="112">
        <f t="shared" si="0"/>
        <v>0.3200000000069849</v>
      </c>
      <c r="F26" s="31">
        <f t="shared" si="1"/>
        <v>1.0000012319538019</v>
      </c>
      <c r="G26" s="35">
        <f t="shared" si="2"/>
        <v>0.004698841863466435</v>
      </c>
      <c r="H26" s="33"/>
      <c r="I26" s="33"/>
      <c r="J26" s="33"/>
      <c r="K26" s="33"/>
      <c r="L26" s="33"/>
      <c r="M26" s="33"/>
      <c r="N26" s="33"/>
      <c r="P26" s="67"/>
      <c r="Q26" s="67"/>
      <c r="R26" s="108"/>
      <c r="S26" s="108"/>
      <c r="T26" s="108"/>
      <c r="U26" s="68"/>
      <c r="V26" s="68"/>
      <c r="W26" s="68"/>
      <c r="X26" s="68"/>
    </row>
    <row r="27" spans="1:24" ht="12.75">
      <c r="A27" s="9" t="s">
        <v>329</v>
      </c>
      <c r="B27" s="14" t="s">
        <v>349</v>
      </c>
      <c r="C27" s="110">
        <f>+'[1]CAPEX'!$Q$28</f>
        <v>50999.770000000004</v>
      </c>
      <c r="D27" s="110">
        <v>51000</v>
      </c>
      <c r="E27" s="112">
        <f t="shared" si="0"/>
        <v>-0.22999999999592546</v>
      </c>
      <c r="F27" s="31">
        <f t="shared" si="1"/>
        <v>0.9999954901960785</v>
      </c>
      <c r="G27" s="35">
        <f t="shared" si="2"/>
        <v>0.0009225830030290209</v>
      </c>
      <c r="H27" s="33"/>
      <c r="I27" s="33"/>
      <c r="J27" s="33"/>
      <c r="K27" s="33"/>
      <c r="L27" s="33"/>
      <c r="M27" s="33"/>
      <c r="N27" s="33"/>
      <c r="P27" s="67"/>
      <c r="Q27" s="67"/>
      <c r="R27" s="108"/>
      <c r="S27" s="108"/>
      <c r="T27" s="108"/>
      <c r="U27" s="68"/>
      <c r="V27" s="68"/>
      <c r="W27" s="68"/>
      <c r="X27" s="68"/>
    </row>
    <row r="28" spans="1:24" ht="12.75">
      <c r="A28" s="9" t="s">
        <v>330</v>
      </c>
      <c r="B28" s="109" t="s">
        <v>350</v>
      </c>
      <c r="C28" s="110">
        <f>+'[1]CAPEX'!$Q$29</f>
        <v>10000</v>
      </c>
      <c r="D28" s="110">
        <v>10000</v>
      </c>
      <c r="E28" s="112">
        <f t="shared" si="0"/>
        <v>0</v>
      </c>
      <c r="F28" s="31">
        <f t="shared" si="1"/>
        <v>1</v>
      </c>
      <c r="G28" s="35">
        <f t="shared" si="2"/>
        <v>0.00018089862804490607</v>
      </c>
      <c r="H28" s="33"/>
      <c r="I28" s="33"/>
      <c r="J28" s="33"/>
      <c r="K28" s="33"/>
      <c r="L28" s="33"/>
      <c r="M28" s="33"/>
      <c r="N28" s="33"/>
      <c r="P28" s="67"/>
      <c r="U28" s="68"/>
      <c r="V28" s="68"/>
      <c r="W28" s="68"/>
      <c r="X28" s="68"/>
    </row>
    <row r="29" spans="1:24" ht="12.75">
      <c r="A29" s="9" t="s">
        <v>331</v>
      </c>
      <c r="B29" s="109" t="s">
        <v>234</v>
      </c>
      <c r="C29" s="110">
        <f>+'[1]CAPEX'!$Q$30</f>
        <v>1752359</v>
      </c>
      <c r="D29" s="110">
        <v>146300</v>
      </c>
      <c r="E29" s="112">
        <f t="shared" si="0"/>
        <v>1606059</v>
      </c>
      <c r="F29" s="31">
        <f t="shared" si="1"/>
        <v>11.977846889952152</v>
      </c>
      <c r="G29" s="35">
        <f t="shared" si="2"/>
        <v>0.002646546928296976</v>
      </c>
      <c r="H29" s="33"/>
      <c r="I29" s="33"/>
      <c r="J29" s="33"/>
      <c r="K29" s="33"/>
      <c r="L29" s="33"/>
      <c r="M29" s="33"/>
      <c r="N29" s="33"/>
      <c r="P29" s="67"/>
      <c r="U29" s="68"/>
      <c r="V29" s="68"/>
      <c r="W29" s="68"/>
      <c r="X29" s="68"/>
    </row>
    <row r="30" spans="1:24" ht="12.75">
      <c r="A30" s="9" t="s">
        <v>332</v>
      </c>
      <c r="B30" s="109" t="s">
        <v>235</v>
      </c>
      <c r="C30" s="110">
        <f>+'[1]CAPEX'!$Q$31+'[1]CAPEX'!$Q$32+'[1]CAPEX'!$Q$33+'[1]CAPEX'!$Q$34</f>
        <v>499999.61</v>
      </c>
      <c r="D30" s="110">
        <v>500000</v>
      </c>
      <c r="E30" s="112">
        <f t="shared" si="0"/>
        <v>-0.39000000001396984</v>
      </c>
      <c r="F30" s="31">
        <f t="shared" si="1"/>
        <v>0.99999922</v>
      </c>
      <c r="G30" s="35">
        <f t="shared" si="2"/>
        <v>0.009044931402245302</v>
      </c>
      <c r="H30" s="33"/>
      <c r="I30" s="33"/>
      <c r="J30" s="33"/>
      <c r="K30" s="33"/>
      <c r="L30" s="33"/>
      <c r="M30" s="33"/>
      <c r="N30" s="33"/>
      <c r="P30" s="67"/>
      <c r="U30" s="68"/>
      <c r="V30" s="68"/>
      <c r="W30" s="68"/>
      <c r="X30" s="68"/>
    </row>
    <row r="31" spans="1:24" ht="12.75">
      <c r="A31" s="9" t="s">
        <v>333</v>
      </c>
      <c r="B31" s="109" t="s">
        <v>236</v>
      </c>
      <c r="C31" s="110">
        <f>+'[1]CAPEX'!$Q$35</f>
        <v>218014.09000000003</v>
      </c>
      <c r="D31" s="110">
        <v>218014</v>
      </c>
      <c r="E31" s="112">
        <f t="shared" si="0"/>
        <v>0.09000000002561137</v>
      </c>
      <c r="F31" s="31">
        <f t="shared" si="1"/>
        <v>1.0000004128175255</v>
      </c>
      <c r="G31" s="35">
        <f t="shared" si="2"/>
        <v>0.003943843349458215</v>
      </c>
      <c r="H31" s="33"/>
      <c r="I31" s="33"/>
      <c r="J31" s="33"/>
      <c r="K31" s="33"/>
      <c r="L31" s="33"/>
      <c r="M31" s="33"/>
      <c r="N31" s="33"/>
      <c r="P31" s="67"/>
      <c r="U31" s="68"/>
      <c r="V31" s="68"/>
      <c r="W31" s="68"/>
      <c r="X31" s="68"/>
    </row>
    <row r="32" spans="1:24" ht="12.75" customHeight="1">
      <c r="A32" s="9" t="s">
        <v>334</v>
      </c>
      <c r="B32" s="109" t="s">
        <v>351</v>
      </c>
      <c r="C32" s="110">
        <f>+'[1]CAPEX'!$Q$36</f>
        <v>820600.3099999998</v>
      </c>
      <c r="D32" s="110">
        <v>820600</v>
      </c>
      <c r="E32" s="112">
        <f t="shared" si="0"/>
        <v>0.3099999998230487</v>
      </c>
      <c r="F32" s="31">
        <f t="shared" si="1"/>
        <v>1.0000003777723614</v>
      </c>
      <c r="G32" s="35">
        <f t="shared" si="2"/>
        <v>0.01484454141736499</v>
      </c>
      <c r="H32" s="33"/>
      <c r="I32" s="33"/>
      <c r="J32" s="33"/>
      <c r="K32" s="33"/>
      <c r="L32" s="33"/>
      <c r="M32" s="33"/>
      <c r="N32" s="33"/>
      <c r="P32" s="7"/>
      <c r="U32" s="7"/>
      <c r="V32" s="7"/>
      <c r="W32" s="7"/>
      <c r="X32" s="7"/>
    </row>
    <row r="33" spans="1:14" ht="12.75">
      <c r="A33" s="9" t="s">
        <v>335</v>
      </c>
      <c r="B33" s="14" t="s">
        <v>352</v>
      </c>
      <c r="C33" s="110">
        <f>+'[1]CAPEX'!$Q$40</f>
        <v>100000</v>
      </c>
      <c r="D33" s="110">
        <v>0</v>
      </c>
      <c r="E33" s="112">
        <f t="shared" si="0"/>
        <v>100000</v>
      </c>
      <c r="F33" s="31"/>
      <c r="G33" s="35">
        <f t="shared" si="2"/>
        <v>0</v>
      </c>
      <c r="H33" s="33"/>
      <c r="I33" s="33"/>
      <c r="J33" s="33"/>
      <c r="K33" s="33"/>
      <c r="L33" s="33"/>
      <c r="M33" s="33"/>
      <c r="N33" s="33"/>
    </row>
    <row r="34" spans="1:14" ht="12.75">
      <c r="A34" s="17" t="s">
        <v>336</v>
      </c>
      <c r="B34" s="25" t="s">
        <v>353</v>
      </c>
      <c r="C34" s="110">
        <f>+'[1]CAPEX'!$Q$41</f>
        <v>260999.68</v>
      </c>
      <c r="D34" s="111">
        <v>81000</v>
      </c>
      <c r="E34" s="112">
        <f t="shared" si="0"/>
        <v>179999.68</v>
      </c>
      <c r="F34" s="72">
        <f t="shared" si="1"/>
        <v>3.2222182716049383</v>
      </c>
      <c r="G34" s="72">
        <f t="shared" si="2"/>
        <v>0.0014652788871637392</v>
      </c>
      <c r="H34" s="33"/>
      <c r="I34" s="33"/>
      <c r="J34" s="33"/>
      <c r="K34" s="33"/>
      <c r="L34" s="33"/>
      <c r="M34" s="33"/>
      <c r="N34" s="33"/>
    </row>
    <row r="35" spans="1:14" ht="12.75">
      <c r="A35" s="26"/>
      <c r="B35" s="27" t="s">
        <v>33</v>
      </c>
      <c r="C35" s="39">
        <f>SUM(C15:C34)</f>
        <v>14648377.679999998</v>
      </c>
      <c r="D35" s="39">
        <f>SUM(D15:D34)</f>
        <v>13403440</v>
      </c>
      <c r="E35" s="39">
        <f>SUM(E15:E34)</f>
        <v>1244937.6799999992</v>
      </c>
      <c r="F35" s="37">
        <f t="shared" si="1"/>
        <v>1.0928819526927414</v>
      </c>
      <c r="G35" s="40"/>
      <c r="H35" s="33"/>
      <c r="I35" s="33"/>
      <c r="J35" s="33"/>
      <c r="K35" s="33"/>
      <c r="L35" s="33"/>
      <c r="M35" s="33"/>
      <c r="N35" s="33"/>
    </row>
    <row r="36" spans="1:14" ht="12.75">
      <c r="A36" s="26"/>
      <c r="B36" s="27" t="s">
        <v>337</v>
      </c>
      <c r="C36" s="39">
        <f>C15</f>
        <v>3764858.2899999996</v>
      </c>
      <c r="D36" s="39">
        <f>D15</f>
        <v>4000000</v>
      </c>
      <c r="E36" s="39">
        <f>E15</f>
        <v>-235141.71000000043</v>
      </c>
      <c r="F36" s="40"/>
      <c r="G36" s="40"/>
      <c r="H36" s="33"/>
      <c r="I36" s="33"/>
      <c r="J36" s="33"/>
      <c r="K36" s="33"/>
      <c r="L36" s="33"/>
      <c r="M36" s="33"/>
      <c r="N36" s="33"/>
    </row>
    <row r="37" spans="1:14" ht="12.75">
      <c r="A37" s="26"/>
      <c r="B37" s="27" t="s">
        <v>338</v>
      </c>
      <c r="C37" s="39">
        <f>C35-C36</f>
        <v>10883519.389999999</v>
      </c>
      <c r="D37" s="39">
        <f>D35-D36</f>
        <v>9403440</v>
      </c>
      <c r="E37" s="39">
        <f>E35-E36</f>
        <v>1480079.3899999997</v>
      </c>
      <c r="F37" s="41">
        <f>C37/D37</f>
        <v>1.1573976534119428</v>
      </c>
      <c r="G37" s="40"/>
      <c r="H37" s="33"/>
      <c r="I37" s="33"/>
      <c r="J37" s="33"/>
      <c r="K37" s="33"/>
      <c r="L37" s="33"/>
      <c r="M37" s="33"/>
      <c r="N37" s="33"/>
    </row>
    <row r="38" spans="1:14" ht="12.75">
      <c r="A38" s="26"/>
      <c r="B38" s="119"/>
      <c r="C38" s="120"/>
      <c r="D38" s="120"/>
      <c r="E38" s="120"/>
      <c r="F38" s="99"/>
      <c r="G38" s="40"/>
      <c r="H38" s="33"/>
      <c r="I38" s="33"/>
      <c r="J38" s="33"/>
      <c r="K38" s="33"/>
      <c r="L38" s="33"/>
      <c r="M38" s="33"/>
      <c r="N38" s="33"/>
    </row>
    <row r="39" spans="1:14" ht="12.75">
      <c r="A39" s="26"/>
      <c r="B39" s="119"/>
      <c r="C39" s="120"/>
      <c r="D39" s="120"/>
      <c r="E39" s="120"/>
      <c r="F39" s="99"/>
      <c r="G39" s="40"/>
      <c r="H39" s="33"/>
      <c r="I39" s="33"/>
      <c r="J39" s="33"/>
      <c r="K39" s="33"/>
      <c r="L39" s="33"/>
      <c r="M39" s="33"/>
      <c r="N39" s="33"/>
    </row>
    <row r="40" spans="1:14" ht="15.75" customHeight="1">
      <c r="A40" s="26"/>
      <c r="B40" s="119"/>
      <c r="C40" s="120"/>
      <c r="D40" s="120"/>
      <c r="E40" s="120"/>
      <c r="F40" s="99"/>
      <c r="G40" s="40"/>
      <c r="H40" s="33"/>
      <c r="I40" s="33"/>
      <c r="J40" s="33"/>
      <c r="K40" s="33"/>
      <c r="L40" s="33"/>
      <c r="M40" s="33"/>
      <c r="N40" s="33"/>
    </row>
    <row r="41" spans="1:14" ht="15.75" customHeight="1">
      <c r="A41" s="26"/>
      <c r="B41" s="119"/>
      <c r="C41" s="120"/>
      <c r="D41" s="120"/>
      <c r="E41" s="120"/>
      <c r="F41" s="99"/>
      <c r="G41" s="40"/>
      <c r="H41" s="33"/>
      <c r="I41" s="33"/>
      <c r="J41" s="33"/>
      <c r="K41" s="33"/>
      <c r="L41" s="33"/>
      <c r="M41" s="33"/>
      <c r="N41" s="33"/>
    </row>
    <row r="42" spans="1:14" ht="15.75" customHeight="1">
      <c r="A42" s="161" t="s">
        <v>186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1:14" ht="15.75" customHeight="1">
      <c r="A43" s="161" t="str">
        <f>A2</f>
        <v>Case No. 2008 - 00427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15.75" customHeight="1">
      <c r="A44" s="161" t="s">
        <v>209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spans="4:5" ht="15.75" customHeight="1">
      <c r="D45" s="3" t="s">
        <v>2</v>
      </c>
      <c r="E45" s="130">
        <f>E4</f>
        <v>2008</v>
      </c>
    </row>
    <row r="46" spans="1:12" ht="15.75" customHeight="1">
      <c r="A46" s="2" t="s">
        <v>3</v>
      </c>
      <c r="L46" s="2" t="s">
        <v>208</v>
      </c>
    </row>
    <row r="47" spans="1:12" ht="15.75" customHeight="1">
      <c r="A47" s="2" t="s">
        <v>4</v>
      </c>
      <c r="L47" s="2" t="s">
        <v>299</v>
      </c>
    </row>
    <row r="48" ht="15.75" customHeight="1">
      <c r="L48" s="2" t="s">
        <v>5</v>
      </c>
    </row>
    <row r="49" spans="12:13" ht="15.75" customHeight="1">
      <c r="L49" s="4" t="s">
        <v>6</v>
      </c>
      <c r="M49" s="4"/>
    </row>
    <row r="50" ht="15.75" customHeight="1"/>
    <row r="51" ht="15.75" customHeight="1"/>
    <row r="52" spans="1:14" ht="15.75" customHeight="1">
      <c r="A52" s="8"/>
      <c r="B52" s="12"/>
      <c r="C52" s="12"/>
      <c r="D52" s="12"/>
      <c r="E52" s="12"/>
      <c r="F52" s="12"/>
      <c r="G52" s="12"/>
      <c r="H52" s="12" t="s">
        <v>10</v>
      </c>
      <c r="I52" s="12" t="s">
        <v>10</v>
      </c>
      <c r="J52" s="12"/>
      <c r="K52" s="12" t="s">
        <v>11</v>
      </c>
      <c r="L52" s="12" t="s">
        <v>11</v>
      </c>
      <c r="M52" s="12"/>
      <c r="N52" s="12"/>
    </row>
    <row r="53" spans="1:14" ht="12.75">
      <c r="A53" s="9"/>
      <c r="B53" s="15"/>
      <c r="C53" s="15"/>
      <c r="D53" s="15" t="s">
        <v>14</v>
      </c>
      <c r="E53" s="15"/>
      <c r="F53" s="15"/>
      <c r="G53" s="15" t="s">
        <v>15</v>
      </c>
      <c r="H53" s="15" t="s">
        <v>16</v>
      </c>
      <c r="I53" s="15" t="s">
        <v>17</v>
      </c>
      <c r="J53" s="15"/>
      <c r="K53" s="15" t="s">
        <v>18</v>
      </c>
      <c r="L53" s="15" t="s">
        <v>18</v>
      </c>
      <c r="M53" s="15" t="s">
        <v>11</v>
      </c>
      <c r="N53" s="15" t="s">
        <v>11</v>
      </c>
    </row>
    <row r="54" spans="1:14" ht="12.75">
      <c r="A54" s="9"/>
      <c r="B54" s="15"/>
      <c r="C54" s="15" t="s">
        <v>14</v>
      </c>
      <c r="D54" s="15" t="s">
        <v>18</v>
      </c>
      <c r="E54" s="15" t="s">
        <v>24</v>
      </c>
      <c r="F54" s="15" t="s">
        <v>24</v>
      </c>
      <c r="G54" s="15" t="s">
        <v>25</v>
      </c>
      <c r="H54" s="15" t="s">
        <v>26</v>
      </c>
      <c r="I54" s="15" t="s">
        <v>26</v>
      </c>
      <c r="J54" s="15"/>
      <c r="K54" s="15" t="s">
        <v>17</v>
      </c>
      <c r="L54" s="15" t="s">
        <v>17</v>
      </c>
      <c r="M54" s="15" t="s">
        <v>16</v>
      </c>
      <c r="N54" s="15" t="s">
        <v>16</v>
      </c>
    </row>
    <row r="55" spans="1:14" ht="12.75">
      <c r="A55" s="17" t="s">
        <v>27</v>
      </c>
      <c r="B55" s="21" t="s">
        <v>28</v>
      </c>
      <c r="C55" s="162" t="s">
        <v>374</v>
      </c>
      <c r="D55" s="21" t="s">
        <v>17</v>
      </c>
      <c r="E55" s="21" t="s">
        <v>29</v>
      </c>
      <c r="F55" s="21" t="s">
        <v>15</v>
      </c>
      <c r="G55" s="21" t="s">
        <v>17</v>
      </c>
      <c r="H55" s="21" t="s">
        <v>30</v>
      </c>
      <c r="I55" s="21" t="s">
        <v>30</v>
      </c>
      <c r="J55" s="21" t="s">
        <v>24</v>
      </c>
      <c r="K55" s="21" t="s">
        <v>31</v>
      </c>
      <c r="L55" s="21" t="s">
        <v>32</v>
      </c>
      <c r="M55" s="21" t="s">
        <v>31</v>
      </c>
      <c r="N55" s="21" t="s">
        <v>32</v>
      </c>
    </row>
    <row r="56" spans="1:14" ht="12.75">
      <c r="A56" s="56"/>
      <c r="B56" s="57" t="s">
        <v>19</v>
      </c>
      <c r="C56" s="58"/>
      <c r="D56" s="58"/>
      <c r="E56" s="58"/>
      <c r="F56" s="59"/>
      <c r="G56" s="59"/>
      <c r="H56" s="60"/>
      <c r="I56" s="60"/>
      <c r="J56" s="60"/>
      <c r="K56" s="60"/>
      <c r="L56" s="60"/>
      <c r="M56" s="60"/>
      <c r="N56" s="60"/>
    </row>
    <row r="57" spans="1:14" ht="12.75">
      <c r="A57" s="98" t="s">
        <v>166</v>
      </c>
      <c r="B57" s="93" t="s">
        <v>187</v>
      </c>
      <c r="C57" s="112">
        <v>40.41</v>
      </c>
      <c r="D57" s="112">
        <v>0</v>
      </c>
      <c r="E57" s="113">
        <f>C57-D57</f>
        <v>40.41</v>
      </c>
      <c r="F57" s="35"/>
      <c r="G57" s="55">
        <f aca="true" t="shared" si="3" ref="G57:G77">D57/(D$35+D$79)</f>
        <v>0</v>
      </c>
      <c r="H57" s="34"/>
      <c r="I57" s="34"/>
      <c r="J57" s="43">
        <f>H57-I57</f>
        <v>0</v>
      </c>
      <c r="K57" s="45">
        <v>37257</v>
      </c>
      <c r="L57" s="45">
        <v>37591</v>
      </c>
      <c r="M57" s="45">
        <v>37257</v>
      </c>
      <c r="N57" s="52">
        <v>37561</v>
      </c>
    </row>
    <row r="58" spans="1:14" ht="12.75">
      <c r="A58" s="92" t="s">
        <v>168</v>
      </c>
      <c r="B58" s="93" t="s">
        <v>183</v>
      </c>
      <c r="C58" s="112">
        <f>+'[2]Capex'!$R$5</f>
        <v>230989.56999999998</v>
      </c>
      <c r="D58" s="112">
        <v>64200</v>
      </c>
      <c r="E58" s="113">
        <f aca="true" t="shared" si="4" ref="E58:E74">C58-D58</f>
        <v>166789.56999999998</v>
      </c>
      <c r="F58" s="35">
        <f>C58/D58</f>
        <v>3.597968380062305</v>
      </c>
      <c r="G58" s="55">
        <f t="shared" si="3"/>
        <v>0.001161369192048297</v>
      </c>
      <c r="H58" s="34"/>
      <c r="I58" s="34"/>
      <c r="J58" s="43">
        <f aca="true" t="shared" si="5" ref="J58:J77">H58-I58</f>
        <v>0</v>
      </c>
      <c r="K58" s="47">
        <v>37347</v>
      </c>
      <c r="L58" s="45">
        <v>37956</v>
      </c>
      <c r="M58" s="45">
        <v>37043</v>
      </c>
      <c r="N58" s="52"/>
    </row>
    <row r="59" spans="1:14" ht="12.75">
      <c r="A59" s="92" t="s">
        <v>178</v>
      </c>
      <c r="B59" s="93" t="s">
        <v>184</v>
      </c>
      <c r="C59" s="112">
        <v>-30.6</v>
      </c>
      <c r="D59" s="112">
        <v>0</v>
      </c>
      <c r="E59" s="113">
        <f t="shared" si="4"/>
        <v>-30.6</v>
      </c>
      <c r="F59" s="35"/>
      <c r="G59" s="55">
        <f t="shared" si="3"/>
        <v>0</v>
      </c>
      <c r="H59" s="34"/>
      <c r="I59" s="34"/>
      <c r="J59" s="43">
        <f t="shared" si="5"/>
        <v>0</v>
      </c>
      <c r="K59" s="45">
        <v>37742</v>
      </c>
      <c r="L59" s="45">
        <v>38687</v>
      </c>
      <c r="M59" s="45">
        <v>37803</v>
      </c>
      <c r="N59" s="52">
        <v>38687</v>
      </c>
    </row>
    <row r="60" spans="1:14" ht="12.75">
      <c r="A60" s="117" t="s">
        <v>180</v>
      </c>
      <c r="B60" s="93" t="s">
        <v>185</v>
      </c>
      <c r="C60" s="112">
        <v>337</v>
      </c>
      <c r="D60" s="112">
        <v>0</v>
      </c>
      <c r="E60" s="113">
        <f t="shared" si="4"/>
        <v>337</v>
      </c>
      <c r="F60" s="35"/>
      <c r="G60" s="55">
        <f t="shared" si="3"/>
        <v>0</v>
      </c>
      <c r="H60" s="34"/>
      <c r="I60" s="34"/>
      <c r="J60" s="43">
        <f t="shared" si="5"/>
        <v>0</v>
      </c>
      <c r="K60" s="45">
        <v>37622</v>
      </c>
      <c r="L60" s="45">
        <v>38169</v>
      </c>
      <c r="M60" s="45">
        <v>37773</v>
      </c>
      <c r="N60" s="52">
        <v>38687</v>
      </c>
    </row>
    <row r="61" spans="1:14" ht="12.75">
      <c r="A61" s="117" t="s">
        <v>243</v>
      </c>
      <c r="B61" s="116" t="s">
        <v>247</v>
      </c>
      <c r="C61" s="112">
        <f>+'[2]Capex'!$R$6</f>
        <v>268376.63</v>
      </c>
      <c r="D61" s="112">
        <v>2935000</v>
      </c>
      <c r="E61" s="112">
        <f t="shared" si="4"/>
        <v>-2666623.37</v>
      </c>
      <c r="F61" s="35">
        <f>C61/D61</f>
        <v>0.0914400783645656</v>
      </c>
      <c r="G61" s="115">
        <f t="shared" si="3"/>
        <v>0.05309374733117993</v>
      </c>
      <c r="H61" s="34"/>
      <c r="I61" s="34"/>
      <c r="J61" s="43">
        <f t="shared" si="5"/>
        <v>0</v>
      </c>
      <c r="K61" s="45">
        <v>37987</v>
      </c>
      <c r="L61" s="133" t="s">
        <v>359</v>
      </c>
      <c r="M61" s="133" t="s">
        <v>284</v>
      </c>
      <c r="N61" s="134" t="s">
        <v>284</v>
      </c>
    </row>
    <row r="62" spans="1:14" ht="12.75">
      <c r="A62" s="117" t="s">
        <v>244</v>
      </c>
      <c r="B62" s="116" t="s">
        <v>246</v>
      </c>
      <c r="C62" s="112">
        <f>+'[2]Capex'!$R$29</f>
        <v>336000.01999999996</v>
      </c>
      <c r="D62" s="112">
        <v>0</v>
      </c>
      <c r="E62" s="112">
        <f t="shared" si="4"/>
        <v>336000.01999999996</v>
      </c>
      <c r="F62" s="35"/>
      <c r="G62" s="115">
        <f t="shared" si="3"/>
        <v>0</v>
      </c>
      <c r="H62" s="34"/>
      <c r="I62" s="129"/>
      <c r="J62" s="43">
        <f t="shared" si="5"/>
        <v>0</v>
      </c>
      <c r="K62" s="45">
        <v>38261</v>
      </c>
      <c r="L62" s="45">
        <v>39417</v>
      </c>
      <c r="M62" s="45">
        <v>38261</v>
      </c>
      <c r="N62" s="52"/>
    </row>
    <row r="63" spans="1:14" ht="12.75">
      <c r="A63" s="117" t="s">
        <v>252</v>
      </c>
      <c r="B63" s="116" t="s">
        <v>253</v>
      </c>
      <c r="C63" s="112">
        <v>-195.69</v>
      </c>
      <c r="D63" s="112">
        <v>0</v>
      </c>
      <c r="E63" s="112">
        <f t="shared" si="4"/>
        <v>-195.69</v>
      </c>
      <c r="F63" s="35"/>
      <c r="G63" s="115">
        <f t="shared" si="3"/>
        <v>0</v>
      </c>
      <c r="H63" s="34"/>
      <c r="I63" s="34"/>
      <c r="J63" s="43">
        <f t="shared" si="5"/>
        <v>0</v>
      </c>
      <c r="K63" s="45">
        <v>38443</v>
      </c>
      <c r="L63" s="45">
        <v>39417</v>
      </c>
      <c r="M63" s="45">
        <v>38565</v>
      </c>
      <c r="N63" s="52">
        <v>39052</v>
      </c>
    </row>
    <row r="64" spans="1:14" ht="12.75">
      <c r="A64" s="117" t="s">
        <v>250</v>
      </c>
      <c r="B64" s="116" t="s">
        <v>251</v>
      </c>
      <c r="C64" s="112">
        <f>+'[2]Capex'!$R$7</f>
        <v>137647.78</v>
      </c>
      <c r="D64" s="112">
        <v>0</v>
      </c>
      <c r="E64" s="112">
        <f t="shared" si="4"/>
        <v>137647.78</v>
      </c>
      <c r="F64" s="35"/>
      <c r="G64" s="115">
        <f t="shared" si="3"/>
        <v>0</v>
      </c>
      <c r="H64" s="34"/>
      <c r="I64" s="34"/>
      <c r="J64" s="43">
        <f t="shared" si="5"/>
        <v>0</v>
      </c>
      <c r="K64" s="45">
        <v>38443</v>
      </c>
      <c r="L64" s="45">
        <v>39052</v>
      </c>
      <c r="M64" s="45">
        <v>38443</v>
      </c>
      <c r="N64" s="52"/>
    </row>
    <row r="65" spans="1:14" ht="12.75">
      <c r="A65" s="117" t="s">
        <v>261</v>
      </c>
      <c r="B65" s="116" t="s">
        <v>262</v>
      </c>
      <c r="C65" s="112">
        <f>+'[2]Capex'!$R$8</f>
        <v>169884.3</v>
      </c>
      <c r="D65" s="112">
        <v>50000</v>
      </c>
      <c r="E65" s="112">
        <f t="shared" si="4"/>
        <v>119884.29999999999</v>
      </c>
      <c r="F65" s="35">
        <f>C65/D65</f>
        <v>3.3976859999999998</v>
      </c>
      <c r="G65" s="115">
        <f t="shared" si="3"/>
        <v>0.0009044931402245303</v>
      </c>
      <c r="H65" s="34"/>
      <c r="I65" s="34"/>
      <c r="J65" s="43">
        <f t="shared" si="5"/>
        <v>0</v>
      </c>
      <c r="K65" s="45">
        <v>38443</v>
      </c>
      <c r="L65" s="45">
        <v>39783</v>
      </c>
      <c r="M65" s="45">
        <v>38443</v>
      </c>
      <c r="N65" s="52"/>
    </row>
    <row r="66" spans="1:14" ht="12.75">
      <c r="A66" s="117" t="s">
        <v>263</v>
      </c>
      <c r="B66" s="116" t="s">
        <v>264</v>
      </c>
      <c r="C66" s="112">
        <f>+'[2]Capex'!$R$9+'[2]Capex'!$R$10</f>
        <v>1400365</v>
      </c>
      <c r="D66" s="112">
        <v>1210964</v>
      </c>
      <c r="E66" s="112">
        <f t="shared" si="4"/>
        <v>189401</v>
      </c>
      <c r="F66" s="35">
        <f>C66/D66</f>
        <v>1.1564051449919237</v>
      </c>
      <c r="G66" s="115">
        <f t="shared" si="3"/>
        <v>0.021906172621177163</v>
      </c>
      <c r="H66" s="34"/>
      <c r="I66" s="34"/>
      <c r="J66" s="43">
        <f t="shared" si="5"/>
        <v>0</v>
      </c>
      <c r="K66" s="45">
        <v>38687</v>
      </c>
      <c r="L66" s="45">
        <v>39264</v>
      </c>
      <c r="M66" s="45">
        <v>38687</v>
      </c>
      <c r="N66" s="52"/>
    </row>
    <row r="67" spans="1:14" ht="12.75">
      <c r="A67" s="117" t="s">
        <v>266</v>
      </c>
      <c r="B67" s="116" t="s">
        <v>268</v>
      </c>
      <c r="C67" s="112">
        <f>+'[2]Capex'!$R$11</f>
        <v>300000</v>
      </c>
      <c r="D67" s="112">
        <v>0</v>
      </c>
      <c r="E67" s="112">
        <f t="shared" si="4"/>
        <v>300000</v>
      </c>
      <c r="F67" s="35"/>
      <c r="G67" s="115">
        <f t="shared" si="3"/>
        <v>0</v>
      </c>
      <c r="H67" s="34"/>
      <c r="I67" s="34"/>
      <c r="J67" s="43">
        <f t="shared" si="5"/>
        <v>0</v>
      </c>
      <c r="K67" s="45">
        <v>38777</v>
      </c>
      <c r="L67" s="45">
        <v>39326</v>
      </c>
      <c r="M67" s="45">
        <v>38930</v>
      </c>
      <c r="N67" s="52"/>
    </row>
    <row r="68" spans="1:14" ht="12.75">
      <c r="A68" s="117" t="s">
        <v>277</v>
      </c>
      <c r="B68" s="116" t="s">
        <v>283</v>
      </c>
      <c r="C68" s="112">
        <v>3004.64</v>
      </c>
      <c r="D68" s="112">
        <v>0</v>
      </c>
      <c r="E68" s="112">
        <f t="shared" si="4"/>
        <v>3004.64</v>
      </c>
      <c r="F68" s="35"/>
      <c r="G68" s="115">
        <f t="shared" si="3"/>
        <v>0</v>
      </c>
      <c r="H68" s="34"/>
      <c r="I68" s="34"/>
      <c r="J68" s="43">
        <f t="shared" si="5"/>
        <v>0</v>
      </c>
      <c r="K68" s="45">
        <v>38749</v>
      </c>
      <c r="L68" s="45">
        <v>39052</v>
      </c>
      <c r="M68" s="45">
        <v>38808</v>
      </c>
      <c r="N68" s="52">
        <v>39387</v>
      </c>
    </row>
    <row r="69" spans="1:14" ht="12.75">
      <c r="A69" s="117" t="s">
        <v>269</v>
      </c>
      <c r="B69" s="116" t="s">
        <v>270</v>
      </c>
      <c r="C69" s="112">
        <v>269.52</v>
      </c>
      <c r="D69" s="112">
        <v>0</v>
      </c>
      <c r="E69" s="112">
        <f t="shared" si="4"/>
        <v>269.52</v>
      </c>
      <c r="F69" s="35"/>
      <c r="G69" s="115">
        <f t="shared" si="3"/>
        <v>0</v>
      </c>
      <c r="H69" s="34"/>
      <c r="I69" s="34"/>
      <c r="J69" s="43">
        <f t="shared" si="5"/>
        <v>0</v>
      </c>
      <c r="K69" s="45">
        <v>38718</v>
      </c>
      <c r="L69" s="45">
        <v>39022</v>
      </c>
      <c r="M69" s="45">
        <v>38777</v>
      </c>
      <c r="N69" s="52">
        <v>39295</v>
      </c>
    </row>
    <row r="70" spans="1:14" ht="12.75">
      <c r="A70" s="117" t="s">
        <v>271</v>
      </c>
      <c r="B70" s="116" t="s">
        <v>274</v>
      </c>
      <c r="C70" s="112">
        <v>-394.42</v>
      </c>
      <c r="D70" s="112">
        <v>0</v>
      </c>
      <c r="E70" s="112">
        <f t="shared" si="4"/>
        <v>-394.42</v>
      </c>
      <c r="F70" s="35"/>
      <c r="G70" s="115">
        <f t="shared" si="3"/>
        <v>0</v>
      </c>
      <c r="H70" s="34"/>
      <c r="I70" s="34"/>
      <c r="J70" s="43">
        <f t="shared" si="5"/>
        <v>0</v>
      </c>
      <c r="K70" s="45">
        <v>38749</v>
      </c>
      <c r="L70" s="45">
        <v>39052</v>
      </c>
      <c r="M70" s="45">
        <v>38777</v>
      </c>
      <c r="N70" s="52">
        <v>39356</v>
      </c>
    </row>
    <row r="71" spans="1:14" ht="12.75">
      <c r="A71" s="117" t="s">
        <v>272</v>
      </c>
      <c r="B71" s="116" t="s">
        <v>275</v>
      </c>
      <c r="C71" s="112">
        <f>+'[2]Capex'!$R$25</f>
        <v>31599999.42</v>
      </c>
      <c r="D71" s="112">
        <v>33310430</v>
      </c>
      <c r="E71" s="112">
        <f t="shared" si="4"/>
        <v>-1710430.5799999982</v>
      </c>
      <c r="F71" s="35">
        <f aca="true" t="shared" si="6" ref="F71:F76">C71/D71</f>
        <v>0.9486518012526407</v>
      </c>
      <c r="G71" s="115">
        <f t="shared" si="3"/>
        <v>0.602581108658588</v>
      </c>
      <c r="H71" s="34"/>
      <c r="I71" s="34"/>
      <c r="J71" s="43">
        <f t="shared" si="5"/>
        <v>0</v>
      </c>
      <c r="K71" s="45">
        <v>38838</v>
      </c>
      <c r="L71" s="45">
        <v>40513</v>
      </c>
      <c r="M71" s="45">
        <v>38838</v>
      </c>
      <c r="N71" s="52"/>
    </row>
    <row r="72" spans="1:14" ht="12.75">
      <c r="A72" s="117" t="s">
        <v>273</v>
      </c>
      <c r="B72" s="116" t="s">
        <v>276</v>
      </c>
      <c r="C72" s="112">
        <v>0</v>
      </c>
      <c r="D72" s="112">
        <v>850000</v>
      </c>
      <c r="E72" s="112">
        <f t="shared" si="4"/>
        <v>-850000</v>
      </c>
      <c r="F72" s="35">
        <f t="shared" si="6"/>
        <v>0</v>
      </c>
      <c r="G72" s="35">
        <f t="shared" si="3"/>
        <v>0.015376383383817015</v>
      </c>
      <c r="H72" s="34"/>
      <c r="I72" s="34"/>
      <c r="J72" s="43">
        <f t="shared" si="5"/>
        <v>0</v>
      </c>
      <c r="K72" s="45">
        <v>38718</v>
      </c>
      <c r="L72" s="45">
        <v>39173</v>
      </c>
      <c r="M72" s="45">
        <v>38899</v>
      </c>
      <c r="N72" s="52"/>
    </row>
    <row r="73" spans="1:14" ht="12.75">
      <c r="A73" s="132">
        <v>12020701</v>
      </c>
      <c r="B73" s="116" t="s">
        <v>358</v>
      </c>
      <c r="C73" s="112">
        <f>+'[2]Capex'!$R$39</f>
        <v>309778.76</v>
      </c>
      <c r="D73" s="112">
        <v>280709</v>
      </c>
      <c r="E73" s="112">
        <f t="shared" si="4"/>
        <v>29069.76000000001</v>
      </c>
      <c r="F73" s="35">
        <f t="shared" si="6"/>
        <v>1.1035583469001706</v>
      </c>
      <c r="G73" s="35">
        <f t="shared" si="3"/>
        <v>0.005077987297985753</v>
      </c>
      <c r="H73" s="34"/>
      <c r="I73" s="34"/>
      <c r="J73" s="43">
        <f t="shared" si="5"/>
        <v>0</v>
      </c>
      <c r="K73" s="45">
        <v>39083</v>
      </c>
      <c r="L73" s="45">
        <v>40087</v>
      </c>
      <c r="M73" s="45">
        <v>39114</v>
      </c>
      <c r="N73" s="52"/>
    </row>
    <row r="74" spans="1:14" ht="12.75">
      <c r="A74" s="132">
        <v>12020702</v>
      </c>
      <c r="B74" s="116" t="s">
        <v>354</v>
      </c>
      <c r="C74" s="112">
        <f>+'[2]Capex'!$R$26</f>
        <v>670994.3400000001</v>
      </c>
      <c r="D74" s="112">
        <v>0</v>
      </c>
      <c r="E74" s="112">
        <f t="shared" si="4"/>
        <v>670994.3400000001</v>
      </c>
      <c r="F74" s="35"/>
      <c r="G74" s="35">
        <f t="shared" si="3"/>
        <v>0</v>
      </c>
      <c r="H74" s="34"/>
      <c r="I74" s="34"/>
      <c r="J74" s="43">
        <f t="shared" si="5"/>
        <v>0</v>
      </c>
      <c r="K74" s="45">
        <v>39083</v>
      </c>
      <c r="L74" s="45">
        <v>39417</v>
      </c>
      <c r="M74" s="45">
        <v>39142</v>
      </c>
      <c r="N74" s="52"/>
    </row>
    <row r="75" spans="1:14" ht="12.75">
      <c r="A75" s="135" t="s">
        <v>360</v>
      </c>
      <c r="B75" s="116" t="s">
        <v>356</v>
      </c>
      <c r="C75" s="112">
        <f>+'[2]Capex'!$R$31</f>
        <v>535000.01</v>
      </c>
      <c r="D75" s="112">
        <v>2350000</v>
      </c>
      <c r="E75" s="112"/>
      <c r="F75" s="35">
        <f t="shared" si="6"/>
        <v>0.22765957872340425</v>
      </c>
      <c r="G75" s="35">
        <f t="shared" si="3"/>
        <v>0.04251117759055292</v>
      </c>
      <c r="H75" s="34"/>
      <c r="I75" s="34"/>
      <c r="J75" s="43">
        <f t="shared" si="5"/>
        <v>0</v>
      </c>
      <c r="K75" s="45">
        <v>39417</v>
      </c>
      <c r="L75" s="45">
        <v>39965</v>
      </c>
      <c r="M75" s="45">
        <v>39508</v>
      </c>
      <c r="N75" s="52"/>
    </row>
    <row r="76" spans="1:14" ht="12.75">
      <c r="A76" s="135" t="s">
        <v>368</v>
      </c>
      <c r="B76" s="116" t="s">
        <v>369</v>
      </c>
      <c r="C76" s="112">
        <f>+'[2]Capex'!$R$37</f>
        <v>767402.36</v>
      </c>
      <c r="D76" s="112">
        <v>824836</v>
      </c>
      <c r="E76" s="112"/>
      <c r="F76" s="35">
        <f t="shared" si="6"/>
        <v>0.9303696249921196</v>
      </c>
      <c r="G76" s="35">
        <f t="shared" si="3"/>
        <v>0.014921170076204813</v>
      </c>
      <c r="H76" s="34"/>
      <c r="I76" s="34"/>
      <c r="J76" s="43">
        <f t="shared" si="5"/>
        <v>0</v>
      </c>
      <c r="K76" s="45">
        <v>39448</v>
      </c>
      <c r="L76" s="45">
        <v>39783</v>
      </c>
      <c r="M76" s="45">
        <v>39539</v>
      </c>
      <c r="N76" s="52"/>
    </row>
    <row r="77" spans="1:14" ht="12.75">
      <c r="A77" s="135" t="s">
        <v>367</v>
      </c>
      <c r="B77" s="116" t="s">
        <v>372</v>
      </c>
      <c r="C77" s="112">
        <f>+'[2]Capex'!$R$36</f>
        <v>1000000</v>
      </c>
      <c r="D77" s="112">
        <v>0</v>
      </c>
      <c r="E77" s="112"/>
      <c r="F77" s="35"/>
      <c r="G77" s="35">
        <f t="shared" si="3"/>
        <v>0</v>
      </c>
      <c r="H77" s="34"/>
      <c r="I77" s="34"/>
      <c r="J77" s="43">
        <f t="shared" si="5"/>
        <v>0</v>
      </c>
      <c r="K77" s="45">
        <v>39539</v>
      </c>
      <c r="L77" s="45">
        <v>39934</v>
      </c>
      <c r="M77" s="45">
        <v>39539</v>
      </c>
      <c r="N77" s="52"/>
    </row>
    <row r="78" spans="1:14" ht="12.75">
      <c r="A78" s="94"/>
      <c r="B78" s="95"/>
      <c r="C78" s="114"/>
      <c r="D78" s="114"/>
      <c r="E78" s="112"/>
      <c r="F78" s="35"/>
      <c r="G78" s="38"/>
      <c r="H78" s="36"/>
      <c r="I78" s="36"/>
      <c r="J78" s="44"/>
      <c r="K78" s="49"/>
      <c r="L78" s="49"/>
      <c r="M78" s="49"/>
      <c r="N78" s="50"/>
    </row>
    <row r="79" spans="3:14" ht="12">
      <c r="C79" s="90">
        <f>SUM(C56:C78)</f>
        <v>37729469.05</v>
      </c>
      <c r="D79" s="39">
        <f>SUM(D56:D78)</f>
        <v>41876139</v>
      </c>
      <c r="E79" s="39">
        <f>SUM(E56:E78)</f>
        <v>-3274236.3199999984</v>
      </c>
      <c r="F79" s="41">
        <f>C79/D79</f>
        <v>0.9009777393756382</v>
      </c>
      <c r="G79" s="40"/>
      <c r="H79" s="33"/>
      <c r="I79" s="33"/>
      <c r="J79" s="33"/>
      <c r="K79" s="33"/>
      <c r="L79" s="33"/>
      <c r="M79" s="33"/>
      <c r="N79" s="33"/>
    </row>
    <row r="81" ht="12">
      <c r="C81" s="158"/>
    </row>
    <row r="82" ht="12">
      <c r="C82" s="159"/>
    </row>
    <row r="84" ht="12">
      <c r="C84" s="160"/>
    </row>
    <row r="86" ht="12">
      <c r="C86" s="160"/>
    </row>
  </sheetData>
  <mergeCells count="6">
    <mergeCell ref="A43:N43"/>
    <mergeCell ref="A44:N44"/>
    <mergeCell ref="A1:N1"/>
    <mergeCell ref="A2:N2"/>
    <mergeCell ref="A3:N3"/>
    <mergeCell ref="A42:N42"/>
  </mergeCells>
  <printOptions horizontalCentered="1"/>
  <pageMargins left="0.25" right="0.25" top="1" bottom="0.5" header="0" footer="0"/>
  <pageSetup horizontalDpi="600" verticalDpi="600" orientation="landscape" scale="70" r:id="rId1"/>
  <rowBreaks count="1" manualBreakCount="1">
    <brk id="41" max="255" man="1"/>
  </rowBreaks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70"/>
  <sheetViews>
    <sheetView zoomScale="75" zoomScaleNormal="75" zoomScaleSheetLayoutView="85" workbookViewId="0" topLeftCell="A1">
      <selection activeCell="A1" sqref="A1:N1"/>
    </sheetView>
  </sheetViews>
  <sheetFormatPr defaultColWidth="9.83203125" defaultRowHeight="12"/>
  <cols>
    <col min="1" max="1" width="8.66015625" style="1" customWidth="1"/>
    <col min="2" max="2" width="60.66015625" style="1" customWidth="1"/>
    <col min="3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9.83203125" style="1" customWidth="1"/>
    <col min="16" max="16" width="7.83203125" style="1" customWidth="1"/>
    <col min="17" max="17" width="60.66015625" style="1" customWidth="1"/>
    <col min="18" max="18" width="82.66015625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186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 t="s">
        <v>0</v>
      </c>
    </row>
    <row r="2" spans="1:23" ht="12">
      <c r="A2" s="161" t="s">
        <v>321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1</v>
      </c>
    </row>
    <row r="3" spans="1:23" ht="12">
      <c r="A3" s="161" t="s">
        <v>209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305</v>
      </c>
    </row>
    <row r="4" spans="4:23" ht="12">
      <c r="D4" s="3" t="s">
        <v>2</v>
      </c>
      <c r="E4" s="130">
        <v>1999</v>
      </c>
      <c r="W4" s="2" t="s">
        <v>113</v>
      </c>
    </row>
    <row r="5" spans="1:12" ht="12">
      <c r="A5" s="2" t="s">
        <v>3</v>
      </c>
      <c r="L5" s="2" t="s">
        <v>208</v>
      </c>
    </row>
    <row r="6" spans="1:16" ht="15.75">
      <c r="A6" s="2" t="s">
        <v>4</v>
      </c>
      <c r="L6" s="2" t="s">
        <v>318</v>
      </c>
      <c r="P6" s="5" t="s">
        <v>164</v>
      </c>
    </row>
    <row r="7" spans="12:21" ht="19.5">
      <c r="L7" s="2" t="s">
        <v>5</v>
      </c>
      <c r="P7" s="6"/>
      <c r="U7" s="5" t="s">
        <v>51</v>
      </c>
    </row>
    <row r="8" spans="12:13" ht="12">
      <c r="L8" s="4" t="s">
        <v>6</v>
      </c>
      <c r="M8" s="4"/>
    </row>
    <row r="9" spans="17:24" ht="12.75">
      <c r="Q9" s="7"/>
      <c r="R9" s="7"/>
      <c r="S9" s="7"/>
      <c r="T9" s="8" t="s">
        <v>7</v>
      </c>
      <c r="U9" s="7"/>
      <c r="V9" s="7"/>
      <c r="W9" s="7"/>
      <c r="X9" s="7"/>
    </row>
    <row r="10" spans="17:24" ht="12.75">
      <c r="Q10" s="7"/>
      <c r="R10" s="7"/>
      <c r="S10" s="8" t="s">
        <v>8</v>
      </c>
      <c r="T10" s="9" t="s">
        <v>210</v>
      </c>
      <c r="U10" s="10" t="s">
        <v>9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10</v>
      </c>
      <c r="I11" s="12" t="s">
        <v>10</v>
      </c>
      <c r="J11" s="12"/>
      <c r="K11" s="12" t="s">
        <v>11</v>
      </c>
      <c r="L11" s="12" t="s">
        <v>11</v>
      </c>
      <c r="M11" s="12"/>
      <c r="N11" s="12"/>
      <c r="Q11" s="7"/>
      <c r="R11" s="7"/>
      <c r="S11" s="9" t="s">
        <v>12</v>
      </c>
      <c r="T11" s="9" t="s">
        <v>12</v>
      </c>
      <c r="U11" s="13" t="s">
        <v>13</v>
      </c>
      <c r="V11" s="14"/>
      <c r="W11" s="7"/>
      <c r="X11" s="7"/>
    </row>
    <row r="12" spans="1:24" ht="12.75">
      <c r="A12" s="9"/>
      <c r="B12" s="15"/>
      <c r="C12" s="15"/>
      <c r="D12" s="15" t="s">
        <v>14</v>
      </c>
      <c r="E12" s="15"/>
      <c r="F12" s="15"/>
      <c r="G12" s="15" t="s">
        <v>15</v>
      </c>
      <c r="H12" s="15" t="s">
        <v>16</v>
      </c>
      <c r="I12" s="15" t="s">
        <v>17</v>
      </c>
      <c r="J12" s="15"/>
      <c r="K12" s="15" t="s">
        <v>18</v>
      </c>
      <c r="L12" s="15" t="s">
        <v>18</v>
      </c>
      <c r="M12" s="15" t="s">
        <v>11</v>
      </c>
      <c r="N12" s="15" t="s">
        <v>11</v>
      </c>
      <c r="P12" s="4"/>
      <c r="Q12" s="16" t="s">
        <v>211</v>
      </c>
      <c r="R12" s="16" t="s">
        <v>20</v>
      </c>
      <c r="S12" s="17" t="s">
        <v>21</v>
      </c>
      <c r="T12" s="17" t="s">
        <v>21</v>
      </c>
      <c r="U12" s="16" t="s">
        <v>22</v>
      </c>
      <c r="V12" s="16" t="s">
        <v>23</v>
      </c>
      <c r="W12" s="16" t="s">
        <v>22</v>
      </c>
      <c r="X12" s="16" t="s">
        <v>23</v>
      </c>
    </row>
    <row r="13" spans="1:24" ht="12.75">
      <c r="A13" s="9"/>
      <c r="B13" s="15"/>
      <c r="C13" s="15" t="s">
        <v>14</v>
      </c>
      <c r="D13" s="15" t="s">
        <v>18</v>
      </c>
      <c r="E13" s="15" t="s">
        <v>24</v>
      </c>
      <c r="F13" s="15" t="s">
        <v>24</v>
      </c>
      <c r="G13" s="15" t="s">
        <v>25</v>
      </c>
      <c r="H13" s="15" t="s">
        <v>26</v>
      </c>
      <c r="I13" s="15" t="s">
        <v>26</v>
      </c>
      <c r="J13" s="15"/>
      <c r="K13" s="15" t="s">
        <v>17</v>
      </c>
      <c r="L13" s="15" t="s">
        <v>17</v>
      </c>
      <c r="M13" s="15" t="s">
        <v>16</v>
      </c>
      <c r="N13" s="15" t="s">
        <v>16</v>
      </c>
      <c r="P13" s="9" t="s">
        <v>41</v>
      </c>
      <c r="Q13" s="18" t="s">
        <v>42</v>
      </c>
      <c r="R13" s="19" t="s">
        <v>105</v>
      </c>
      <c r="S13" s="20">
        <v>135882</v>
      </c>
      <c r="T13" s="20">
        <v>250000</v>
      </c>
      <c r="U13" s="53">
        <v>35065</v>
      </c>
      <c r="V13" s="53">
        <v>35309</v>
      </c>
      <c r="W13" s="53">
        <v>35156</v>
      </c>
      <c r="X13" s="53">
        <v>36434</v>
      </c>
    </row>
    <row r="14" spans="1:24" ht="12.75">
      <c r="A14" s="17" t="s">
        <v>27</v>
      </c>
      <c r="B14" s="21" t="s">
        <v>28</v>
      </c>
      <c r="C14" s="21" t="s">
        <v>16</v>
      </c>
      <c r="D14" s="21" t="s">
        <v>17</v>
      </c>
      <c r="E14" s="21" t="s">
        <v>29</v>
      </c>
      <c r="F14" s="21" t="s">
        <v>15</v>
      </c>
      <c r="G14" s="21" t="s">
        <v>17</v>
      </c>
      <c r="H14" s="21" t="s">
        <v>30</v>
      </c>
      <c r="I14" s="21" t="s">
        <v>30</v>
      </c>
      <c r="J14" s="21" t="s">
        <v>24</v>
      </c>
      <c r="K14" s="21" t="s">
        <v>31</v>
      </c>
      <c r="L14" s="21" t="s">
        <v>32</v>
      </c>
      <c r="M14" s="21" t="s">
        <v>31</v>
      </c>
      <c r="N14" s="21" t="s">
        <v>32</v>
      </c>
      <c r="P14" s="23" t="s">
        <v>44</v>
      </c>
      <c r="Q14" s="18" t="s">
        <v>45</v>
      </c>
      <c r="R14" s="22" t="s">
        <v>59</v>
      </c>
      <c r="S14" s="20">
        <v>578468</v>
      </c>
      <c r="T14" s="20">
        <v>599200</v>
      </c>
      <c r="U14" s="54">
        <v>35370</v>
      </c>
      <c r="V14" s="54">
        <v>35977</v>
      </c>
      <c r="W14" s="54">
        <v>35431</v>
      </c>
      <c r="X14" s="54">
        <v>36495</v>
      </c>
    </row>
    <row r="15" spans="1:24" ht="12.75">
      <c r="A15" s="9" t="s">
        <v>77</v>
      </c>
      <c r="B15" s="14" t="s">
        <v>81</v>
      </c>
      <c r="C15" s="30">
        <v>4745800</v>
      </c>
      <c r="D15" s="30">
        <v>2800000</v>
      </c>
      <c r="E15" s="30">
        <f aca="true" t="shared" si="0" ref="E15:E22">C15-D15</f>
        <v>1945800</v>
      </c>
      <c r="F15" s="31">
        <f>C15/D15</f>
        <v>1.6949285714285713</v>
      </c>
      <c r="G15" s="32">
        <f aca="true" t="shared" si="1" ref="G15:G22">D15/(D$23+D$70)</f>
        <v>0.16381323512651882</v>
      </c>
      <c r="H15" s="33"/>
      <c r="I15" s="33"/>
      <c r="J15" s="33"/>
      <c r="K15" s="33"/>
      <c r="L15" s="33"/>
      <c r="M15" s="33"/>
      <c r="N15" s="33"/>
      <c r="P15" s="23" t="s">
        <v>46</v>
      </c>
      <c r="Q15" s="18" t="s">
        <v>47</v>
      </c>
      <c r="R15" s="22" t="s">
        <v>106</v>
      </c>
      <c r="S15" s="34">
        <f>1672450.16-18678.86</f>
        <v>1653771.2999999998</v>
      </c>
      <c r="T15" s="20">
        <v>1470000</v>
      </c>
      <c r="U15" s="54">
        <v>35339</v>
      </c>
      <c r="V15" s="54">
        <v>35947</v>
      </c>
      <c r="W15" s="54">
        <v>35339</v>
      </c>
      <c r="X15" s="54">
        <v>36495</v>
      </c>
    </row>
    <row r="16" spans="1:24" ht="12.75">
      <c r="A16" s="9" t="s">
        <v>78</v>
      </c>
      <c r="B16" s="14" t="s">
        <v>82</v>
      </c>
      <c r="C16" s="34">
        <v>1184514</v>
      </c>
      <c r="D16" s="34">
        <v>1225000</v>
      </c>
      <c r="E16" s="34">
        <f t="shared" si="0"/>
        <v>-40486</v>
      </c>
      <c r="F16" s="31">
        <f aca="true" t="shared" si="2" ref="F16:F23">C16/D16</f>
        <v>0.9669502040816327</v>
      </c>
      <c r="G16" s="35">
        <f t="shared" si="1"/>
        <v>0.07166829036785198</v>
      </c>
      <c r="H16" s="33"/>
      <c r="I16" s="33"/>
      <c r="J16" s="33"/>
      <c r="K16" s="33"/>
      <c r="L16" s="33"/>
      <c r="M16" s="33"/>
      <c r="N16" s="33"/>
      <c r="P16" s="23" t="s">
        <v>53</v>
      </c>
      <c r="Q16" s="18" t="s">
        <v>56</v>
      </c>
      <c r="R16" s="22" t="s">
        <v>107</v>
      </c>
      <c r="S16" s="20">
        <v>1488102</v>
      </c>
      <c r="T16" s="20">
        <v>1510000</v>
      </c>
      <c r="U16" s="54">
        <v>35551</v>
      </c>
      <c r="V16" s="54">
        <v>36130</v>
      </c>
      <c r="W16" s="54">
        <v>35582</v>
      </c>
      <c r="X16" s="54">
        <v>36495</v>
      </c>
    </row>
    <row r="17" spans="1:24" ht="12.75">
      <c r="A17" s="9" t="s">
        <v>79</v>
      </c>
      <c r="B17" s="14" t="s">
        <v>34</v>
      </c>
      <c r="C17" s="34">
        <v>1232060</v>
      </c>
      <c r="D17" s="34">
        <v>1011000</v>
      </c>
      <c r="E17" s="34">
        <f t="shared" si="0"/>
        <v>221060</v>
      </c>
      <c r="F17" s="31">
        <f t="shared" si="2"/>
        <v>1.2186547972304649</v>
      </c>
      <c r="G17" s="35">
        <f t="shared" si="1"/>
        <v>0.05914827882603947</v>
      </c>
      <c r="H17" s="33"/>
      <c r="I17" s="33"/>
      <c r="J17" s="33"/>
      <c r="K17" s="33"/>
      <c r="L17" s="33"/>
      <c r="M17" s="33"/>
      <c r="N17" s="33"/>
      <c r="P17" s="23" t="s">
        <v>61</v>
      </c>
      <c r="Q17" s="18" t="s">
        <v>70</v>
      </c>
      <c r="R17" s="70" t="s">
        <v>108</v>
      </c>
      <c r="S17" s="20">
        <v>0</v>
      </c>
      <c r="T17" s="20">
        <v>980000</v>
      </c>
      <c r="U17" s="54">
        <v>35916</v>
      </c>
      <c r="V17" s="54">
        <v>36130</v>
      </c>
      <c r="W17" s="54">
        <v>35886</v>
      </c>
      <c r="X17" s="54">
        <v>36312</v>
      </c>
    </row>
    <row r="18" spans="1:24" ht="12.75">
      <c r="A18" s="9" t="s">
        <v>80</v>
      </c>
      <c r="B18" s="14" t="s">
        <v>83</v>
      </c>
      <c r="C18" s="34">
        <v>988995</v>
      </c>
      <c r="D18" s="34">
        <v>1200000</v>
      </c>
      <c r="E18" s="34">
        <f t="shared" si="0"/>
        <v>-211005</v>
      </c>
      <c r="F18" s="31">
        <f t="shared" si="2"/>
        <v>0.8241625</v>
      </c>
      <c r="G18" s="35">
        <f t="shared" si="1"/>
        <v>0.07020567219707949</v>
      </c>
      <c r="H18" s="33"/>
      <c r="I18" s="33"/>
      <c r="J18" s="33"/>
      <c r="K18" s="33"/>
      <c r="L18" s="33"/>
      <c r="M18" s="33"/>
      <c r="N18" s="33"/>
      <c r="P18" s="23" t="s">
        <v>62</v>
      </c>
      <c r="Q18" s="18" t="s">
        <v>71</v>
      </c>
      <c r="R18" s="64" t="s">
        <v>59</v>
      </c>
      <c r="S18" s="20">
        <v>145450</v>
      </c>
      <c r="T18" s="20">
        <v>150000</v>
      </c>
      <c r="U18" s="54">
        <v>35796</v>
      </c>
      <c r="V18" s="54">
        <v>36069</v>
      </c>
      <c r="W18" s="54">
        <v>36039</v>
      </c>
      <c r="X18" s="54">
        <v>36251</v>
      </c>
    </row>
    <row r="19" spans="1:24" ht="12.75">
      <c r="A19" s="9" t="s">
        <v>84</v>
      </c>
      <c r="B19" s="14" t="s">
        <v>88</v>
      </c>
      <c r="C19" s="34">
        <v>516571</v>
      </c>
      <c r="D19" s="34">
        <v>500930</v>
      </c>
      <c r="E19" s="34">
        <f t="shared" si="0"/>
        <v>15641</v>
      </c>
      <c r="F19" s="31">
        <f t="shared" si="2"/>
        <v>1.0312239235022858</v>
      </c>
      <c r="G19" s="35">
        <f t="shared" si="1"/>
        <v>0.029306772811402523</v>
      </c>
      <c r="H19" s="33"/>
      <c r="I19" s="33"/>
      <c r="J19" s="33"/>
      <c r="K19" s="33"/>
      <c r="L19" s="33"/>
      <c r="M19" s="33"/>
      <c r="N19" s="33"/>
      <c r="P19" s="23" t="s">
        <v>64</v>
      </c>
      <c r="Q19" s="18" t="s">
        <v>73</v>
      </c>
      <c r="R19" s="64" t="s">
        <v>109</v>
      </c>
      <c r="S19" s="20">
        <v>89300</v>
      </c>
      <c r="T19" s="20">
        <v>125000</v>
      </c>
      <c r="U19" s="54">
        <v>35796</v>
      </c>
      <c r="V19" s="54">
        <v>36130</v>
      </c>
      <c r="W19" s="54">
        <v>35916</v>
      </c>
      <c r="X19" s="54">
        <v>36465</v>
      </c>
    </row>
    <row r="20" spans="1:24" ht="12.75">
      <c r="A20" s="9" t="s">
        <v>85</v>
      </c>
      <c r="B20" s="14" t="s">
        <v>36</v>
      </c>
      <c r="C20" s="34">
        <v>305491</v>
      </c>
      <c r="D20" s="34">
        <v>293100</v>
      </c>
      <c r="E20" s="34">
        <f t="shared" si="0"/>
        <v>12391</v>
      </c>
      <c r="F20" s="31">
        <f t="shared" si="2"/>
        <v>1.042275673831457</v>
      </c>
      <c r="G20" s="35">
        <f t="shared" si="1"/>
        <v>0.017147735434136665</v>
      </c>
      <c r="H20" s="33"/>
      <c r="I20" s="33"/>
      <c r="J20" s="33"/>
      <c r="K20" s="33"/>
      <c r="L20" s="33"/>
      <c r="M20" s="33"/>
      <c r="N20" s="33"/>
      <c r="P20" s="23" t="s">
        <v>67</v>
      </c>
      <c r="Q20" s="18" t="s">
        <v>104</v>
      </c>
      <c r="R20" s="64" t="s">
        <v>110</v>
      </c>
      <c r="S20" s="20">
        <v>432825</v>
      </c>
      <c r="T20" s="20">
        <v>400000</v>
      </c>
      <c r="U20" s="54">
        <v>35796</v>
      </c>
      <c r="V20" s="54">
        <v>36130</v>
      </c>
      <c r="W20" s="54">
        <v>35855</v>
      </c>
      <c r="X20" s="54">
        <v>36434</v>
      </c>
    </row>
    <row r="21" spans="1:24" ht="12.75">
      <c r="A21" s="9" t="s">
        <v>86</v>
      </c>
      <c r="B21" s="14" t="s">
        <v>37</v>
      </c>
      <c r="C21" s="34">
        <v>327030</v>
      </c>
      <c r="D21" s="34">
        <v>241404</v>
      </c>
      <c r="E21" s="34">
        <f t="shared" si="0"/>
        <v>85626</v>
      </c>
      <c r="F21" s="31">
        <f t="shared" si="2"/>
        <v>1.3547000049709201</v>
      </c>
      <c r="G21" s="35">
        <f t="shared" si="1"/>
        <v>0.01412327507588648</v>
      </c>
      <c r="H21" s="33"/>
      <c r="I21" s="33"/>
      <c r="J21" s="33"/>
      <c r="K21" s="33"/>
      <c r="L21" s="33"/>
      <c r="M21" s="33"/>
      <c r="N21" s="33"/>
      <c r="P21" s="23" t="s">
        <v>90</v>
      </c>
      <c r="Q21" s="18" t="s">
        <v>98</v>
      </c>
      <c r="R21" s="64" t="s">
        <v>111</v>
      </c>
      <c r="S21" s="20">
        <v>57000</v>
      </c>
      <c r="T21" s="20">
        <v>1300000</v>
      </c>
      <c r="U21" s="54">
        <v>36220</v>
      </c>
      <c r="V21" s="54">
        <v>36708</v>
      </c>
      <c r="W21" s="54">
        <v>36192</v>
      </c>
      <c r="X21" s="54">
        <v>36434</v>
      </c>
    </row>
    <row r="22" spans="1:24" ht="12.75">
      <c r="A22" s="17" t="s">
        <v>87</v>
      </c>
      <c r="B22" s="25" t="s">
        <v>38</v>
      </c>
      <c r="C22" s="36">
        <v>541001</v>
      </c>
      <c r="D22" s="36">
        <v>287000</v>
      </c>
      <c r="E22" s="34">
        <f t="shared" si="0"/>
        <v>254001</v>
      </c>
      <c r="F22" s="37">
        <f t="shared" si="2"/>
        <v>1.885020905923345</v>
      </c>
      <c r="G22" s="72">
        <f t="shared" si="1"/>
        <v>0.01679085660046818</v>
      </c>
      <c r="H22" s="33"/>
      <c r="I22" s="33"/>
      <c r="J22" s="33"/>
      <c r="K22" s="33"/>
      <c r="L22" s="33"/>
      <c r="M22" s="33"/>
      <c r="N22" s="33"/>
      <c r="P22" s="62" t="s">
        <v>95</v>
      </c>
      <c r="Q22" s="63" t="s">
        <v>101</v>
      </c>
      <c r="R22" s="64" t="s">
        <v>112</v>
      </c>
      <c r="S22" s="65">
        <v>415473</v>
      </c>
      <c r="T22" s="65">
        <v>400000</v>
      </c>
      <c r="U22" s="66">
        <v>36161</v>
      </c>
      <c r="V22" s="66">
        <v>36281</v>
      </c>
      <c r="W22" s="66">
        <v>36220</v>
      </c>
      <c r="X22" s="66">
        <v>36495</v>
      </c>
    </row>
    <row r="23" spans="1:24" ht="12.75">
      <c r="A23" s="26"/>
      <c r="B23" s="27" t="s">
        <v>33</v>
      </c>
      <c r="C23" s="39">
        <f>SUM(C15:C22)</f>
        <v>9841462</v>
      </c>
      <c r="D23" s="39">
        <f>SUM(D15:D22)</f>
        <v>7558434</v>
      </c>
      <c r="E23" s="39">
        <f>SUM(E15:E22)</f>
        <v>2283028</v>
      </c>
      <c r="F23" s="37">
        <f t="shared" si="2"/>
        <v>1.3020503982703295</v>
      </c>
      <c r="G23" s="40"/>
      <c r="H23" s="33"/>
      <c r="I23" s="33"/>
      <c r="J23" s="33"/>
      <c r="K23" s="33"/>
      <c r="L23" s="33"/>
      <c r="M23" s="33"/>
      <c r="N23" s="33"/>
      <c r="P23" s="67"/>
      <c r="Q23" s="17" t="s">
        <v>215</v>
      </c>
      <c r="R23" s="61"/>
      <c r="S23" s="61">
        <f>SUM(S13:S22)</f>
        <v>4996271.3</v>
      </c>
      <c r="T23" s="61">
        <f>SUM(T13:T22)</f>
        <v>7184200</v>
      </c>
      <c r="U23" s="68"/>
      <c r="V23" s="68"/>
      <c r="W23" s="68"/>
      <c r="X23" s="68"/>
    </row>
    <row r="24" spans="1:24" ht="12.75">
      <c r="A24" s="26"/>
      <c r="B24" s="27" t="s">
        <v>89</v>
      </c>
      <c r="C24" s="39">
        <f>C15</f>
        <v>4745800</v>
      </c>
      <c r="D24" s="39">
        <f>D15</f>
        <v>2800000</v>
      </c>
      <c r="E24" s="39">
        <f>E15</f>
        <v>1945800</v>
      </c>
      <c r="F24" s="40"/>
      <c r="G24" s="40"/>
      <c r="H24" s="33"/>
      <c r="I24" s="33"/>
      <c r="J24" s="33"/>
      <c r="K24" s="33"/>
      <c r="L24" s="33"/>
      <c r="M24" s="33"/>
      <c r="N24" s="33"/>
      <c r="P24" s="67"/>
      <c r="U24" s="68"/>
      <c r="V24" s="68"/>
      <c r="W24" s="68"/>
      <c r="X24" s="68"/>
    </row>
    <row r="25" spans="1:24" ht="12.75">
      <c r="A25" s="26"/>
      <c r="B25" s="27" t="s">
        <v>139</v>
      </c>
      <c r="C25" s="39">
        <f>C23-C24</f>
        <v>5095662</v>
      </c>
      <c r="D25" s="39">
        <f>D23-D24</f>
        <v>4758434</v>
      </c>
      <c r="E25" s="39">
        <f>E23-E24</f>
        <v>337228</v>
      </c>
      <c r="F25" s="41">
        <f>C25/D25</f>
        <v>1.0708695339685284</v>
      </c>
      <c r="G25" s="40"/>
      <c r="H25" s="33"/>
      <c r="I25" s="33"/>
      <c r="J25" s="33"/>
      <c r="K25" s="33"/>
      <c r="L25" s="33"/>
      <c r="M25" s="33"/>
      <c r="N25" s="33"/>
      <c r="P25" s="67"/>
      <c r="U25" s="68"/>
      <c r="V25" s="68"/>
      <c r="W25" s="68"/>
      <c r="X25" s="68"/>
    </row>
    <row r="26" spans="1:24" ht="12.75">
      <c r="A26" s="26"/>
      <c r="B26" s="7"/>
      <c r="C26" s="42"/>
      <c r="D26" s="42"/>
      <c r="E26" s="42"/>
      <c r="F26" s="40"/>
      <c r="G26" s="40"/>
      <c r="H26" s="33"/>
      <c r="I26" s="33"/>
      <c r="J26" s="33"/>
      <c r="K26" s="33"/>
      <c r="L26" s="33"/>
      <c r="M26" s="33"/>
      <c r="N26" s="33"/>
      <c r="P26" s="7"/>
      <c r="U26" s="7"/>
      <c r="V26" s="7"/>
      <c r="W26" s="7"/>
      <c r="X26" s="7"/>
    </row>
    <row r="27" spans="1:24" ht="12.75">
      <c r="A27" s="26"/>
      <c r="B27" s="7"/>
      <c r="C27" s="42"/>
      <c r="D27" s="42"/>
      <c r="E27" s="42"/>
      <c r="F27" s="40"/>
      <c r="G27" s="40"/>
      <c r="H27" s="33"/>
      <c r="I27" s="33"/>
      <c r="J27" s="33"/>
      <c r="K27" s="33"/>
      <c r="L27" s="33"/>
      <c r="M27" s="33"/>
      <c r="N27" s="33"/>
      <c r="P27" s="7"/>
      <c r="U27" s="7"/>
      <c r="V27" s="7"/>
      <c r="W27" s="7"/>
      <c r="X27" s="7"/>
    </row>
    <row r="28" spans="1:24" ht="12.75">
      <c r="A28" s="26"/>
      <c r="B28" s="7"/>
      <c r="C28" s="42"/>
      <c r="D28" s="42"/>
      <c r="E28" s="42"/>
      <c r="F28" s="40"/>
      <c r="G28" s="40"/>
      <c r="H28" s="33"/>
      <c r="I28" s="33"/>
      <c r="J28" s="33"/>
      <c r="K28" s="33"/>
      <c r="L28" s="33"/>
      <c r="M28" s="33"/>
      <c r="N28" s="33"/>
      <c r="P28" s="7"/>
      <c r="U28" s="7"/>
      <c r="V28" s="7"/>
      <c r="W28" s="7"/>
      <c r="X28" s="7"/>
    </row>
    <row r="29" spans="1:24" ht="12.75">
      <c r="A29" s="161" t="s">
        <v>186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P29" s="7"/>
      <c r="U29" s="7"/>
      <c r="V29" s="7"/>
      <c r="W29" s="7"/>
      <c r="X29" s="7"/>
    </row>
    <row r="30" spans="1:24" ht="12.75">
      <c r="A30" s="161" t="str">
        <f>+A2</f>
        <v>Case No. 2008-00427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P30" s="7"/>
      <c r="U30" s="7"/>
      <c r="V30" s="7"/>
      <c r="W30" s="7"/>
      <c r="X30" s="7"/>
    </row>
    <row r="31" spans="1:24" ht="12.75">
      <c r="A31" s="161" t="s">
        <v>209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P31" s="7"/>
      <c r="U31" s="7"/>
      <c r="V31" s="7"/>
      <c r="W31" s="7"/>
      <c r="X31" s="7"/>
    </row>
    <row r="32" spans="4:24" ht="12.75">
      <c r="D32" s="3" t="s">
        <v>2</v>
      </c>
      <c r="E32" s="130">
        <v>1999</v>
      </c>
      <c r="P32" s="7"/>
      <c r="U32" s="7"/>
      <c r="V32" s="7"/>
      <c r="W32" s="7"/>
      <c r="X32" s="7"/>
    </row>
    <row r="33" spans="1:24" ht="12.75">
      <c r="A33" s="2" t="s">
        <v>3</v>
      </c>
      <c r="L33" s="2" t="s">
        <v>208</v>
      </c>
      <c r="P33" s="7"/>
      <c r="U33" s="7"/>
      <c r="V33" s="7"/>
      <c r="W33" s="7"/>
      <c r="X33" s="7"/>
    </row>
    <row r="34" spans="1:24" ht="12.75">
      <c r="A34" s="2" t="s">
        <v>4</v>
      </c>
      <c r="L34" s="2" t="s">
        <v>319</v>
      </c>
      <c r="P34" s="7"/>
      <c r="U34" s="7"/>
      <c r="V34" s="7"/>
      <c r="W34" s="7"/>
      <c r="X34" s="7"/>
    </row>
    <row r="35" spans="12:24" ht="12.75">
      <c r="L35" s="2" t="s">
        <v>5</v>
      </c>
      <c r="P35" s="7"/>
      <c r="U35" s="7"/>
      <c r="V35" s="7"/>
      <c r="W35" s="7"/>
      <c r="X35" s="7"/>
    </row>
    <row r="36" spans="12:24" ht="12.75">
      <c r="L36" s="4" t="s">
        <v>6</v>
      </c>
      <c r="M36" s="4"/>
      <c r="P36" s="7"/>
      <c r="U36" s="7"/>
      <c r="V36" s="7"/>
      <c r="W36" s="7"/>
      <c r="X36" s="7"/>
    </row>
    <row r="37" spans="12:24" ht="12.75">
      <c r="L37" s="131"/>
      <c r="M37" s="131"/>
      <c r="P37" s="7"/>
      <c r="U37" s="7"/>
      <c r="V37" s="7"/>
      <c r="W37" s="7"/>
      <c r="X37" s="7"/>
    </row>
    <row r="38" spans="16:24" ht="12.75">
      <c r="P38" s="7"/>
      <c r="U38" s="7"/>
      <c r="V38" s="7"/>
      <c r="W38" s="7"/>
      <c r="X38" s="7"/>
    </row>
    <row r="39" spans="1:24" ht="12.75">
      <c r="A39" s="8"/>
      <c r="B39" s="12"/>
      <c r="C39" s="12"/>
      <c r="D39" s="12"/>
      <c r="E39" s="12"/>
      <c r="F39" s="12"/>
      <c r="G39" s="12"/>
      <c r="H39" s="12" t="s">
        <v>10</v>
      </c>
      <c r="I39" s="12" t="s">
        <v>10</v>
      </c>
      <c r="J39" s="12"/>
      <c r="K39" s="12" t="s">
        <v>11</v>
      </c>
      <c r="L39" s="12" t="s">
        <v>11</v>
      </c>
      <c r="M39" s="12"/>
      <c r="N39" s="12"/>
      <c r="P39" s="7"/>
      <c r="U39" s="7"/>
      <c r="V39" s="7"/>
      <c r="W39" s="7"/>
      <c r="X39" s="7"/>
    </row>
    <row r="40" spans="1:24" ht="12.75">
      <c r="A40" s="9"/>
      <c r="B40" s="15"/>
      <c r="C40" s="15"/>
      <c r="D40" s="15" t="s">
        <v>14</v>
      </c>
      <c r="E40" s="15"/>
      <c r="F40" s="15"/>
      <c r="G40" s="15" t="s">
        <v>15</v>
      </c>
      <c r="H40" s="15" t="s">
        <v>16</v>
      </c>
      <c r="I40" s="15" t="s">
        <v>17</v>
      </c>
      <c r="J40" s="15"/>
      <c r="K40" s="15" t="s">
        <v>18</v>
      </c>
      <c r="L40" s="15" t="s">
        <v>18</v>
      </c>
      <c r="M40" s="15" t="s">
        <v>11</v>
      </c>
      <c r="N40" s="15" t="s">
        <v>11</v>
      </c>
      <c r="P40" s="7"/>
      <c r="U40" s="7"/>
      <c r="V40" s="7"/>
      <c r="W40" s="7"/>
      <c r="X40" s="7"/>
    </row>
    <row r="41" spans="1:24" ht="12.75">
      <c r="A41" s="9"/>
      <c r="B41" s="15"/>
      <c r="C41" s="15" t="s">
        <v>14</v>
      </c>
      <c r="D41" s="15" t="s">
        <v>18</v>
      </c>
      <c r="E41" s="15" t="s">
        <v>24</v>
      </c>
      <c r="F41" s="15" t="s">
        <v>24</v>
      </c>
      <c r="G41" s="15" t="s">
        <v>25</v>
      </c>
      <c r="H41" s="15" t="s">
        <v>26</v>
      </c>
      <c r="I41" s="15" t="s">
        <v>26</v>
      </c>
      <c r="J41" s="15"/>
      <c r="K41" s="15" t="s">
        <v>17</v>
      </c>
      <c r="L41" s="15" t="s">
        <v>17</v>
      </c>
      <c r="M41" s="15" t="s">
        <v>16</v>
      </c>
      <c r="N41" s="15" t="s">
        <v>16</v>
      </c>
      <c r="P41" s="7"/>
      <c r="U41" s="7"/>
      <c r="V41" s="7"/>
      <c r="W41" s="7"/>
      <c r="X41" s="7"/>
    </row>
    <row r="42" spans="1:24" ht="12.75">
      <c r="A42" s="17"/>
      <c r="B42" s="21" t="s">
        <v>28</v>
      </c>
      <c r="C42" s="21" t="s">
        <v>16</v>
      </c>
      <c r="D42" s="21" t="s">
        <v>17</v>
      </c>
      <c r="E42" s="21" t="s">
        <v>29</v>
      </c>
      <c r="F42" s="21" t="s">
        <v>15</v>
      </c>
      <c r="G42" s="21" t="s">
        <v>17</v>
      </c>
      <c r="H42" s="21" t="s">
        <v>30</v>
      </c>
      <c r="I42" s="21" t="s">
        <v>30</v>
      </c>
      <c r="J42" s="21" t="s">
        <v>24</v>
      </c>
      <c r="K42" s="21" t="s">
        <v>31</v>
      </c>
      <c r="L42" s="21" t="s">
        <v>32</v>
      </c>
      <c r="M42" s="21" t="s">
        <v>31</v>
      </c>
      <c r="N42" s="21" t="s">
        <v>32</v>
      </c>
      <c r="P42" s="7"/>
      <c r="U42" s="7"/>
      <c r="V42" s="7"/>
      <c r="W42" s="7"/>
      <c r="X42" s="7"/>
    </row>
    <row r="43" spans="1:14" ht="12.75">
      <c r="A43" s="56"/>
      <c r="B43" s="57" t="s">
        <v>211</v>
      </c>
      <c r="C43" s="58"/>
      <c r="D43" s="58"/>
      <c r="E43" s="58"/>
      <c r="F43" s="59"/>
      <c r="G43" s="59"/>
      <c r="H43" s="60"/>
      <c r="I43" s="60"/>
      <c r="J43" s="60"/>
      <c r="K43" s="60"/>
      <c r="L43" s="60"/>
      <c r="M43" s="60"/>
      <c r="N43" s="60"/>
    </row>
    <row r="44" spans="1:14" ht="12.75">
      <c r="A44" s="9" t="s">
        <v>39</v>
      </c>
      <c r="B44" s="14" t="s">
        <v>40</v>
      </c>
      <c r="C44" s="34">
        <v>2638747</v>
      </c>
      <c r="D44" s="34">
        <v>2732800</v>
      </c>
      <c r="E44" s="43">
        <f aca="true" t="shared" si="3" ref="E44:E68">C44-D44</f>
        <v>-94053</v>
      </c>
      <c r="F44" s="35">
        <f>C44/D44</f>
        <v>0.9655836504683841</v>
      </c>
      <c r="G44" s="35">
        <f aca="true" t="shared" si="4" ref="G44:G69">D44/(D$23+D$70)</f>
        <v>0.15988171748348237</v>
      </c>
      <c r="H44" s="34"/>
      <c r="I44" s="34"/>
      <c r="J44" s="43"/>
      <c r="K44" s="45">
        <v>33786</v>
      </c>
      <c r="L44" s="45">
        <v>35400</v>
      </c>
      <c r="M44" s="45">
        <v>33848</v>
      </c>
      <c r="N44" s="46"/>
    </row>
    <row r="45" spans="1:14" ht="12.75">
      <c r="A45" s="23" t="s">
        <v>41</v>
      </c>
      <c r="B45" s="29" t="s">
        <v>42</v>
      </c>
      <c r="C45" s="34">
        <v>135093</v>
      </c>
      <c r="D45" s="34">
        <v>0</v>
      </c>
      <c r="E45" s="43">
        <f t="shared" si="3"/>
        <v>135093</v>
      </c>
      <c r="F45" s="35"/>
      <c r="G45" s="35">
        <f t="shared" si="4"/>
        <v>0</v>
      </c>
      <c r="H45" s="34">
        <v>135882.23</v>
      </c>
      <c r="I45" s="34">
        <v>250000</v>
      </c>
      <c r="J45" s="43">
        <f>H45-I45</f>
        <v>-114117.76999999999</v>
      </c>
      <c r="K45" s="45">
        <v>35065</v>
      </c>
      <c r="L45" s="45">
        <v>35309</v>
      </c>
      <c r="M45" s="45">
        <v>35156</v>
      </c>
      <c r="N45" s="52">
        <v>36434</v>
      </c>
    </row>
    <row r="46" spans="1:14" ht="12.75">
      <c r="A46" s="23" t="s">
        <v>43</v>
      </c>
      <c r="B46" s="29" t="s">
        <v>58</v>
      </c>
      <c r="C46" s="34">
        <v>317159</v>
      </c>
      <c r="D46" s="34">
        <v>1400000</v>
      </c>
      <c r="E46" s="43">
        <f t="shared" si="3"/>
        <v>-1082841</v>
      </c>
      <c r="F46" s="35">
        <f>C46/D46</f>
        <v>0.22654214285714286</v>
      </c>
      <c r="G46" s="35">
        <f t="shared" si="4"/>
        <v>0.08190661756325941</v>
      </c>
      <c r="H46" s="34"/>
      <c r="I46" s="34"/>
      <c r="J46" s="43"/>
      <c r="K46" s="45">
        <v>35065</v>
      </c>
      <c r="L46" s="45">
        <v>35916</v>
      </c>
      <c r="M46" s="45">
        <v>35096</v>
      </c>
      <c r="N46" s="52">
        <v>36526</v>
      </c>
    </row>
    <row r="47" spans="1:14" ht="12.75">
      <c r="A47" s="23" t="s">
        <v>44</v>
      </c>
      <c r="B47" s="29" t="s">
        <v>45</v>
      </c>
      <c r="C47" s="34">
        <v>63600</v>
      </c>
      <c r="D47" s="34">
        <v>0</v>
      </c>
      <c r="E47" s="43">
        <f t="shared" si="3"/>
        <v>63600</v>
      </c>
      <c r="F47" s="35"/>
      <c r="G47" s="35">
        <f t="shared" si="4"/>
        <v>0</v>
      </c>
      <c r="H47" s="34">
        <v>578468</v>
      </c>
      <c r="I47" s="34">
        <v>599200</v>
      </c>
      <c r="J47" s="43">
        <f>H47-I47</f>
        <v>-20732</v>
      </c>
      <c r="K47" s="45">
        <v>35370</v>
      </c>
      <c r="L47" s="45">
        <v>35977</v>
      </c>
      <c r="M47" s="45">
        <v>35431</v>
      </c>
      <c r="N47" s="52">
        <v>36495</v>
      </c>
    </row>
    <row r="48" spans="1:14" ht="12.75">
      <c r="A48" s="23" t="s">
        <v>46</v>
      </c>
      <c r="B48" s="29" t="s">
        <v>47</v>
      </c>
      <c r="C48" s="34">
        <v>294890</v>
      </c>
      <c r="D48" s="34">
        <v>0</v>
      </c>
      <c r="E48" s="43">
        <f t="shared" si="3"/>
        <v>294890</v>
      </c>
      <c r="F48" s="35"/>
      <c r="G48" s="35">
        <f t="shared" si="4"/>
        <v>0</v>
      </c>
      <c r="H48" s="34">
        <f>1672450.16-18678.86</f>
        <v>1653771.2999999998</v>
      </c>
      <c r="I48" s="34">
        <v>1470000</v>
      </c>
      <c r="J48" s="43">
        <f>H48-I48</f>
        <v>183771.2999999998</v>
      </c>
      <c r="K48" s="45">
        <v>35339</v>
      </c>
      <c r="L48" s="45">
        <v>35947</v>
      </c>
      <c r="M48" s="45">
        <v>35339</v>
      </c>
      <c r="N48" s="52">
        <v>36495</v>
      </c>
    </row>
    <row r="49" spans="1:14" ht="12.75">
      <c r="A49" s="23" t="s">
        <v>48</v>
      </c>
      <c r="B49" s="29" t="s">
        <v>49</v>
      </c>
      <c r="C49" s="34">
        <v>329339</v>
      </c>
      <c r="D49" s="34">
        <v>250402</v>
      </c>
      <c r="E49" s="43">
        <f t="shared" si="3"/>
        <v>78937</v>
      </c>
      <c r="F49" s="35">
        <f>C49/D49</f>
        <v>1.3152410923235438</v>
      </c>
      <c r="G49" s="35">
        <f t="shared" si="4"/>
        <v>0.014649700607910916</v>
      </c>
      <c r="H49" s="34"/>
      <c r="I49" s="34"/>
      <c r="J49" s="43"/>
      <c r="K49" s="45">
        <v>35400</v>
      </c>
      <c r="L49" s="45">
        <v>36312</v>
      </c>
      <c r="M49" s="45">
        <v>35370</v>
      </c>
      <c r="N49" s="52">
        <v>37956</v>
      </c>
    </row>
    <row r="50" spans="1:14" ht="12.75">
      <c r="A50" s="23" t="s">
        <v>52</v>
      </c>
      <c r="B50" s="29" t="s">
        <v>55</v>
      </c>
      <c r="C50" s="34">
        <v>32597</v>
      </c>
      <c r="D50" s="34">
        <v>0</v>
      </c>
      <c r="E50" s="43">
        <f t="shared" si="3"/>
        <v>32597</v>
      </c>
      <c r="F50" s="35"/>
      <c r="G50" s="35">
        <f t="shared" si="4"/>
        <v>0</v>
      </c>
      <c r="H50" s="34"/>
      <c r="I50" s="34"/>
      <c r="J50" s="43"/>
      <c r="K50" s="45">
        <v>35674</v>
      </c>
      <c r="L50" s="45">
        <v>35886</v>
      </c>
      <c r="M50" s="45">
        <v>35735</v>
      </c>
      <c r="N50" s="52">
        <v>36586</v>
      </c>
    </row>
    <row r="51" spans="1:14" ht="12.75">
      <c r="A51" s="23" t="s">
        <v>53</v>
      </c>
      <c r="B51" s="29" t="s">
        <v>56</v>
      </c>
      <c r="C51" s="34">
        <v>-149889</v>
      </c>
      <c r="D51" s="34">
        <v>0</v>
      </c>
      <c r="E51" s="43">
        <f t="shared" si="3"/>
        <v>-149889</v>
      </c>
      <c r="F51" s="35"/>
      <c r="G51" s="35">
        <f t="shared" si="4"/>
        <v>0</v>
      </c>
      <c r="H51" s="34">
        <f>-149889.07+1637991.34</f>
        <v>1488102.27</v>
      </c>
      <c r="I51" s="34">
        <v>1510000</v>
      </c>
      <c r="J51" s="43">
        <f>H51-I51</f>
        <v>-21897.72999999998</v>
      </c>
      <c r="K51" s="45">
        <v>35551</v>
      </c>
      <c r="L51" s="45">
        <v>36130</v>
      </c>
      <c r="M51" s="45">
        <v>35582</v>
      </c>
      <c r="N51" s="52">
        <v>36495</v>
      </c>
    </row>
    <row r="52" spans="1:14" ht="12.75">
      <c r="A52" s="23" t="s">
        <v>54</v>
      </c>
      <c r="B52" s="29" t="s">
        <v>57</v>
      </c>
      <c r="C52" s="34">
        <v>664741</v>
      </c>
      <c r="D52" s="34">
        <v>600000</v>
      </c>
      <c r="E52" s="43">
        <f t="shared" si="3"/>
        <v>64741</v>
      </c>
      <c r="F52" s="35">
        <f aca="true" t="shared" si="5" ref="F52:F67">C52/D52</f>
        <v>1.1079016666666666</v>
      </c>
      <c r="G52" s="35">
        <f t="shared" si="4"/>
        <v>0.035102836098539744</v>
      </c>
      <c r="H52" s="34"/>
      <c r="I52" s="34"/>
      <c r="J52" s="43"/>
      <c r="K52" s="45">
        <v>35490</v>
      </c>
      <c r="L52" s="45">
        <v>36434</v>
      </c>
      <c r="M52" s="45">
        <v>35551</v>
      </c>
      <c r="N52" s="52">
        <v>37073</v>
      </c>
    </row>
    <row r="53" spans="1:14" ht="12.75">
      <c r="A53" s="23" t="s">
        <v>60</v>
      </c>
      <c r="B53" s="29" t="s">
        <v>69</v>
      </c>
      <c r="C53" s="34">
        <v>109639</v>
      </c>
      <c r="D53" s="34">
        <v>150000</v>
      </c>
      <c r="E53" s="43">
        <f t="shared" si="3"/>
        <v>-40361</v>
      </c>
      <c r="F53" s="35">
        <f t="shared" si="5"/>
        <v>0.7309266666666666</v>
      </c>
      <c r="G53" s="55">
        <f t="shared" si="4"/>
        <v>0.008775709024634936</v>
      </c>
      <c r="H53" s="34"/>
      <c r="I53" s="34"/>
      <c r="J53" s="43"/>
      <c r="K53" s="45">
        <v>35827</v>
      </c>
      <c r="L53" s="45">
        <v>36404</v>
      </c>
      <c r="M53" s="45">
        <v>36192</v>
      </c>
      <c r="N53" s="48"/>
    </row>
    <row r="54" spans="1:14" ht="12.75">
      <c r="A54" s="23" t="s">
        <v>61</v>
      </c>
      <c r="B54" s="29" t="s">
        <v>70</v>
      </c>
      <c r="C54" s="34">
        <v>2720</v>
      </c>
      <c r="D54" s="34">
        <v>950000</v>
      </c>
      <c r="E54" s="43">
        <f t="shared" si="3"/>
        <v>-947280</v>
      </c>
      <c r="F54" s="35">
        <f t="shared" si="5"/>
        <v>0.002863157894736842</v>
      </c>
      <c r="G54" s="55">
        <f t="shared" si="4"/>
        <v>0.055579490489354594</v>
      </c>
      <c r="H54" s="34">
        <v>0</v>
      </c>
      <c r="I54" s="34">
        <v>980000</v>
      </c>
      <c r="J54" s="43">
        <f>H54-I54</f>
        <v>-980000</v>
      </c>
      <c r="K54" s="45">
        <v>35916</v>
      </c>
      <c r="L54" s="45">
        <v>36130</v>
      </c>
      <c r="M54" s="45">
        <v>35886</v>
      </c>
      <c r="N54" s="52">
        <v>36312</v>
      </c>
    </row>
    <row r="55" spans="1:14" ht="12.75">
      <c r="A55" s="23" t="s">
        <v>62</v>
      </c>
      <c r="B55" s="29" t="s">
        <v>71</v>
      </c>
      <c r="C55" s="34">
        <v>32406</v>
      </c>
      <c r="D55" s="34">
        <v>0</v>
      </c>
      <c r="E55" s="43">
        <f t="shared" si="3"/>
        <v>32406</v>
      </c>
      <c r="F55" s="35"/>
      <c r="G55" s="55">
        <f t="shared" si="4"/>
        <v>0</v>
      </c>
      <c r="H55" s="34">
        <v>145450</v>
      </c>
      <c r="I55" s="34">
        <v>150000</v>
      </c>
      <c r="J55" s="43">
        <f>H55-I55</f>
        <v>-4550</v>
      </c>
      <c r="K55" s="45">
        <v>35796</v>
      </c>
      <c r="L55" s="45">
        <v>36069</v>
      </c>
      <c r="M55" s="45">
        <v>36039</v>
      </c>
      <c r="N55" s="52">
        <v>36251</v>
      </c>
    </row>
    <row r="56" spans="1:14" ht="12.75">
      <c r="A56" s="23" t="s">
        <v>63</v>
      </c>
      <c r="B56" s="29" t="s">
        <v>72</v>
      </c>
      <c r="C56" s="34">
        <v>81646</v>
      </c>
      <c r="D56" s="34">
        <v>290000</v>
      </c>
      <c r="E56" s="43">
        <f t="shared" si="3"/>
        <v>-208354</v>
      </c>
      <c r="F56" s="35">
        <f t="shared" si="5"/>
        <v>0.28153793103448277</v>
      </c>
      <c r="G56" s="55">
        <f t="shared" si="4"/>
        <v>0.016966370780960877</v>
      </c>
      <c r="H56" s="34"/>
      <c r="I56" s="34"/>
      <c r="J56" s="43"/>
      <c r="K56" s="45">
        <v>35827</v>
      </c>
      <c r="L56" s="45">
        <v>36069</v>
      </c>
      <c r="M56" s="45">
        <v>36161</v>
      </c>
      <c r="N56" s="52">
        <v>37073</v>
      </c>
    </row>
    <row r="57" spans="1:14" ht="12.75">
      <c r="A57" s="23" t="s">
        <v>64</v>
      </c>
      <c r="B57" s="29" t="s">
        <v>73</v>
      </c>
      <c r="C57" s="34">
        <v>9393</v>
      </c>
      <c r="D57" s="34">
        <v>0</v>
      </c>
      <c r="E57" s="43">
        <f t="shared" si="3"/>
        <v>9393</v>
      </c>
      <c r="F57" s="35"/>
      <c r="G57" s="55">
        <f t="shared" si="4"/>
        <v>0</v>
      </c>
      <c r="H57" s="34">
        <v>89299.62</v>
      </c>
      <c r="I57" s="34">
        <v>125000</v>
      </c>
      <c r="J57" s="43">
        <f>H57-I57</f>
        <v>-35700.380000000005</v>
      </c>
      <c r="K57" s="45">
        <v>35796</v>
      </c>
      <c r="L57" s="45">
        <v>36130</v>
      </c>
      <c r="M57" s="45">
        <v>35916</v>
      </c>
      <c r="N57" s="52">
        <v>36465</v>
      </c>
    </row>
    <row r="58" spans="1:14" ht="12.75">
      <c r="A58" s="23" t="s">
        <v>65</v>
      </c>
      <c r="B58" s="29" t="s">
        <v>74</v>
      </c>
      <c r="C58" s="34">
        <v>8493</v>
      </c>
      <c r="D58" s="34">
        <v>100000</v>
      </c>
      <c r="E58" s="43">
        <f t="shared" si="3"/>
        <v>-91507</v>
      </c>
      <c r="F58" s="35">
        <f t="shared" si="5"/>
        <v>0.08493</v>
      </c>
      <c r="G58" s="55">
        <f t="shared" si="4"/>
        <v>0.005850472683089958</v>
      </c>
      <c r="H58" s="34"/>
      <c r="I58" s="34"/>
      <c r="J58" s="43"/>
      <c r="K58" s="45">
        <v>35886</v>
      </c>
      <c r="L58" s="45">
        <v>36465</v>
      </c>
      <c r="M58" s="45">
        <v>36008</v>
      </c>
      <c r="N58" s="48"/>
    </row>
    <row r="59" spans="1:14" ht="12.75">
      <c r="A59" s="23" t="s">
        <v>66</v>
      </c>
      <c r="B59" s="29" t="s">
        <v>75</v>
      </c>
      <c r="C59" s="34">
        <v>19886</v>
      </c>
      <c r="D59" s="34">
        <v>320000</v>
      </c>
      <c r="E59" s="43">
        <f t="shared" si="3"/>
        <v>-300114</v>
      </c>
      <c r="F59" s="35">
        <f t="shared" si="5"/>
        <v>0.06214375</v>
      </c>
      <c r="G59" s="55">
        <f t="shared" si="4"/>
        <v>0.018721512585887865</v>
      </c>
      <c r="H59" s="34"/>
      <c r="I59" s="34"/>
      <c r="J59" s="43"/>
      <c r="K59" s="45">
        <v>35827</v>
      </c>
      <c r="L59" s="45">
        <v>36100</v>
      </c>
      <c r="M59" s="45">
        <v>36008</v>
      </c>
      <c r="N59" s="48"/>
    </row>
    <row r="60" spans="1:14" ht="12.75">
      <c r="A60" s="23" t="s">
        <v>67</v>
      </c>
      <c r="B60" s="29" t="s">
        <v>104</v>
      </c>
      <c r="C60" s="34">
        <v>35626</v>
      </c>
      <c r="D60" s="34">
        <v>30000</v>
      </c>
      <c r="E60" s="43">
        <f t="shared" si="3"/>
        <v>5626</v>
      </c>
      <c r="F60" s="35">
        <f t="shared" si="5"/>
        <v>1.1875333333333333</v>
      </c>
      <c r="G60" s="55">
        <f t="shared" si="4"/>
        <v>0.0017551418049269873</v>
      </c>
      <c r="H60" s="34">
        <v>432825</v>
      </c>
      <c r="I60" s="34">
        <v>400000</v>
      </c>
      <c r="J60" s="43">
        <f>H60-I60</f>
        <v>32825</v>
      </c>
      <c r="K60" s="45">
        <v>35796</v>
      </c>
      <c r="L60" s="45">
        <v>36130</v>
      </c>
      <c r="M60" s="45">
        <v>35855</v>
      </c>
      <c r="N60" s="52">
        <v>36434</v>
      </c>
    </row>
    <row r="61" spans="1:14" ht="12.75">
      <c r="A61" s="23" t="s">
        <v>68</v>
      </c>
      <c r="B61" s="29" t="s">
        <v>76</v>
      </c>
      <c r="C61" s="34">
        <v>627567</v>
      </c>
      <c r="D61" s="34">
        <v>361000</v>
      </c>
      <c r="E61" s="43">
        <f t="shared" si="3"/>
        <v>266567</v>
      </c>
      <c r="F61" s="35">
        <f t="shared" si="5"/>
        <v>1.7384127423822715</v>
      </c>
      <c r="G61" s="55">
        <f t="shared" si="4"/>
        <v>0.021120206385954746</v>
      </c>
      <c r="H61" s="34"/>
      <c r="I61" s="34"/>
      <c r="J61" s="43"/>
      <c r="K61" s="45">
        <v>35582</v>
      </c>
      <c r="L61" s="45">
        <v>35735</v>
      </c>
      <c r="M61" s="45">
        <v>36008</v>
      </c>
      <c r="N61" s="52">
        <v>37226</v>
      </c>
    </row>
    <row r="62" spans="1:14" ht="12.75">
      <c r="A62" s="23" t="s">
        <v>90</v>
      </c>
      <c r="B62" s="29" t="s">
        <v>98</v>
      </c>
      <c r="C62" s="34">
        <v>73454</v>
      </c>
      <c r="D62" s="34">
        <v>300000</v>
      </c>
      <c r="E62" s="43">
        <f t="shared" si="3"/>
        <v>-226546</v>
      </c>
      <c r="F62" s="35">
        <f t="shared" si="5"/>
        <v>0.24484666666666666</v>
      </c>
      <c r="G62" s="55">
        <f t="shared" si="4"/>
        <v>0.017551418049269872</v>
      </c>
      <c r="H62" s="34">
        <v>57000</v>
      </c>
      <c r="I62" s="34">
        <v>1300000</v>
      </c>
      <c r="J62" s="43">
        <f>H62-I62</f>
        <v>-1243000</v>
      </c>
      <c r="K62" s="45">
        <v>36220</v>
      </c>
      <c r="L62" s="45">
        <v>36708</v>
      </c>
      <c r="M62" s="45">
        <v>36192</v>
      </c>
      <c r="N62" s="52">
        <v>36434</v>
      </c>
    </row>
    <row r="63" spans="1:14" ht="12.75">
      <c r="A63" s="23" t="s">
        <v>91</v>
      </c>
      <c r="B63" s="29" t="s">
        <v>99</v>
      </c>
      <c r="C63" s="34">
        <v>104437</v>
      </c>
      <c r="D63" s="34">
        <v>140000</v>
      </c>
      <c r="E63" s="43">
        <f t="shared" si="3"/>
        <v>-35563</v>
      </c>
      <c r="F63" s="35">
        <f t="shared" si="5"/>
        <v>0.7459785714285714</v>
      </c>
      <c r="G63" s="55">
        <f t="shared" si="4"/>
        <v>0.008190661756325941</v>
      </c>
      <c r="H63" s="34"/>
      <c r="I63" s="34"/>
      <c r="J63" s="43"/>
      <c r="K63" s="45">
        <v>36404</v>
      </c>
      <c r="L63" s="45">
        <v>36465</v>
      </c>
      <c r="M63" s="45">
        <v>36404</v>
      </c>
      <c r="N63" s="52">
        <v>36586</v>
      </c>
    </row>
    <row r="64" spans="1:14" ht="12.75">
      <c r="A64" s="23" t="s">
        <v>92</v>
      </c>
      <c r="B64" s="29" t="s">
        <v>56</v>
      </c>
      <c r="C64" s="34">
        <v>680198</v>
      </c>
      <c r="D64" s="34">
        <v>750000</v>
      </c>
      <c r="E64" s="43">
        <f t="shared" si="3"/>
        <v>-69802</v>
      </c>
      <c r="F64" s="35">
        <f t="shared" si="5"/>
        <v>0.9069306666666667</v>
      </c>
      <c r="G64" s="55">
        <f t="shared" si="4"/>
        <v>0.043878545123174684</v>
      </c>
      <c r="H64" s="34"/>
      <c r="I64" s="34"/>
      <c r="J64" s="43"/>
      <c r="K64" s="45">
        <v>36192</v>
      </c>
      <c r="L64" s="45">
        <v>36861</v>
      </c>
      <c r="M64" s="45">
        <v>36220</v>
      </c>
      <c r="N64" s="52">
        <v>36739</v>
      </c>
    </row>
    <row r="65" spans="1:14" ht="12.75">
      <c r="A65" s="23" t="s">
        <v>93</v>
      </c>
      <c r="B65" s="29" t="s">
        <v>100</v>
      </c>
      <c r="C65" s="34">
        <v>479765</v>
      </c>
      <c r="D65" s="34">
        <v>530000</v>
      </c>
      <c r="E65" s="43">
        <f t="shared" si="3"/>
        <v>-50235</v>
      </c>
      <c r="F65" s="35">
        <f t="shared" si="5"/>
        <v>0.9052169811320755</v>
      </c>
      <c r="G65" s="55">
        <f t="shared" si="4"/>
        <v>0.031007505220376774</v>
      </c>
      <c r="H65" s="34">
        <v>577905</v>
      </c>
      <c r="I65" s="34">
        <v>530000</v>
      </c>
      <c r="J65" s="43">
        <f>H65-I65</f>
        <v>47905</v>
      </c>
      <c r="K65" s="45">
        <v>36161</v>
      </c>
      <c r="L65" s="45">
        <v>36495</v>
      </c>
      <c r="M65" s="45">
        <v>36192</v>
      </c>
      <c r="N65" s="52">
        <v>36586</v>
      </c>
    </row>
    <row r="66" spans="1:14" ht="12.75">
      <c r="A66" s="23" t="s">
        <v>94</v>
      </c>
      <c r="B66" s="29" t="s">
        <v>119</v>
      </c>
      <c r="C66" s="34">
        <v>153689</v>
      </c>
      <c r="D66" s="34">
        <v>230000</v>
      </c>
      <c r="E66" s="43">
        <f t="shared" si="3"/>
        <v>-76311</v>
      </c>
      <c r="F66" s="35">
        <f t="shared" si="5"/>
        <v>0.6682130434782608</v>
      </c>
      <c r="G66" s="55">
        <f t="shared" si="4"/>
        <v>0.013456087171106903</v>
      </c>
      <c r="H66" s="34"/>
      <c r="I66" s="34"/>
      <c r="J66" s="43"/>
      <c r="K66" s="45">
        <v>36373</v>
      </c>
      <c r="L66" s="45">
        <v>36495</v>
      </c>
      <c r="M66" s="45">
        <v>36281</v>
      </c>
      <c r="N66" s="52">
        <v>36526</v>
      </c>
    </row>
    <row r="67" spans="1:14" ht="12.75">
      <c r="A67" s="23" t="s">
        <v>95</v>
      </c>
      <c r="B67" s="29" t="s">
        <v>101</v>
      </c>
      <c r="C67" s="34">
        <v>415473</v>
      </c>
      <c r="D67" s="34">
        <v>400000</v>
      </c>
      <c r="E67" s="43">
        <f t="shared" si="3"/>
        <v>15473</v>
      </c>
      <c r="F67" s="35">
        <f t="shared" si="5"/>
        <v>1.0386825</v>
      </c>
      <c r="G67" s="55">
        <f t="shared" si="4"/>
        <v>0.02340189073235983</v>
      </c>
      <c r="H67" s="34">
        <v>415473</v>
      </c>
      <c r="I67" s="34">
        <v>400000</v>
      </c>
      <c r="J67" s="43">
        <f>H67-I67</f>
        <v>15473</v>
      </c>
      <c r="K67" s="45">
        <v>36161</v>
      </c>
      <c r="L67" s="45">
        <v>36281</v>
      </c>
      <c r="M67" s="45">
        <v>36220</v>
      </c>
      <c r="N67" s="52">
        <v>36495</v>
      </c>
    </row>
    <row r="68" spans="1:14" ht="12.75">
      <c r="A68" s="23" t="s">
        <v>96</v>
      </c>
      <c r="B68" s="29" t="s">
        <v>102</v>
      </c>
      <c r="C68" s="34">
        <v>546916</v>
      </c>
      <c r="D68" s="34">
        <v>0</v>
      </c>
      <c r="E68" s="43">
        <f t="shared" si="3"/>
        <v>546916</v>
      </c>
      <c r="F68" s="35"/>
      <c r="G68" s="55">
        <f t="shared" si="4"/>
        <v>0</v>
      </c>
      <c r="H68" s="34"/>
      <c r="I68" s="34"/>
      <c r="J68" s="43"/>
      <c r="K68" s="45">
        <v>36373</v>
      </c>
      <c r="L68" s="45">
        <v>36739</v>
      </c>
      <c r="M68" s="45">
        <v>36373</v>
      </c>
      <c r="N68" s="52">
        <v>37165</v>
      </c>
    </row>
    <row r="69" spans="1:14" ht="12.75">
      <c r="A69" s="28" t="s">
        <v>97</v>
      </c>
      <c r="B69" s="22" t="s">
        <v>103</v>
      </c>
      <c r="C69" s="36">
        <v>736211</v>
      </c>
      <c r="D69" s="36">
        <v>0</v>
      </c>
      <c r="E69" s="34">
        <f>C69-D69</f>
        <v>736211</v>
      </c>
      <c r="F69" s="35"/>
      <c r="G69" s="38">
        <f t="shared" si="4"/>
        <v>0</v>
      </c>
      <c r="H69" s="36"/>
      <c r="I69" s="36"/>
      <c r="J69" s="44"/>
      <c r="K69" s="49">
        <v>36373</v>
      </c>
      <c r="L69" s="49">
        <v>36861</v>
      </c>
      <c r="M69" s="49">
        <v>36373</v>
      </c>
      <c r="N69" s="69">
        <v>37226</v>
      </c>
    </row>
    <row r="70" spans="2:14" ht="12.75">
      <c r="B70" s="27" t="s">
        <v>138</v>
      </c>
      <c r="C70" s="39">
        <f>SUM(C43:C69)</f>
        <v>8443796</v>
      </c>
      <c r="D70" s="39">
        <f>SUM(D43:D69)</f>
        <v>9534202</v>
      </c>
      <c r="E70" s="39">
        <f>SUM(E43:E69)</f>
        <v>-1090406</v>
      </c>
      <c r="F70" s="41">
        <f>C70/D70</f>
        <v>0.8856321693205158</v>
      </c>
      <c r="G70" s="40"/>
      <c r="H70" s="33"/>
      <c r="I70" s="33"/>
      <c r="J70" s="33"/>
      <c r="K70" s="33"/>
      <c r="L70" s="33"/>
      <c r="M70" s="33"/>
      <c r="N70" s="33"/>
    </row>
  </sheetData>
  <mergeCells count="6">
    <mergeCell ref="A30:N30"/>
    <mergeCell ref="A31:N31"/>
    <mergeCell ref="A3:N3"/>
    <mergeCell ref="A1:N1"/>
    <mergeCell ref="A2:N2"/>
    <mergeCell ref="A29:N29"/>
  </mergeCells>
  <printOptions horizontalCentered="1"/>
  <pageMargins left="0.25" right="0.25" top="1" bottom="0.5" header="0" footer="0"/>
  <pageSetup fitToWidth="2" horizontalDpi="600" verticalDpi="600" orientation="landscape" scale="70" r:id="rId1"/>
  <rowBreaks count="1" manualBreakCount="1">
    <brk id="28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85"/>
  <sheetViews>
    <sheetView workbookViewId="0" topLeftCell="R1">
      <selection activeCell="A1" sqref="A1:N1"/>
    </sheetView>
  </sheetViews>
  <sheetFormatPr defaultColWidth="9.83203125" defaultRowHeight="12"/>
  <cols>
    <col min="1" max="1" width="10.83203125" style="1" customWidth="1"/>
    <col min="2" max="2" width="62.16015625" style="1" customWidth="1"/>
    <col min="3" max="3" width="13.66015625" style="1" customWidth="1"/>
    <col min="4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6.5" style="1" customWidth="1"/>
    <col min="16" max="16" width="7.83203125" style="1" customWidth="1"/>
    <col min="17" max="17" width="57.5" style="1" customWidth="1"/>
    <col min="18" max="18" width="72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186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 t="s">
        <v>0</v>
      </c>
    </row>
    <row r="2" spans="1:23" ht="12">
      <c r="A2" s="161" t="s">
        <v>320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1</v>
      </c>
    </row>
    <row r="3" spans="1:23" ht="12">
      <c r="A3" s="161" t="s">
        <v>209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298</v>
      </c>
    </row>
    <row r="4" spans="4:23" ht="12">
      <c r="D4" s="3" t="s">
        <v>2</v>
      </c>
      <c r="E4" s="130">
        <v>2007</v>
      </c>
      <c r="W4" s="2" t="s">
        <v>373</v>
      </c>
    </row>
    <row r="5" spans="1:12" ht="12">
      <c r="A5" s="2" t="s">
        <v>3</v>
      </c>
      <c r="L5" s="2" t="s">
        <v>208</v>
      </c>
    </row>
    <row r="6" spans="1:16" ht="15.75">
      <c r="A6" s="2" t="s">
        <v>4</v>
      </c>
      <c r="L6" s="2" t="s">
        <v>301</v>
      </c>
      <c r="P6" s="5" t="s">
        <v>164</v>
      </c>
    </row>
    <row r="7" spans="12:21" ht="19.5">
      <c r="L7" s="2" t="s">
        <v>5</v>
      </c>
      <c r="P7" s="6"/>
      <c r="U7" s="5" t="s">
        <v>323</v>
      </c>
    </row>
    <row r="8" spans="12:13" ht="12">
      <c r="L8" s="4" t="s">
        <v>6</v>
      </c>
      <c r="M8" s="4"/>
    </row>
    <row r="9" spans="17:24" ht="12.75">
      <c r="Q9" s="7"/>
      <c r="R9" s="7"/>
      <c r="S9" s="7"/>
      <c r="T9" s="8" t="s">
        <v>7</v>
      </c>
      <c r="U9" s="7"/>
      <c r="V9" s="7"/>
      <c r="W9" s="7"/>
      <c r="X9" s="7"/>
    </row>
    <row r="10" spans="17:24" ht="12.75">
      <c r="Q10" s="7"/>
      <c r="R10" s="7"/>
      <c r="S10" s="8" t="s">
        <v>8</v>
      </c>
      <c r="T10" s="9" t="s">
        <v>210</v>
      </c>
      <c r="U10" s="10" t="s">
        <v>9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10</v>
      </c>
      <c r="I11" s="12" t="s">
        <v>10</v>
      </c>
      <c r="J11" s="12"/>
      <c r="K11" s="12" t="s">
        <v>11</v>
      </c>
      <c r="L11" s="12" t="s">
        <v>11</v>
      </c>
      <c r="M11" s="12"/>
      <c r="N11" s="12"/>
      <c r="Q11" s="7"/>
      <c r="R11" s="7"/>
      <c r="S11" s="9" t="s">
        <v>12</v>
      </c>
      <c r="T11" s="9" t="s">
        <v>12</v>
      </c>
      <c r="U11" s="13" t="s">
        <v>13</v>
      </c>
      <c r="V11" s="14"/>
      <c r="W11" s="7"/>
      <c r="X11" s="7"/>
    </row>
    <row r="12" spans="1:24" ht="12.75">
      <c r="A12" s="9"/>
      <c r="B12" s="15"/>
      <c r="C12" s="15"/>
      <c r="D12" s="15" t="s">
        <v>14</v>
      </c>
      <c r="E12" s="15"/>
      <c r="F12" s="15"/>
      <c r="G12" s="15" t="s">
        <v>15</v>
      </c>
      <c r="H12" s="15" t="s">
        <v>16</v>
      </c>
      <c r="I12" s="15" t="s">
        <v>17</v>
      </c>
      <c r="J12" s="15"/>
      <c r="K12" s="15" t="s">
        <v>18</v>
      </c>
      <c r="L12" s="15" t="s">
        <v>18</v>
      </c>
      <c r="M12" s="15" t="s">
        <v>11</v>
      </c>
      <c r="N12" s="15" t="s">
        <v>11</v>
      </c>
      <c r="P12" s="4"/>
      <c r="Q12" s="16" t="s">
        <v>211</v>
      </c>
      <c r="R12" s="16" t="s">
        <v>20</v>
      </c>
      <c r="S12" s="17" t="s">
        <v>21</v>
      </c>
      <c r="T12" s="17" t="s">
        <v>21</v>
      </c>
      <c r="U12" s="16" t="s">
        <v>22</v>
      </c>
      <c r="V12" s="16" t="s">
        <v>23</v>
      </c>
      <c r="W12" s="16" t="s">
        <v>22</v>
      </c>
      <c r="X12" s="16" t="s">
        <v>23</v>
      </c>
    </row>
    <row r="13" spans="1:26" ht="12.75">
      <c r="A13" s="9"/>
      <c r="B13" s="15"/>
      <c r="C13" s="15" t="s">
        <v>14</v>
      </c>
      <c r="D13" s="15" t="s">
        <v>18</v>
      </c>
      <c r="E13" s="15" t="s">
        <v>24</v>
      </c>
      <c r="F13" s="15" t="s">
        <v>24</v>
      </c>
      <c r="G13" s="15" t="s">
        <v>25</v>
      </c>
      <c r="H13" s="15" t="s">
        <v>26</v>
      </c>
      <c r="I13" s="15" t="s">
        <v>26</v>
      </c>
      <c r="J13" s="15"/>
      <c r="K13" s="15" t="s">
        <v>17</v>
      </c>
      <c r="L13" s="15" t="s">
        <v>17</v>
      </c>
      <c r="M13" s="15" t="s">
        <v>16</v>
      </c>
      <c r="N13" s="15" t="s">
        <v>16</v>
      </c>
      <c r="P13" s="136" t="s">
        <v>278</v>
      </c>
      <c r="Q13" s="116" t="s">
        <v>279</v>
      </c>
      <c r="R13" s="19" t="s">
        <v>361</v>
      </c>
      <c r="S13" s="34">
        <v>488756</v>
      </c>
      <c r="T13" s="34">
        <v>480000</v>
      </c>
      <c r="U13" s="138">
        <v>38687</v>
      </c>
      <c r="V13" s="138">
        <v>39022</v>
      </c>
      <c r="W13" s="138">
        <v>38869</v>
      </c>
      <c r="X13" s="139">
        <v>39326</v>
      </c>
      <c r="Y13" s="105"/>
      <c r="Z13" s="105"/>
    </row>
    <row r="14" spans="1:24" ht="12.75">
      <c r="A14" s="17" t="s">
        <v>27</v>
      </c>
      <c r="B14" s="21" t="s">
        <v>28</v>
      </c>
      <c r="C14" s="21" t="s">
        <v>16</v>
      </c>
      <c r="D14" s="21" t="s">
        <v>17</v>
      </c>
      <c r="E14" s="21" t="s">
        <v>29</v>
      </c>
      <c r="F14" s="21" t="s">
        <v>15</v>
      </c>
      <c r="G14" s="21" t="s">
        <v>17</v>
      </c>
      <c r="H14" s="21" t="s">
        <v>30</v>
      </c>
      <c r="I14" s="21" t="s">
        <v>30</v>
      </c>
      <c r="J14" s="21" t="s">
        <v>24</v>
      </c>
      <c r="K14" s="21" t="s">
        <v>31</v>
      </c>
      <c r="L14" s="21" t="s">
        <v>32</v>
      </c>
      <c r="M14" s="21" t="s">
        <v>31</v>
      </c>
      <c r="N14" s="21" t="s">
        <v>32</v>
      </c>
      <c r="P14" s="117" t="s">
        <v>277</v>
      </c>
      <c r="Q14" s="116" t="s">
        <v>283</v>
      </c>
      <c r="R14" s="22" t="s">
        <v>362</v>
      </c>
      <c r="S14" s="34">
        <v>610985</v>
      </c>
      <c r="T14" s="34">
        <v>500000</v>
      </c>
      <c r="U14" s="138">
        <v>38749</v>
      </c>
      <c r="V14" s="138">
        <v>39052</v>
      </c>
      <c r="W14" s="138">
        <v>38808</v>
      </c>
      <c r="X14" s="139">
        <v>39387</v>
      </c>
    </row>
    <row r="15" spans="1:24" ht="12.75">
      <c r="A15" s="9" t="s">
        <v>324</v>
      </c>
      <c r="B15" s="14" t="s">
        <v>224</v>
      </c>
      <c r="C15" s="110">
        <v>3137371</v>
      </c>
      <c r="D15" s="110">
        <v>5999999.5</v>
      </c>
      <c r="E15" s="112">
        <f aca="true" t="shared" si="0" ref="E15:E34">C15-D15</f>
        <v>-2862628.5</v>
      </c>
      <c r="F15" s="31">
        <f aca="true" t="shared" si="1" ref="F15:F35">C15/D15</f>
        <v>0.5228952102412675</v>
      </c>
      <c r="G15" s="32">
        <f aca="true" t="shared" si="2" ref="G15:G34">D15/(D$35+D$85)</f>
        <v>0.2188438564615952</v>
      </c>
      <c r="H15" s="33"/>
      <c r="I15" s="33"/>
      <c r="J15" s="33"/>
      <c r="K15" s="33"/>
      <c r="L15" s="33"/>
      <c r="M15" s="33"/>
      <c r="N15" s="33"/>
      <c r="P15" s="117" t="s">
        <v>269</v>
      </c>
      <c r="Q15" s="116" t="s">
        <v>270</v>
      </c>
      <c r="R15" s="22" t="s">
        <v>363</v>
      </c>
      <c r="S15" s="34">
        <v>332155</v>
      </c>
      <c r="T15" s="34">
        <v>325000</v>
      </c>
      <c r="U15" s="138">
        <v>38718</v>
      </c>
      <c r="V15" s="138">
        <v>39022</v>
      </c>
      <c r="W15" s="138">
        <v>38777</v>
      </c>
      <c r="X15" s="139">
        <v>39295</v>
      </c>
    </row>
    <row r="16" spans="1:24" ht="12.75">
      <c r="A16" s="9" t="s">
        <v>77</v>
      </c>
      <c r="B16" s="14" t="s">
        <v>339</v>
      </c>
      <c r="C16" s="110">
        <v>489878</v>
      </c>
      <c r="D16" s="110">
        <v>750000</v>
      </c>
      <c r="E16" s="112">
        <f t="shared" si="0"/>
        <v>-260122</v>
      </c>
      <c r="F16" s="31">
        <f t="shared" si="1"/>
        <v>0.6531706666666667</v>
      </c>
      <c r="G16" s="35">
        <f t="shared" si="2"/>
        <v>0.027355484337323096</v>
      </c>
      <c r="H16" s="33"/>
      <c r="I16" s="33"/>
      <c r="J16" s="33"/>
      <c r="K16" s="33"/>
      <c r="L16" s="33"/>
      <c r="M16" s="33"/>
      <c r="N16" s="33"/>
      <c r="P16" s="137" t="s">
        <v>271</v>
      </c>
      <c r="Q16" s="140" t="s">
        <v>274</v>
      </c>
      <c r="R16" s="141" t="s">
        <v>364</v>
      </c>
      <c r="S16" s="142">
        <v>806166</v>
      </c>
      <c r="T16" s="142">
        <v>350000</v>
      </c>
      <c r="U16" s="143">
        <v>38749</v>
      </c>
      <c r="V16" s="143">
        <v>39052</v>
      </c>
      <c r="W16" s="143">
        <v>38777</v>
      </c>
      <c r="X16" s="144">
        <v>39356</v>
      </c>
    </row>
    <row r="17" spans="1:24" ht="12.75">
      <c r="A17" s="9" t="s">
        <v>78</v>
      </c>
      <c r="B17" s="14" t="s">
        <v>340</v>
      </c>
      <c r="C17" s="110">
        <v>2473473</v>
      </c>
      <c r="D17" s="110">
        <v>2249999.74</v>
      </c>
      <c r="E17" s="112">
        <f t="shared" si="0"/>
        <v>223473.25999999978</v>
      </c>
      <c r="F17" s="31">
        <f t="shared" si="1"/>
        <v>1.0993214603660353</v>
      </c>
      <c r="G17" s="35">
        <f t="shared" si="2"/>
        <v>0.08206644352873473</v>
      </c>
      <c r="H17" s="33"/>
      <c r="I17" s="33"/>
      <c r="J17" s="33"/>
      <c r="K17" s="33"/>
      <c r="L17" s="33"/>
      <c r="M17" s="33"/>
      <c r="N17" s="33"/>
      <c r="P17" s="67"/>
      <c r="Q17" s="17" t="s">
        <v>35</v>
      </c>
      <c r="R17" s="61"/>
      <c r="S17" s="61">
        <f>SUM(S13:S16)</f>
        <v>2238062</v>
      </c>
      <c r="T17" s="61">
        <f>SUM(T13:T16)</f>
        <v>1655000</v>
      </c>
      <c r="U17" s="68"/>
      <c r="V17" s="68"/>
      <c r="W17" s="68"/>
      <c r="X17" s="68"/>
    </row>
    <row r="18" spans="1:24" ht="12.75">
      <c r="A18" s="9" t="s">
        <v>79</v>
      </c>
      <c r="B18" s="14" t="s">
        <v>341</v>
      </c>
      <c r="C18" s="110">
        <v>101183</v>
      </c>
      <c r="D18" s="110">
        <v>0</v>
      </c>
      <c r="E18" s="112">
        <f t="shared" si="0"/>
        <v>101183</v>
      </c>
      <c r="F18" s="31"/>
      <c r="G18" s="35">
        <f t="shared" si="2"/>
        <v>0</v>
      </c>
      <c r="H18" s="33"/>
      <c r="I18" s="33"/>
      <c r="J18" s="33"/>
      <c r="K18" s="33"/>
      <c r="L18" s="33"/>
      <c r="M18" s="33"/>
      <c r="N18" s="33"/>
      <c r="P18" s="67"/>
      <c r="Q18" s="67"/>
      <c r="R18" s="108"/>
      <c r="S18" s="108"/>
      <c r="T18" s="108"/>
      <c r="U18" s="68"/>
      <c r="V18" s="68"/>
      <c r="W18" s="68"/>
      <c r="X18" s="68"/>
    </row>
    <row r="19" spans="1:24" ht="12.75">
      <c r="A19" s="9" t="s">
        <v>325</v>
      </c>
      <c r="B19" s="14" t="s">
        <v>342</v>
      </c>
      <c r="C19" s="110">
        <v>16024</v>
      </c>
      <c r="D19" s="110">
        <v>0</v>
      </c>
      <c r="E19" s="112">
        <f t="shared" si="0"/>
        <v>16024</v>
      </c>
      <c r="F19" s="31"/>
      <c r="G19" s="35">
        <f t="shared" si="2"/>
        <v>0</v>
      </c>
      <c r="H19" s="33"/>
      <c r="I19" s="33"/>
      <c r="J19" s="33"/>
      <c r="K19" s="33"/>
      <c r="L19" s="33"/>
      <c r="M19" s="33"/>
      <c r="N19" s="33"/>
      <c r="P19" s="67"/>
      <c r="Q19" s="67"/>
      <c r="R19" s="108"/>
      <c r="S19" s="108"/>
      <c r="T19" s="108"/>
      <c r="U19" s="68"/>
      <c r="V19" s="68"/>
      <c r="W19" s="68"/>
      <c r="X19" s="68"/>
    </row>
    <row r="20" spans="1:24" ht="12.75">
      <c r="A20" s="9" t="s">
        <v>84</v>
      </c>
      <c r="B20" s="14" t="s">
        <v>343</v>
      </c>
      <c r="C20" s="110">
        <v>244947</v>
      </c>
      <c r="D20" s="110">
        <v>520000</v>
      </c>
      <c r="E20" s="112">
        <f t="shared" si="0"/>
        <v>-275053</v>
      </c>
      <c r="F20" s="31">
        <f t="shared" si="1"/>
        <v>0.47105192307692306</v>
      </c>
      <c r="G20" s="35">
        <f t="shared" si="2"/>
        <v>0.018966469140544014</v>
      </c>
      <c r="H20" s="33"/>
      <c r="I20" s="33"/>
      <c r="J20" s="33"/>
      <c r="K20" s="33"/>
      <c r="L20" s="33"/>
      <c r="M20" s="33"/>
      <c r="N20" s="33"/>
      <c r="P20" s="67"/>
      <c r="Q20" s="67"/>
      <c r="R20" s="108"/>
      <c r="S20" s="108"/>
      <c r="T20" s="108"/>
      <c r="U20" s="68"/>
      <c r="V20" s="68"/>
      <c r="W20" s="68"/>
      <c r="X20" s="68"/>
    </row>
    <row r="21" spans="1:24" ht="12.75">
      <c r="A21" s="9" t="s">
        <v>85</v>
      </c>
      <c r="B21" s="14" t="s">
        <v>344</v>
      </c>
      <c r="C21" s="110">
        <v>19096</v>
      </c>
      <c r="D21" s="110">
        <v>100000</v>
      </c>
      <c r="E21" s="112">
        <f t="shared" si="0"/>
        <v>-80904</v>
      </c>
      <c r="F21" s="31">
        <f t="shared" si="1"/>
        <v>0.19096</v>
      </c>
      <c r="G21" s="35">
        <f t="shared" si="2"/>
        <v>0.0036473979116430793</v>
      </c>
      <c r="H21" s="33"/>
      <c r="I21" s="33"/>
      <c r="J21" s="33"/>
      <c r="K21" s="33"/>
      <c r="L21" s="33"/>
      <c r="M21" s="33"/>
      <c r="N21" s="33"/>
      <c r="P21" s="67"/>
      <c r="Q21" s="67"/>
      <c r="R21" s="108"/>
      <c r="S21" s="108"/>
      <c r="T21" s="108"/>
      <c r="U21" s="68"/>
      <c r="V21" s="68"/>
      <c r="W21" s="68"/>
      <c r="X21" s="68"/>
    </row>
    <row r="22" spans="1:24" ht="12.75">
      <c r="A22" s="9" t="s">
        <v>86</v>
      </c>
      <c r="B22" s="14" t="s">
        <v>345</v>
      </c>
      <c r="C22" s="110">
        <v>1087103</v>
      </c>
      <c r="D22" s="110">
        <v>1303700</v>
      </c>
      <c r="E22" s="112">
        <f t="shared" si="0"/>
        <v>-216597</v>
      </c>
      <c r="F22" s="31">
        <f t="shared" si="1"/>
        <v>0.8338597836925673</v>
      </c>
      <c r="G22" s="35">
        <f t="shared" si="2"/>
        <v>0.04755112657409083</v>
      </c>
      <c r="H22" s="33"/>
      <c r="I22" s="33"/>
      <c r="J22" s="33"/>
      <c r="K22" s="33"/>
      <c r="L22" s="33"/>
      <c r="M22" s="33"/>
      <c r="N22" s="33"/>
      <c r="P22" s="67"/>
      <c r="Q22" s="67"/>
      <c r="R22" s="108"/>
      <c r="S22" s="108"/>
      <c r="T22" s="108"/>
      <c r="U22" s="68"/>
      <c r="V22" s="68"/>
      <c r="W22" s="68"/>
      <c r="X22" s="68"/>
    </row>
    <row r="23" spans="1:24" ht="12.75">
      <c r="A23" s="9" t="s">
        <v>87</v>
      </c>
      <c r="B23" s="14" t="s">
        <v>346</v>
      </c>
      <c r="C23" s="110">
        <v>1242660</v>
      </c>
      <c r="D23" s="110">
        <v>1200000</v>
      </c>
      <c r="E23" s="112">
        <f t="shared" si="0"/>
        <v>42660</v>
      </c>
      <c r="F23" s="31">
        <f t="shared" si="1"/>
        <v>1.03555</v>
      </c>
      <c r="G23" s="35">
        <f t="shared" si="2"/>
        <v>0.04376877493971695</v>
      </c>
      <c r="H23" s="33"/>
      <c r="I23" s="33"/>
      <c r="J23" s="33"/>
      <c r="K23" s="33"/>
      <c r="L23" s="33"/>
      <c r="M23" s="33"/>
      <c r="N23" s="33"/>
      <c r="P23" s="67"/>
      <c r="Q23" s="67"/>
      <c r="R23" s="108"/>
      <c r="S23" s="108"/>
      <c r="T23" s="108"/>
      <c r="U23" s="68"/>
      <c r="V23" s="68"/>
      <c r="W23" s="68"/>
      <c r="X23" s="68"/>
    </row>
    <row r="24" spans="1:24" ht="12.75">
      <c r="A24" s="9" t="s">
        <v>327</v>
      </c>
      <c r="B24" s="14" t="s">
        <v>232</v>
      </c>
      <c r="C24" s="110">
        <v>1701718</v>
      </c>
      <c r="D24" s="110">
        <v>1150400</v>
      </c>
      <c r="E24" s="112">
        <f t="shared" si="0"/>
        <v>551318</v>
      </c>
      <c r="F24" s="31">
        <f t="shared" si="1"/>
        <v>1.479240264255911</v>
      </c>
      <c r="G24" s="35">
        <f t="shared" si="2"/>
        <v>0.04195966557554198</v>
      </c>
      <c r="H24" s="33"/>
      <c r="I24" s="33"/>
      <c r="J24" s="33"/>
      <c r="K24" s="33"/>
      <c r="L24" s="33"/>
      <c r="M24" s="33"/>
      <c r="N24" s="33"/>
      <c r="P24" s="67"/>
      <c r="Q24" s="67"/>
      <c r="R24" s="108"/>
      <c r="S24" s="108"/>
      <c r="T24" s="108"/>
      <c r="U24" s="68"/>
      <c r="V24" s="68"/>
      <c r="W24" s="68"/>
      <c r="X24" s="68"/>
    </row>
    <row r="25" spans="1:24" ht="12.75">
      <c r="A25" s="9" t="s">
        <v>326</v>
      </c>
      <c r="B25" s="14" t="s">
        <v>347</v>
      </c>
      <c r="C25" s="110">
        <v>1330358</v>
      </c>
      <c r="D25" s="110">
        <v>1150000</v>
      </c>
      <c r="E25" s="112">
        <f t="shared" si="0"/>
        <v>180358</v>
      </c>
      <c r="F25" s="31">
        <f t="shared" si="1"/>
        <v>1.1568330434782608</v>
      </c>
      <c r="G25" s="35">
        <f t="shared" si="2"/>
        <v>0.041945075983895415</v>
      </c>
      <c r="H25" s="33"/>
      <c r="I25" s="33"/>
      <c r="J25" s="33"/>
      <c r="K25" s="33"/>
      <c r="L25" s="33"/>
      <c r="M25" s="33"/>
      <c r="N25" s="33"/>
      <c r="P25" s="67"/>
      <c r="Q25" s="67"/>
      <c r="R25" s="108"/>
      <c r="S25" s="108"/>
      <c r="T25" s="108"/>
      <c r="U25" s="68"/>
      <c r="V25" s="68"/>
      <c r="W25" s="68"/>
      <c r="X25" s="68"/>
    </row>
    <row r="26" spans="1:24" ht="12.75">
      <c r="A26" s="9" t="s">
        <v>328</v>
      </c>
      <c r="B26" s="14" t="s">
        <v>348</v>
      </c>
      <c r="C26" s="110">
        <v>253947</v>
      </c>
      <c r="D26" s="110">
        <v>100000</v>
      </c>
      <c r="E26" s="112">
        <f t="shared" si="0"/>
        <v>153947</v>
      </c>
      <c r="F26" s="31">
        <f t="shared" si="1"/>
        <v>2.53947</v>
      </c>
      <c r="G26" s="35">
        <f t="shared" si="2"/>
        <v>0.0036473979116430793</v>
      </c>
      <c r="H26" s="33"/>
      <c r="I26" s="33"/>
      <c r="J26" s="33"/>
      <c r="K26" s="33"/>
      <c r="L26" s="33"/>
      <c r="M26" s="33"/>
      <c r="N26" s="33"/>
      <c r="P26" s="67"/>
      <c r="Q26" s="67"/>
      <c r="R26" s="108"/>
      <c r="S26" s="108"/>
      <c r="T26" s="108"/>
      <c r="U26" s="68"/>
      <c r="V26" s="68"/>
      <c r="W26" s="68"/>
      <c r="X26" s="68"/>
    </row>
    <row r="27" spans="1:24" ht="12.75">
      <c r="A27" s="9" t="s">
        <v>329</v>
      </c>
      <c r="B27" s="14" t="s">
        <v>349</v>
      </c>
      <c r="C27" s="110">
        <v>59013</v>
      </c>
      <c r="D27" s="110">
        <v>0</v>
      </c>
      <c r="E27" s="112">
        <f t="shared" si="0"/>
        <v>59013</v>
      </c>
      <c r="F27" s="31"/>
      <c r="G27" s="35">
        <f t="shared" si="2"/>
        <v>0</v>
      </c>
      <c r="H27" s="33"/>
      <c r="I27" s="33"/>
      <c r="J27" s="33"/>
      <c r="K27" s="33"/>
      <c r="L27" s="33"/>
      <c r="M27" s="33"/>
      <c r="N27" s="33"/>
      <c r="P27" s="67"/>
      <c r="Q27" s="67"/>
      <c r="R27" s="108"/>
      <c r="S27" s="108"/>
      <c r="T27" s="108"/>
      <c r="U27" s="68"/>
      <c r="V27" s="68"/>
      <c r="W27" s="68"/>
      <c r="X27" s="68"/>
    </row>
    <row r="28" spans="1:24" ht="12.75">
      <c r="A28" s="9" t="s">
        <v>330</v>
      </c>
      <c r="B28" s="109" t="s">
        <v>350</v>
      </c>
      <c r="C28" s="110">
        <v>0</v>
      </c>
      <c r="D28" s="110">
        <v>0</v>
      </c>
      <c r="E28" s="112">
        <f t="shared" si="0"/>
        <v>0</v>
      </c>
      <c r="F28" s="31"/>
      <c r="G28" s="35">
        <f t="shared" si="2"/>
        <v>0</v>
      </c>
      <c r="H28" s="33"/>
      <c r="I28" s="33"/>
      <c r="J28" s="33"/>
      <c r="K28" s="33"/>
      <c r="L28" s="33"/>
      <c r="M28" s="33"/>
      <c r="N28" s="33"/>
      <c r="P28" s="67"/>
      <c r="U28" s="68"/>
      <c r="V28" s="68"/>
      <c r="W28" s="68"/>
      <c r="X28" s="68"/>
    </row>
    <row r="29" spans="1:24" ht="12.75">
      <c r="A29" s="9" t="s">
        <v>331</v>
      </c>
      <c r="B29" s="109" t="s">
        <v>234</v>
      </c>
      <c r="C29" s="110">
        <v>140932</v>
      </c>
      <c r="D29" s="110">
        <v>80000</v>
      </c>
      <c r="E29" s="112">
        <f t="shared" si="0"/>
        <v>60932</v>
      </c>
      <c r="F29" s="31">
        <f t="shared" si="1"/>
        <v>1.76165</v>
      </c>
      <c r="G29" s="35">
        <f t="shared" si="2"/>
        <v>0.0029179183293144635</v>
      </c>
      <c r="H29" s="33"/>
      <c r="I29" s="33"/>
      <c r="J29" s="33"/>
      <c r="K29" s="33"/>
      <c r="L29" s="33"/>
      <c r="M29" s="33"/>
      <c r="N29" s="33"/>
      <c r="P29" s="67"/>
      <c r="U29" s="68"/>
      <c r="V29" s="68"/>
      <c r="W29" s="68"/>
      <c r="X29" s="68"/>
    </row>
    <row r="30" spans="1:24" ht="12.75">
      <c r="A30" s="9" t="s">
        <v>332</v>
      </c>
      <c r="B30" s="109" t="s">
        <v>235</v>
      </c>
      <c r="C30" s="110">
        <v>576684</v>
      </c>
      <c r="D30" s="110">
        <v>0</v>
      </c>
      <c r="E30" s="112">
        <f t="shared" si="0"/>
        <v>576684</v>
      </c>
      <c r="F30" s="31"/>
      <c r="G30" s="35">
        <f t="shared" si="2"/>
        <v>0</v>
      </c>
      <c r="H30" s="33"/>
      <c r="I30" s="33"/>
      <c r="J30" s="33"/>
      <c r="K30" s="33"/>
      <c r="L30" s="33"/>
      <c r="M30" s="33"/>
      <c r="N30" s="33"/>
      <c r="P30" s="67"/>
      <c r="U30" s="68"/>
      <c r="V30" s="68"/>
      <c r="W30" s="68"/>
      <c r="X30" s="68"/>
    </row>
    <row r="31" spans="1:24" ht="12.75">
      <c r="A31" s="9" t="s">
        <v>333</v>
      </c>
      <c r="B31" s="109" t="s">
        <v>236</v>
      </c>
      <c r="C31" s="110">
        <v>339773</v>
      </c>
      <c r="D31" s="110">
        <v>154999.5</v>
      </c>
      <c r="E31" s="112">
        <f t="shared" si="0"/>
        <v>184773.5</v>
      </c>
      <c r="F31" s="31">
        <f t="shared" si="1"/>
        <v>2.192090942228846</v>
      </c>
      <c r="G31" s="35">
        <f t="shared" si="2"/>
        <v>0.0056534485260572144</v>
      </c>
      <c r="H31" s="33"/>
      <c r="I31" s="33"/>
      <c r="J31" s="33"/>
      <c r="K31" s="33"/>
      <c r="L31" s="33"/>
      <c r="M31" s="33"/>
      <c r="N31" s="33"/>
      <c r="P31" s="67"/>
      <c r="U31" s="68"/>
      <c r="V31" s="68"/>
      <c r="W31" s="68"/>
      <c r="X31" s="68"/>
    </row>
    <row r="32" spans="1:24" ht="12.75" customHeight="1">
      <c r="A32" s="9" t="s">
        <v>334</v>
      </c>
      <c r="B32" s="109" t="s">
        <v>351</v>
      </c>
      <c r="C32" s="110">
        <v>1127337</v>
      </c>
      <c r="D32" s="110">
        <v>650000</v>
      </c>
      <c r="E32" s="112">
        <f t="shared" si="0"/>
        <v>477337</v>
      </c>
      <c r="F32" s="31">
        <f t="shared" si="1"/>
        <v>1.7343646153846153</v>
      </c>
      <c r="G32" s="35">
        <f t="shared" si="2"/>
        <v>0.023708086425680015</v>
      </c>
      <c r="H32" s="33"/>
      <c r="I32" s="33"/>
      <c r="J32" s="33"/>
      <c r="K32" s="33"/>
      <c r="L32" s="33"/>
      <c r="M32" s="33"/>
      <c r="N32" s="33"/>
      <c r="P32" s="7"/>
      <c r="U32" s="7"/>
      <c r="V32" s="7"/>
      <c r="W32" s="7"/>
      <c r="X32" s="7"/>
    </row>
    <row r="33" spans="1:14" ht="12.75">
      <c r="A33" s="9" t="s">
        <v>335</v>
      </c>
      <c r="B33" s="14" t="s">
        <v>352</v>
      </c>
      <c r="C33" s="110">
        <v>4601</v>
      </c>
      <c r="D33" s="110">
        <v>0</v>
      </c>
      <c r="E33" s="112">
        <f t="shared" si="0"/>
        <v>4601</v>
      </c>
      <c r="F33" s="31"/>
      <c r="G33" s="35">
        <f t="shared" si="2"/>
        <v>0</v>
      </c>
      <c r="H33" s="33"/>
      <c r="I33" s="33"/>
      <c r="J33" s="33"/>
      <c r="K33" s="33"/>
      <c r="L33" s="33"/>
      <c r="M33" s="33"/>
      <c r="N33" s="33"/>
    </row>
    <row r="34" spans="1:14" ht="12.75">
      <c r="A34" s="17" t="s">
        <v>336</v>
      </c>
      <c r="B34" s="25" t="s">
        <v>353</v>
      </c>
      <c r="C34" s="111">
        <v>61018</v>
      </c>
      <c r="D34" s="111">
        <v>100000</v>
      </c>
      <c r="E34" s="112">
        <f t="shared" si="0"/>
        <v>-38982</v>
      </c>
      <c r="F34" s="72">
        <f t="shared" si="1"/>
        <v>0.61018</v>
      </c>
      <c r="G34" s="72">
        <f t="shared" si="2"/>
        <v>0.0036473979116430793</v>
      </c>
      <c r="H34" s="33"/>
      <c r="I34" s="33"/>
      <c r="J34" s="33"/>
      <c r="K34" s="33"/>
      <c r="L34" s="33"/>
      <c r="M34" s="33"/>
      <c r="N34" s="33"/>
    </row>
    <row r="35" spans="1:14" ht="12.75">
      <c r="A35" s="26"/>
      <c r="B35" s="27" t="s">
        <v>33</v>
      </c>
      <c r="C35" s="39">
        <f>SUM(C15:C34)</f>
        <v>14407116</v>
      </c>
      <c r="D35" s="39">
        <f>SUM(D15:D34)</f>
        <v>15509098.74</v>
      </c>
      <c r="E35" s="39">
        <f>SUM(E15:E34)</f>
        <v>-1101982.7400000002</v>
      </c>
      <c r="F35" s="37">
        <f t="shared" si="1"/>
        <v>0.928946049124193</v>
      </c>
      <c r="G35" s="40"/>
      <c r="H35" s="33"/>
      <c r="I35" s="33"/>
      <c r="J35" s="33"/>
      <c r="K35" s="33"/>
      <c r="L35" s="33"/>
      <c r="M35" s="33"/>
      <c r="N35" s="33"/>
    </row>
    <row r="36" spans="1:14" ht="12.75">
      <c r="A36" s="26"/>
      <c r="B36" s="27" t="s">
        <v>337</v>
      </c>
      <c r="C36" s="39">
        <f>C15</f>
        <v>3137371</v>
      </c>
      <c r="D36" s="39">
        <f>D15</f>
        <v>5999999.5</v>
      </c>
      <c r="E36" s="39">
        <f>E15</f>
        <v>-2862628.5</v>
      </c>
      <c r="F36" s="40"/>
      <c r="G36" s="40"/>
      <c r="H36" s="33"/>
      <c r="I36" s="33"/>
      <c r="J36" s="33"/>
      <c r="K36" s="33"/>
      <c r="L36" s="33"/>
      <c r="M36" s="33"/>
      <c r="N36" s="33"/>
    </row>
    <row r="37" spans="1:14" ht="12.75">
      <c r="A37" s="26"/>
      <c r="B37" s="27" t="s">
        <v>338</v>
      </c>
      <c r="C37" s="39">
        <f>C35-C36</f>
        <v>11269745</v>
      </c>
      <c r="D37" s="39">
        <f>D35-D36</f>
        <v>9509099.24</v>
      </c>
      <c r="E37" s="39">
        <f>E35-E36</f>
        <v>1760645.7599999998</v>
      </c>
      <c r="F37" s="41">
        <f>C37/D37</f>
        <v>1.1851537896033146</v>
      </c>
      <c r="G37" s="40"/>
      <c r="H37" s="33"/>
      <c r="I37" s="33"/>
      <c r="J37" s="33"/>
      <c r="K37" s="33"/>
      <c r="L37" s="33"/>
      <c r="M37" s="33"/>
      <c r="N37" s="33"/>
    </row>
    <row r="38" spans="1:14" ht="12.75">
      <c r="A38" s="26"/>
      <c r="B38" s="119"/>
      <c r="C38" s="120"/>
      <c r="D38" s="120"/>
      <c r="E38" s="120"/>
      <c r="F38" s="99"/>
      <c r="G38" s="40"/>
      <c r="H38" s="33"/>
      <c r="I38" s="33"/>
      <c r="J38" s="33"/>
      <c r="K38" s="33"/>
      <c r="L38" s="33"/>
      <c r="M38" s="33"/>
      <c r="N38" s="33"/>
    </row>
    <row r="39" spans="1:14" ht="12.75">
      <c r="A39" s="26"/>
      <c r="B39" s="119"/>
      <c r="C39" s="120"/>
      <c r="D39" s="120"/>
      <c r="E39" s="120"/>
      <c r="F39" s="99"/>
      <c r="G39" s="40"/>
      <c r="H39" s="33"/>
      <c r="I39" s="33"/>
      <c r="J39" s="33"/>
      <c r="K39" s="33"/>
      <c r="L39" s="33"/>
      <c r="M39" s="33"/>
      <c r="N39" s="33"/>
    </row>
    <row r="40" spans="1:14" ht="15.75" customHeight="1">
      <c r="A40" s="26"/>
      <c r="B40" s="119"/>
      <c r="C40" s="120"/>
      <c r="D40" s="120"/>
      <c r="E40" s="120"/>
      <c r="F40" s="99"/>
      <c r="G40" s="40"/>
      <c r="H40" s="33"/>
      <c r="I40" s="33"/>
      <c r="J40" s="33"/>
      <c r="K40" s="33"/>
      <c r="L40" s="33"/>
      <c r="M40" s="33"/>
      <c r="N40" s="33"/>
    </row>
    <row r="41" spans="1:14" ht="15.75" customHeight="1">
      <c r="A41" s="26"/>
      <c r="B41" s="119"/>
      <c r="C41" s="120"/>
      <c r="D41" s="120"/>
      <c r="E41" s="120"/>
      <c r="F41" s="99"/>
      <c r="G41" s="40"/>
      <c r="H41" s="33"/>
      <c r="I41" s="33"/>
      <c r="J41" s="33"/>
      <c r="K41" s="33"/>
      <c r="L41" s="33"/>
      <c r="M41" s="33"/>
      <c r="N41" s="33"/>
    </row>
    <row r="42" spans="1:14" ht="15.75" customHeight="1">
      <c r="A42" s="161" t="s">
        <v>186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1:14" ht="15.75" customHeight="1">
      <c r="A43" s="161" t="str">
        <f>A2</f>
        <v>Case No. 2008 - 00427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15.75" customHeight="1">
      <c r="A44" s="161" t="s">
        <v>209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spans="4:5" ht="15.75" customHeight="1">
      <c r="D45" s="3" t="s">
        <v>2</v>
      </c>
      <c r="E45" s="130">
        <f>E4</f>
        <v>2007</v>
      </c>
    </row>
    <row r="46" spans="1:12" ht="15.75" customHeight="1">
      <c r="A46" s="2" t="s">
        <v>3</v>
      </c>
      <c r="L46" s="2" t="s">
        <v>208</v>
      </c>
    </row>
    <row r="47" spans="1:12" ht="15.75" customHeight="1">
      <c r="A47" s="2" t="s">
        <v>4</v>
      </c>
      <c r="L47" s="2" t="s">
        <v>302</v>
      </c>
    </row>
    <row r="48" ht="15.75" customHeight="1">
      <c r="L48" s="2" t="s">
        <v>5</v>
      </c>
    </row>
    <row r="49" spans="12:13" ht="15.75" customHeight="1">
      <c r="L49" s="4" t="s">
        <v>6</v>
      </c>
      <c r="M49" s="4"/>
    </row>
    <row r="50" ht="15.75" customHeight="1"/>
    <row r="51" ht="15.75" customHeight="1"/>
    <row r="52" spans="1:14" ht="15.75" customHeight="1">
      <c r="A52" s="8"/>
      <c r="B52" s="12"/>
      <c r="C52" s="12"/>
      <c r="D52" s="12"/>
      <c r="E52" s="12"/>
      <c r="F52" s="12"/>
      <c r="G52" s="12"/>
      <c r="H52" s="12" t="s">
        <v>10</v>
      </c>
      <c r="I52" s="12" t="s">
        <v>10</v>
      </c>
      <c r="J52" s="12"/>
      <c r="K52" s="12" t="s">
        <v>11</v>
      </c>
      <c r="L52" s="12" t="s">
        <v>11</v>
      </c>
      <c r="M52" s="12"/>
      <c r="N52" s="12"/>
    </row>
    <row r="53" spans="1:14" ht="12.75">
      <c r="A53" s="9"/>
      <c r="B53" s="15"/>
      <c r="C53" s="15"/>
      <c r="D53" s="15" t="s">
        <v>14</v>
      </c>
      <c r="E53" s="15"/>
      <c r="F53" s="15"/>
      <c r="G53" s="15" t="s">
        <v>15</v>
      </c>
      <c r="H53" s="15" t="s">
        <v>16</v>
      </c>
      <c r="I53" s="15" t="s">
        <v>17</v>
      </c>
      <c r="J53" s="15"/>
      <c r="K53" s="15" t="s">
        <v>18</v>
      </c>
      <c r="L53" s="15" t="s">
        <v>18</v>
      </c>
      <c r="M53" s="15" t="s">
        <v>11</v>
      </c>
      <c r="N53" s="15" t="s">
        <v>11</v>
      </c>
    </row>
    <row r="54" spans="1:14" ht="12.75">
      <c r="A54" s="9"/>
      <c r="B54" s="15"/>
      <c r="C54" s="15" t="s">
        <v>14</v>
      </c>
      <c r="D54" s="15" t="s">
        <v>18</v>
      </c>
      <c r="E54" s="15" t="s">
        <v>24</v>
      </c>
      <c r="F54" s="15" t="s">
        <v>24</v>
      </c>
      <c r="G54" s="15" t="s">
        <v>25</v>
      </c>
      <c r="H54" s="15" t="s">
        <v>26</v>
      </c>
      <c r="I54" s="15" t="s">
        <v>26</v>
      </c>
      <c r="J54" s="15"/>
      <c r="K54" s="15" t="s">
        <v>17</v>
      </c>
      <c r="L54" s="15" t="s">
        <v>17</v>
      </c>
      <c r="M54" s="15" t="s">
        <v>16</v>
      </c>
      <c r="N54" s="15" t="s">
        <v>16</v>
      </c>
    </row>
    <row r="55" spans="1:14" ht="12.75">
      <c r="A55" s="17" t="s">
        <v>27</v>
      </c>
      <c r="B55" s="21" t="s">
        <v>28</v>
      </c>
      <c r="C55" s="21" t="s">
        <v>16</v>
      </c>
      <c r="D55" s="21" t="s">
        <v>17</v>
      </c>
      <c r="E55" s="21" t="s">
        <v>29</v>
      </c>
      <c r="F55" s="21" t="s">
        <v>15</v>
      </c>
      <c r="G55" s="21" t="s">
        <v>17</v>
      </c>
      <c r="H55" s="21" t="s">
        <v>30</v>
      </c>
      <c r="I55" s="21" t="s">
        <v>30</v>
      </c>
      <c r="J55" s="21" t="s">
        <v>24</v>
      </c>
      <c r="K55" s="21" t="s">
        <v>31</v>
      </c>
      <c r="L55" s="21" t="s">
        <v>32</v>
      </c>
      <c r="M55" s="21" t="s">
        <v>31</v>
      </c>
      <c r="N55" s="21" t="s">
        <v>32</v>
      </c>
    </row>
    <row r="56" spans="1:14" ht="12.75">
      <c r="A56" s="56"/>
      <c r="B56" s="57" t="s">
        <v>19</v>
      </c>
      <c r="C56" s="58"/>
      <c r="D56" s="58"/>
      <c r="E56" s="58"/>
      <c r="F56" s="59"/>
      <c r="G56" s="59"/>
      <c r="H56" s="60"/>
      <c r="I56" s="60"/>
      <c r="J56" s="60"/>
      <c r="K56" s="60"/>
      <c r="L56" s="60"/>
      <c r="M56" s="60"/>
      <c r="N56" s="60"/>
    </row>
    <row r="57" spans="1:14" ht="12.75">
      <c r="A57" s="83" t="s">
        <v>144</v>
      </c>
      <c r="B57" s="80" t="s">
        <v>157</v>
      </c>
      <c r="C57" s="112">
        <v>5976</v>
      </c>
      <c r="D57" s="112">
        <v>0</v>
      </c>
      <c r="E57" s="113">
        <f>C57-D57</f>
        <v>5976</v>
      </c>
      <c r="F57" s="35"/>
      <c r="G57" s="35">
        <f aca="true" t="shared" si="3" ref="G57:G83">D57/(D$35+D$85)</f>
        <v>0</v>
      </c>
      <c r="H57" s="34"/>
      <c r="I57" s="34"/>
      <c r="J57" s="43">
        <f>H57-I57</f>
        <v>0</v>
      </c>
      <c r="K57" s="45">
        <v>36892</v>
      </c>
      <c r="L57" s="45">
        <v>38322</v>
      </c>
      <c r="M57" s="45">
        <v>36923</v>
      </c>
      <c r="N57" s="52">
        <v>38687</v>
      </c>
    </row>
    <row r="58" spans="1:14" ht="12.75">
      <c r="A58" s="83" t="s">
        <v>146</v>
      </c>
      <c r="B58" s="85" t="s">
        <v>159</v>
      </c>
      <c r="C58" s="112">
        <v>-215782</v>
      </c>
      <c r="D58" s="112">
        <v>0</v>
      </c>
      <c r="E58" s="113">
        <f aca="true" t="shared" si="4" ref="E58:E83">C58-D58</f>
        <v>-215782</v>
      </c>
      <c r="F58" s="35"/>
      <c r="G58" s="115">
        <f t="shared" si="3"/>
        <v>0</v>
      </c>
      <c r="H58" s="34"/>
      <c r="I58" s="34"/>
      <c r="J58" s="43">
        <f aca="true" t="shared" si="5" ref="J58:J83">H58-I58</f>
        <v>0</v>
      </c>
      <c r="K58" s="45">
        <v>36892</v>
      </c>
      <c r="L58" s="45">
        <v>37226</v>
      </c>
      <c r="M58" s="45">
        <v>36892</v>
      </c>
      <c r="N58" s="52">
        <v>37316</v>
      </c>
    </row>
    <row r="59" spans="1:14" ht="12.75">
      <c r="A59" s="92" t="s">
        <v>165</v>
      </c>
      <c r="B59" s="93" t="s">
        <v>173</v>
      </c>
      <c r="C59" s="112">
        <v>6402.54</v>
      </c>
      <c r="D59" s="112">
        <v>0</v>
      </c>
      <c r="E59" s="113">
        <f t="shared" si="4"/>
        <v>6402.54</v>
      </c>
      <c r="F59" s="35"/>
      <c r="G59" s="55">
        <f t="shared" si="3"/>
        <v>0</v>
      </c>
      <c r="H59" s="34"/>
      <c r="I59" s="34"/>
      <c r="J59" s="43">
        <f t="shared" si="5"/>
        <v>0</v>
      </c>
      <c r="K59" s="47">
        <v>37347</v>
      </c>
      <c r="L59" s="45">
        <v>37956</v>
      </c>
      <c r="M59" s="45">
        <v>37316</v>
      </c>
      <c r="N59" s="52"/>
    </row>
    <row r="60" spans="1:14" ht="12.75">
      <c r="A60" s="98" t="s">
        <v>166</v>
      </c>
      <c r="B60" s="93" t="s">
        <v>187</v>
      </c>
      <c r="C60" s="112">
        <v>-97.16</v>
      </c>
      <c r="D60" s="112">
        <v>0</v>
      </c>
      <c r="E60" s="113">
        <f t="shared" si="4"/>
        <v>-97.16</v>
      </c>
      <c r="F60" s="35"/>
      <c r="G60" s="55">
        <f t="shared" si="3"/>
        <v>0</v>
      </c>
      <c r="H60" s="34"/>
      <c r="I60" s="34"/>
      <c r="J60" s="43">
        <f t="shared" si="5"/>
        <v>0</v>
      </c>
      <c r="K60" s="45">
        <v>37257</v>
      </c>
      <c r="L60" s="45">
        <v>37591</v>
      </c>
      <c r="M60" s="45">
        <v>37257</v>
      </c>
      <c r="N60" s="52">
        <v>37561</v>
      </c>
    </row>
    <row r="61" spans="1:14" ht="12.75">
      <c r="A61" s="92" t="s">
        <v>168</v>
      </c>
      <c r="B61" s="93" t="s">
        <v>183</v>
      </c>
      <c r="C61" s="112">
        <v>694808</v>
      </c>
      <c r="D61" s="112">
        <v>0</v>
      </c>
      <c r="E61" s="113">
        <f t="shared" si="4"/>
        <v>694808</v>
      </c>
      <c r="F61" s="35"/>
      <c r="G61" s="55">
        <f t="shared" si="3"/>
        <v>0</v>
      </c>
      <c r="H61" s="34"/>
      <c r="I61" s="34"/>
      <c r="J61" s="43">
        <f t="shared" si="5"/>
        <v>0</v>
      </c>
      <c r="K61" s="47">
        <v>37347</v>
      </c>
      <c r="L61" s="45">
        <v>37956</v>
      </c>
      <c r="M61" s="45">
        <v>37043</v>
      </c>
      <c r="N61" s="52"/>
    </row>
    <row r="62" spans="1:14" ht="12.75">
      <c r="A62" s="92" t="s">
        <v>178</v>
      </c>
      <c r="B62" s="93" t="s">
        <v>184</v>
      </c>
      <c r="C62" s="112">
        <v>-16010.01</v>
      </c>
      <c r="D62" s="112">
        <v>0</v>
      </c>
      <c r="E62" s="113">
        <f t="shared" si="4"/>
        <v>-16010.01</v>
      </c>
      <c r="F62" s="35"/>
      <c r="G62" s="55">
        <f t="shared" si="3"/>
        <v>0</v>
      </c>
      <c r="H62" s="34"/>
      <c r="I62" s="34"/>
      <c r="J62" s="43">
        <f t="shared" si="5"/>
        <v>0</v>
      </c>
      <c r="K62" s="45">
        <v>37742</v>
      </c>
      <c r="L62" s="45">
        <v>38687</v>
      </c>
      <c r="M62" s="45">
        <v>37803</v>
      </c>
      <c r="N62" s="52">
        <v>38687</v>
      </c>
    </row>
    <row r="63" spans="1:14" ht="12.75">
      <c r="A63" s="117" t="s">
        <v>243</v>
      </c>
      <c r="B63" s="116" t="s">
        <v>247</v>
      </c>
      <c r="C63" s="112">
        <f>1011756-7172</f>
        <v>1004584</v>
      </c>
      <c r="D63" s="112">
        <v>0</v>
      </c>
      <c r="E63" s="112">
        <f t="shared" si="4"/>
        <v>1004584</v>
      </c>
      <c r="F63" s="35"/>
      <c r="G63" s="115">
        <f t="shared" si="3"/>
        <v>0</v>
      </c>
      <c r="H63" s="34"/>
      <c r="I63" s="34"/>
      <c r="J63" s="43">
        <f t="shared" si="5"/>
        <v>0</v>
      </c>
      <c r="K63" s="45">
        <v>37987</v>
      </c>
      <c r="L63" s="133" t="s">
        <v>359</v>
      </c>
      <c r="M63" s="133" t="s">
        <v>284</v>
      </c>
      <c r="N63" s="134" t="s">
        <v>284</v>
      </c>
    </row>
    <row r="64" spans="1:14" ht="12.75">
      <c r="A64" s="117" t="s">
        <v>244</v>
      </c>
      <c r="B64" s="116" t="s">
        <v>246</v>
      </c>
      <c r="C64" s="112">
        <v>1232752</v>
      </c>
      <c r="D64" s="112">
        <v>440000</v>
      </c>
      <c r="E64" s="112">
        <f t="shared" si="4"/>
        <v>792752</v>
      </c>
      <c r="F64" s="35">
        <f>C64/D64</f>
        <v>2.8017090909090907</v>
      </c>
      <c r="G64" s="115">
        <f t="shared" si="3"/>
        <v>0.01604855081122955</v>
      </c>
      <c r="H64" s="34"/>
      <c r="I64" s="129"/>
      <c r="J64" s="43">
        <f t="shared" si="5"/>
        <v>0</v>
      </c>
      <c r="K64" s="45">
        <v>38261</v>
      </c>
      <c r="L64" s="45">
        <v>39417</v>
      </c>
      <c r="M64" s="45">
        <v>38261</v>
      </c>
      <c r="N64" s="52"/>
    </row>
    <row r="65" spans="1:14" ht="12.75">
      <c r="A65" s="117" t="s">
        <v>242</v>
      </c>
      <c r="B65" s="93" t="s">
        <v>241</v>
      </c>
      <c r="C65" s="112">
        <v>-278.43</v>
      </c>
      <c r="D65" s="112">
        <v>0</v>
      </c>
      <c r="E65" s="112">
        <f t="shared" si="4"/>
        <v>-278.43</v>
      </c>
      <c r="F65" s="35"/>
      <c r="G65" s="115">
        <f t="shared" si="3"/>
        <v>0</v>
      </c>
      <c r="H65" s="34"/>
      <c r="I65" s="34"/>
      <c r="J65" s="43">
        <v>0</v>
      </c>
      <c r="K65" s="45">
        <v>37987</v>
      </c>
      <c r="L65" s="45">
        <v>38322</v>
      </c>
      <c r="M65" s="45">
        <v>37987</v>
      </c>
      <c r="N65" s="52">
        <v>38718</v>
      </c>
    </row>
    <row r="66" spans="1:14" ht="12.75">
      <c r="A66" s="117" t="s">
        <v>254</v>
      </c>
      <c r="B66" s="116" t="s">
        <v>248</v>
      </c>
      <c r="C66" s="112">
        <v>0</v>
      </c>
      <c r="D66" s="112">
        <v>0</v>
      </c>
      <c r="E66" s="112">
        <f t="shared" si="4"/>
        <v>0</v>
      </c>
      <c r="F66" s="35"/>
      <c r="G66" s="115">
        <f t="shared" si="3"/>
        <v>0</v>
      </c>
      <c r="H66" s="34"/>
      <c r="I66" s="34"/>
      <c r="J66" s="43">
        <f t="shared" si="5"/>
        <v>0</v>
      </c>
      <c r="K66" s="45">
        <v>38534</v>
      </c>
      <c r="L66" s="45">
        <v>39417</v>
      </c>
      <c r="M66" s="45"/>
      <c r="N66" s="52"/>
    </row>
    <row r="67" spans="1:14" ht="12.75">
      <c r="A67" s="117" t="s">
        <v>252</v>
      </c>
      <c r="B67" s="116" t="s">
        <v>253</v>
      </c>
      <c r="C67" s="112">
        <v>68037</v>
      </c>
      <c r="D67" s="112">
        <v>0</v>
      </c>
      <c r="E67" s="112">
        <f t="shared" si="4"/>
        <v>68037</v>
      </c>
      <c r="F67" s="35"/>
      <c r="G67" s="115">
        <f t="shared" si="3"/>
        <v>0</v>
      </c>
      <c r="H67" s="34"/>
      <c r="I67" s="34"/>
      <c r="J67" s="43">
        <f t="shared" si="5"/>
        <v>0</v>
      </c>
      <c r="K67" s="45">
        <v>38443</v>
      </c>
      <c r="L67" s="45">
        <v>39417</v>
      </c>
      <c r="M67" s="45">
        <v>38565</v>
      </c>
      <c r="N67" s="52">
        <v>39052</v>
      </c>
    </row>
    <row r="68" spans="1:14" ht="12.75">
      <c r="A68" s="117" t="s">
        <v>250</v>
      </c>
      <c r="B68" s="116" t="s">
        <v>251</v>
      </c>
      <c r="C68" s="112">
        <v>801015</v>
      </c>
      <c r="D68" s="112">
        <v>553000</v>
      </c>
      <c r="E68" s="112">
        <f t="shared" si="4"/>
        <v>248015</v>
      </c>
      <c r="F68" s="35">
        <f>C68/D68</f>
        <v>1.448490054249548</v>
      </c>
      <c r="G68" s="115">
        <f t="shared" si="3"/>
        <v>0.02017011045138623</v>
      </c>
      <c r="H68" s="34"/>
      <c r="I68" s="34"/>
      <c r="J68" s="43">
        <f t="shared" si="5"/>
        <v>0</v>
      </c>
      <c r="K68" s="45">
        <v>38443</v>
      </c>
      <c r="L68" s="45">
        <v>39052</v>
      </c>
      <c r="M68" s="45">
        <v>38443</v>
      </c>
      <c r="N68" s="52"/>
    </row>
    <row r="69" spans="1:14" ht="12.75">
      <c r="A69" s="117" t="s">
        <v>261</v>
      </c>
      <c r="B69" s="116" t="s">
        <v>262</v>
      </c>
      <c r="C69" s="112">
        <v>1544166</v>
      </c>
      <c r="D69" s="112">
        <v>711000</v>
      </c>
      <c r="E69" s="112">
        <f t="shared" si="4"/>
        <v>833166</v>
      </c>
      <c r="F69" s="35">
        <f>C69/D69</f>
        <v>2.1718227848101264</v>
      </c>
      <c r="G69" s="115">
        <f t="shared" si="3"/>
        <v>0.025932999151782293</v>
      </c>
      <c r="H69" s="34"/>
      <c r="I69" s="34"/>
      <c r="J69" s="43">
        <f t="shared" si="5"/>
        <v>0</v>
      </c>
      <c r="K69" s="45">
        <v>38443</v>
      </c>
      <c r="L69" s="45">
        <v>39783</v>
      </c>
      <c r="M69" s="45">
        <v>38443</v>
      </c>
      <c r="N69" s="52"/>
    </row>
    <row r="70" spans="1:14" ht="12.75">
      <c r="A70" s="117" t="s">
        <v>278</v>
      </c>
      <c r="B70" s="116" t="s">
        <v>279</v>
      </c>
      <c r="C70" s="112">
        <v>211772</v>
      </c>
      <c r="D70" s="112">
        <v>150000</v>
      </c>
      <c r="E70" s="112">
        <f t="shared" si="4"/>
        <v>61772</v>
      </c>
      <c r="F70" s="35">
        <f>C70/D70</f>
        <v>1.4118133333333334</v>
      </c>
      <c r="G70" s="115">
        <f t="shared" si="3"/>
        <v>0.005471096867464619</v>
      </c>
      <c r="H70" s="34">
        <v>488756</v>
      </c>
      <c r="I70" s="34">
        <v>480000</v>
      </c>
      <c r="J70" s="43">
        <f t="shared" si="5"/>
        <v>8756</v>
      </c>
      <c r="K70" s="45">
        <v>38687</v>
      </c>
      <c r="L70" s="45">
        <v>39022</v>
      </c>
      <c r="M70" s="45">
        <v>38869</v>
      </c>
      <c r="N70" s="52">
        <v>39326</v>
      </c>
    </row>
    <row r="71" spans="1:14" ht="12.75">
      <c r="A71" s="117" t="s">
        <v>263</v>
      </c>
      <c r="B71" s="116" t="s">
        <v>264</v>
      </c>
      <c r="C71" s="112">
        <v>5064222</v>
      </c>
      <c r="D71" s="112">
        <v>3800000</v>
      </c>
      <c r="E71" s="112">
        <f t="shared" si="4"/>
        <v>1264222</v>
      </c>
      <c r="F71" s="35">
        <f>C71/D71</f>
        <v>1.33269</v>
      </c>
      <c r="G71" s="115">
        <f t="shared" si="3"/>
        <v>0.13860112064243701</v>
      </c>
      <c r="H71" s="34"/>
      <c r="I71" s="34"/>
      <c r="J71" s="43">
        <f t="shared" si="5"/>
        <v>0</v>
      </c>
      <c r="K71" s="45">
        <v>38687</v>
      </c>
      <c r="L71" s="45">
        <v>39264</v>
      </c>
      <c r="M71" s="45">
        <v>38687</v>
      </c>
      <c r="N71" s="52"/>
    </row>
    <row r="72" spans="1:14" ht="12.75">
      <c r="A72" s="117" t="s">
        <v>265</v>
      </c>
      <c r="B72" s="116" t="s">
        <v>267</v>
      </c>
      <c r="C72" s="112">
        <v>89096</v>
      </c>
      <c r="D72" s="112">
        <v>0</v>
      </c>
      <c r="E72" s="112">
        <f t="shared" si="4"/>
        <v>89096</v>
      </c>
      <c r="F72" s="35"/>
      <c r="G72" s="115">
        <f t="shared" si="3"/>
        <v>0</v>
      </c>
      <c r="H72" s="34"/>
      <c r="I72" s="34"/>
      <c r="J72" s="43">
        <f t="shared" si="5"/>
        <v>0</v>
      </c>
      <c r="K72" s="45">
        <v>38718</v>
      </c>
      <c r="L72" s="45">
        <v>39052</v>
      </c>
      <c r="M72" s="45">
        <v>38718</v>
      </c>
      <c r="N72" s="52">
        <v>39052</v>
      </c>
    </row>
    <row r="73" spans="1:14" ht="12.75">
      <c r="A73" s="117" t="s">
        <v>266</v>
      </c>
      <c r="B73" s="116" t="s">
        <v>268</v>
      </c>
      <c r="C73" s="112">
        <v>6319.59</v>
      </c>
      <c r="D73" s="112">
        <v>0</v>
      </c>
      <c r="E73" s="112">
        <f t="shared" si="4"/>
        <v>6319.59</v>
      </c>
      <c r="F73" s="35"/>
      <c r="G73" s="115">
        <f t="shared" si="3"/>
        <v>0</v>
      </c>
      <c r="H73" s="34"/>
      <c r="I73" s="34"/>
      <c r="J73" s="43">
        <f t="shared" si="5"/>
        <v>0</v>
      </c>
      <c r="K73" s="45">
        <v>38777</v>
      </c>
      <c r="L73" s="45">
        <v>39326</v>
      </c>
      <c r="M73" s="45">
        <v>38930</v>
      </c>
      <c r="N73" s="52"/>
    </row>
    <row r="74" spans="1:14" ht="12.75">
      <c r="A74" s="117" t="s">
        <v>277</v>
      </c>
      <c r="B74" s="116" t="s">
        <v>283</v>
      </c>
      <c r="C74" s="112">
        <v>163461</v>
      </c>
      <c r="D74" s="112">
        <v>0</v>
      </c>
      <c r="E74" s="112">
        <f t="shared" si="4"/>
        <v>163461</v>
      </c>
      <c r="F74" s="35"/>
      <c r="G74" s="115">
        <f t="shared" si="3"/>
        <v>0</v>
      </c>
      <c r="H74" s="34">
        <v>610985</v>
      </c>
      <c r="I74" s="34">
        <v>500000</v>
      </c>
      <c r="J74" s="43">
        <f t="shared" si="5"/>
        <v>110985</v>
      </c>
      <c r="K74" s="45">
        <v>38749</v>
      </c>
      <c r="L74" s="45">
        <v>39052</v>
      </c>
      <c r="M74" s="45">
        <v>38808</v>
      </c>
      <c r="N74" s="52">
        <v>39387</v>
      </c>
    </row>
    <row r="75" spans="1:14" ht="12.75">
      <c r="A75" s="117" t="s">
        <v>269</v>
      </c>
      <c r="B75" s="116" t="s">
        <v>270</v>
      </c>
      <c r="C75" s="112">
        <v>82191</v>
      </c>
      <c r="D75" s="112">
        <v>0</v>
      </c>
      <c r="E75" s="112">
        <f t="shared" si="4"/>
        <v>82191</v>
      </c>
      <c r="F75" s="35"/>
      <c r="G75" s="115">
        <f t="shared" si="3"/>
        <v>0</v>
      </c>
      <c r="H75" s="34">
        <v>332155</v>
      </c>
      <c r="I75" s="34">
        <v>325000</v>
      </c>
      <c r="J75" s="43">
        <f t="shared" si="5"/>
        <v>7155</v>
      </c>
      <c r="K75" s="45">
        <v>38718</v>
      </c>
      <c r="L75" s="45">
        <v>39022</v>
      </c>
      <c r="M75" s="45">
        <v>38777</v>
      </c>
      <c r="N75" s="52">
        <v>39295</v>
      </c>
    </row>
    <row r="76" spans="1:14" ht="12.75">
      <c r="A76" s="117" t="s">
        <v>271</v>
      </c>
      <c r="B76" s="116" t="s">
        <v>274</v>
      </c>
      <c r="C76" s="112">
        <v>749453</v>
      </c>
      <c r="D76" s="112">
        <v>659000</v>
      </c>
      <c r="E76" s="112">
        <f t="shared" si="4"/>
        <v>90453</v>
      </c>
      <c r="F76" s="35">
        <f aca="true" t="shared" si="6" ref="F76:F83">C76/D76</f>
        <v>1.137257966616085</v>
      </c>
      <c r="G76" s="115">
        <f t="shared" si="3"/>
        <v>0.024036352237727893</v>
      </c>
      <c r="H76" s="34">
        <v>806166</v>
      </c>
      <c r="I76" s="34">
        <v>350000</v>
      </c>
      <c r="J76" s="43">
        <f t="shared" si="5"/>
        <v>456166</v>
      </c>
      <c r="K76" s="45">
        <v>38749</v>
      </c>
      <c r="L76" s="45">
        <v>39052</v>
      </c>
      <c r="M76" s="45">
        <v>38777</v>
      </c>
      <c r="N76" s="52">
        <v>39356</v>
      </c>
    </row>
    <row r="77" spans="1:14" ht="12.75">
      <c r="A77" s="117" t="s">
        <v>272</v>
      </c>
      <c r="B77" s="116" t="s">
        <v>275</v>
      </c>
      <c r="C77" s="112">
        <v>2992224</v>
      </c>
      <c r="D77" s="112">
        <v>3917000</v>
      </c>
      <c r="E77" s="112">
        <f t="shared" si="4"/>
        <v>-924776</v>
      </c>
      <c r="F77" s="35">
        <f t="shared" si="6"/>
        <v>0.7639070717385754</v>
      </c>
      <c r="G77" s="115">
        <f t="shared" si="3"/>
        <v>0.14286857619905943</v>
      </c>
      <c r="H77" s="34"/>
      <c r="I77" s="34"/>
      <c r="J77" s="43">
        <f t="shared" si="5"/>
        <v>0</v>
      </c>
      <c r="K77" s="45">
        <v>38838</v>
      </c>
      <c r="L77" s="45">
        <v>40513</v>
      </c>
      <c r="M77" s="45">
        <v>38838</v>
      </c>
      <c r="N77" s="52"/>
    </row>
    <row r="78" spans="1:14" ht="12.75">
      <c r="A78" s="117" t="s">
        <v>273</v>
      </c>
      <c r="B78" s="116" t="s">
        <v>276</v>
      </c>
      <c r="C78" s="112">
        <v>-48</v>
      </c>
      <c r="D78" s="112">
        <v>100000</v>
      </c>
      <c r="E78" s="112">
        <f t="shared" si="4"/>
        <v>-100048</v>
      </c>
      <c r="F78" s="35">
        <f t="shared" si="6"/>
        <v>-0.00048</v>
      </c>
      <c r="G78" s="35">
        <f t="shared" si="3"/>
        <v>0.0036473979116430793</v>
      </c>
      <c r="H78" s="34"/>
      <c r="I78" s="34"/>
      <c r="J78" s="43">
        <f t="shared" si="5"/>
        <v>0</v>
      </c>
      <c r="K78" s="45">
        <v>38718</v>
      </c>
      <c r="L78" s="45">
        <v>39173</v>
      </c>
      <c r="M78" s="45">
        <v>38899</v>
      </c>
      <c r="N78" s="52"/>
    </row>
    <row r="79" spans="1:14" ht="12.75">
      <c r="A79" s="132">
        <v>12020701</v>
      </c>
      <c r="B79" s="116" t="s">
        <v>358</v>
      </c>
      <c r="C79" s="112">
        <v>56893</v>
      </c>
      <c r="D79" s="112">
        <v>250000</v>
      </c>
      <c r="E79" s="112">
        <f t="shared" si="4"/>
        <v>-193107</v>
      </c>
      <c r="F79" s="35">
        <f t="shared" si="6"/>
        <v>0.227572</v>
      </c>
      <c r="G79" s="35">
        <f t="shared" si="3"/>
        <v>0.009118494779107698</v>
      </c>
      <c r="H79" s="34"/>
      <c r="I79" s="34"/>
      <c r="J79" s="43">
        <f t="shared" si="5"/>
        <v>0</v>
      </c>
      <c r="K79" s="45">
        <v>39083</v>
      </c>
      <c r="L79" s="45">
        <v>40087</v>
      </c>
      <c r="M79" s="45">
        <v>39114</v>
      </c>
      <c r="N79" s="52"/>
    </row>
    <row r="80" spans="1:14" ht="12.75">
      <c r="A80" s="132">
        <v>12020702</v>
      </c>
      <c r="B80" s="116" t="s">
        <v>354</v>
      </c>
      <c r="C80" s="112">
        <v>1811645</v>
      </c>
      <c r="D80" s="112">
        <v>1000000</v>
      </c>
      <c r="E80" s="112">
        <f t="shared" si="4"/>
        <v>811645</v>
      </c>
      <c r="F80" s="35">
        <f t="shared" si="6"/>
        <v>1.811645</v>
      </c>
      <c r="G80" s="35">
        <f t="shared" si="3"/>
        <v>0.03647397911643079</v>
      </c>
      <c r="H80" s="34"/>
      <c r="I80" s="34"/>
      <c r="J80" s="43">
        <f t="shared" si="5"/>
        <v>0</v>
      </c>
      <c r="K80" s="45">
        <v>39083</v>
      </c>
      <c r="L80" s="45">
        <v>39417</v>
      </c>
      <c r="M80" s="45">
        <v>39142</v>
      </c>
      <c r="N80" s="52"/>
    </row>
    <row r="81" spans="1:14" ht="12.75">
      <c r="A81" s="135" t="s">
        <v>360</v>
      </c>
      <c r="B81" s="116" t="s">
        <v>356</v>
      </c>
      <c r="C81" s="112">
        <v>0</v>
      </c>
      <c r="D81" s="112">
        <v>50000</v>
      </c>
      <c r="E81" s="112"/>
      <c r="F81" s="35">
        <f t="shared" si="6"/>
        <v>0</v>
      </c>
      <c r="G81" s="35">
        <f t="shared" si="3"/>
        <v>0.0018236989558215397</v>
      </c>
      <c r="H81" s="34"/>
      <c r="I81" s="34"/>
      <c r="J81" s="43">
        <f t="shared" si="5"/>
        <v>0</v>
      </c>
      <c r="K81" s="45">
        <v>39417</v>
      </c>
      <c r="L81" s="45">
        <v>39965</v>
      </c>
      <c r="M81" s="45">
        <v>39508</v>
      </c>
      <c r="N81" s="52"/>
    </row>
    <row r="82" spans="1:14" ht="12.75">
      <c r="A82" s="117"/>
      <c r="B82" s="116" t="s">
        <v>357</v>
      </c>
      <c r="C82" s="112">
        <v>0</v>
      </c>
      <c r="D82" s="112">
        <v>100000</v>
      </c>
      <c r="E82" s="112"/>
      <c r="F82" s="35">
        <f t="shared" si="6"/>
        <v>0</v>
      </c>
      <c r="G82" s="35">
        <f t="shared" si="3"/>
        <v>0.0036473979116430793</v>
      </c>
      <c r="H82" s="34"/>
      <c r="I82" s="34"/>
      <c r="J82" s="43">
        <f t="shared" si="5"/>
        <v>0</v>
      </c>
      <c r="K82" s="45">
        <v>39203</v>
      </c>
      <c r="L82" s="45">
        <v>39326</v>
      </c>
      <c r="M82" s="45"/>
      <c r="N82" s="52"/>
    </row>
    <row r="83" spans="1:14" ht="12.75">
      <c r="A83" s="81"/>
      <c r="B83" s="80" t="s">
        <v>355</v>
      </c>
      <c r="C83" s="112">
        <v>0</v>
      </c>
      <c r="D83" s="112">
        <v>177707</v>
      </c>
      <c r="E83" s="113">
        <f t="shared" si="4"/>
        <v>-177707</v>
      </c>
      <c r="F83" s="35">
        <f t="shared" si="6"/>
        <v>0</v>
      </c>
      <c r="G83" s="35">
        <f t="shared" si="3"/>
        <v>0.006481681406843567</v>
      </c>
      <c r="H83" s="34"/>
      <c r="I83" s="34"/>
      <c r="J83" s="43">
        <f t="shared" si="5"/>
        <v>0</v>
      </c>
      <c r="K83" s="45">
        <v>39417</v>
      </c>
      <c r="L83" s="45">
        <v>40878</v>
      </c>
      <c r="M83" s="133"/>
      <c r="N83" s="52"/>
    </row>
    <row r="84" spans="1:14" ht="12.75">
      <c r="A84" s="94"/>
      <c r="B84" s="95"/>
      <c r="C84" s="114"/>
      <c r="D84" s="114"/>
      <c r="E84" s="112"/>
      <c r="F84" s="35"/>
      <c r="G84" s="38"/>
      <c r="H84" s="36"/>
      <c r="I84" s="36"/>
      <c r="J84" s="44"/>
      <c r="K84" s="49"/>
      <c r="L84" s="49"/>
      <c r="M84" s="49"/>
      <c r="N84" s="50"/>
    </row>
    <row r="85" spans="3:14" ht="12">
      <c r="C85" s="90">
        <f>SUM(C56:C84)</f>
        <v>16352801.53</v>
      </c>
      <c r="D85" s="39">
        <f>SUM(D56:D84)</f>
        <v>11907707</v>
      </c>
      <c r="E85" s="39">
        <f>SUM(E56:E84)</f>
        <v>4595094.529999999</v>
      </c>
      <c r="F85" s="41">
        <f>C85/D85</f>
        <v>1.373295591670168</v>
      </c>
      <c r="G85" s="40"/>
      <c r="H85" s="33"/>
      <c r="I85" s="33"/>
      <c r="J85" s="33"/>
      <c r="K85" s="33"/>
      <c r="L85" s="33"/>
      <c r="M85" s="33"/>
      <c r="N85" s="33"/>
    </row>
  </sheetData>
  <mergeCells count="6">
    <mergeCell ref="A43:N43"/>
    <mergeCell ref="A44:N44"/>
    <mergeCell ref="A1:N1"/>
    <mergeCell ref="A2:N2"/>
    <mergeCell ref="A3:N3"/>
    <mergeCell ref="A42:N42"/>
  </mergeCells>
  <printOptions horizontalCentered="1"/>
  <pageMargins left="0.25" right="0.5" top="1" bottom="0.5" header="0" footer="0"/>
  <pageSetup horizontalDpi="600" verticalDpi="600" orientation="landscape" scale="70" r:id="rId1"/>
  <rowBreaks count="1" manualBreakCount="1">
    <brk id="41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85"/>
  <sheetViews>
    <sheetView zoomScaleSheetLayoutView="100" workbookViewId="0" topLeftCell="A20">
      <selection activeCell="A1" sqref="A1:N1"/>
    </sheetView>
  </sheetViews>
  <sheetFormatPr defaultColWidth="9.83203125" defaultRowHeight="12"/>
  <cols>
    <col min="1" max="1" width="8.66015625" style="1" customWidth="1"/>
    <col min="2" max="2" width="62.16015625" style="1" customWidth="1"/>
    <col min="3" max="3" width="13.66015625" style="1" customWidth="1"/>
    <col min="4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6.5" style="1" customWidth="1"/>
    <col min="16" max="16" width="7.83203125" style="1" customWidth="1"/>
    <col min="17" max="17" width="57.5" style="1" customWidth="1"/>
    <col min="18" max="18" width="72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186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 t="s">
        <v>0</v>
      </c>
    </row>
    <row r="2" spans="1:23" ht="12">
      <c r="A2" s="161" t="s">
        <v>320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1</v>
      </c>
    </row>
    <row r="3" spans="1:23" ht="12">
      <c r="A3" s="161" t="s">
        <v>209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298</v>
      </c>
    </row>
    <row r="4" spans="4:23" ht="12">
      <c r="D4" s="3" t="s">
        <v>2</v>
      </c>
      <c r="E4" s="130">
        <v>2006</v>
      </c>
      <c r="W4" s="2" t="s">
        <v>322</v>
      </c>
    </row>
    <row r="5" spans="1:12" ht="12">
      <c r="A5" s="2" t="s">
        <v>3</v>
      </c>
      <c r="L5" s="2" t="s">
        <v>208</v>
      </c>
    </row>
    <row r="6" spans="1:16" ht="15.75">
      <c r="A6" s="2" t="s">
        <v>4</v>
      </c>
      <c r="L6" s="2" t="s">
        <v>303</v>
      </c>
      <c r="P6" s="5" t="s">
        <v>164</v>
      </c>
    </row>
    <row r="7" spans="12:21" ht="19.5">
      <c r="L7" s="2" t="s">
        <v>5</v>
      </c>
      <c r="P7" s="6"/>
      <c r="U7" s="5" t="s">
        <v>221</v>
      </c>
    </row>
    <row r="8" spans="12:13" ht="12">
      <c r="L8" s="4" t="s">
        <v>6</v>
      </c>
      <c r="M8" s="4"/>
    </row>
    <row r="9" spans="17:24" ht="12.75">
      <c r="Q9" s="7"/>
      <c r="R9" s="7"/>
      <c r="S9" s="7"/>
      <c r="T9" s="8" t="s">
        <v>7</v>
      </c>
      <c r="U9" s="7"/>
      <c r="V9" s="7"/>
      <c r="W9" s="7"/>
      <c r="X9" s="7"/>
    </row>
    <row r="10" spans="17:24" ht="12.75">
      <c r="Q10" s="7"/>
      <c r="R10" s="7"/>
      <c r="S10" s="8" t="s">
        <v>8</v>
      </c>
      <c r="T10" s="9" t="s">
        <v>210</v>
      </c>
      <c r="U10" s="10" t="s">
        <v>9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10</v>
      </c>
      <c r="I11" s="12" t="s">
        <v>10</v>
      </c>
      <c r="J11" s="12"/>
      <c r="K11" s="12" t="s">
        <v>11</v>
      </c>
      <c r="L11" s="12" t="s">
        <v>11</v>
      </c>
      <c r="M11" s="12"/>
      <c r="N11" s="12"/>
      <c r="Q11" s="7"/>
      <c r="R11" s="7"/>
      <c r="S11" s="9" t="s">
        <v>12</v>
      </c>
      <c r="T11" s="9" t="s">
        <v>12</v>
      </c>
      <c r="U11" s="13" t="s">
        <v>13</v>
      </c>
      <c r="V11" s="14"/>
      <c r="W11" s="7"/>
      <c r="X11" s="7"/>
    </row>
    <row r="12" spans="1:24" ht="12.75">
      <c r="A12" s="9"/>
      <c r="B12" s="15"/>
      <c r="C12" s="15"/>
      <c r="D12" s="15" t="s">
        <v>14</v>
      </c>
      <c r="E12" s="15"/>
      <c r="F12" s="15"/>
      <c r="G12" s="15" t="s">
        <v>15</v>
      </c>
      <c r="H12" s="15" t="s">
        <v>16</v>
      </c>
      <c r="I12" s="15" t="s">
        <v>17</v>
      </c>
      <c r="J12" s="15"/>
      <c r="K12" s="15" t="s">
        <v>18</v>
      </c>
      <c r="L12" s="15" t="s">
        <v>18</v>
      </c>
      <c r="M12" s="15" t="s">
        <v>11</v>
      </c>
      <c r="N12" s="15" t="s">
        <v>11</v>
      </c>
      <c r="P12" s="4"/>
      <c r="Q12" s="16" t="s">
        <v>211</v>
      </c>
      <c r="R12" s="16" t="s">
        <v>20</v>
      </c>
      <c r="S12" s="17" t="s">
        <v>21</v>
      </c>
      <c r="T12" s="17" t="s">
        <v>21</v>
      </c>
      <c r="U12" s="16" t="s">
        <v>22</v>
      </c>
      <c r="V12" s="16" t="s">
        <v>23</v>
      </c>
      <c r="W12" s="16" t="s">
        <v>22</v>
      </c>
      <c r="X12" s="16" t="s">
        <v>23</v>
      </c>
    </row>
    <row r="13" spans="1:26" ht="12.75">
      <c r="A13" s="9"/>
      <c r="B13" s="15"/>
      <c r="C13" s="15" t="s">
        <v>14</v>
      </c>
      <c r="D13" s="15" t="s">
        <v>18</v>
      </c>
      <c r="E13" s="15" t="s">
        <v>24</v>
      </c>
      <c r="F13" s="15" t="s">
        <v>24</v>
      </c>
      <c r="G13" s="15" t="s">
        <v>25</v>
      </c>
      <c r="H13" s="15" t="s">
        <v>26</v>
      </c>
      <c r="I13" s="15" t="s">
        <v>26</v>
      </c>
      <c r="J13" s="15"/>
      <c r="K13" s="15" t="s">
        <v>17</v>
      </c>
      <c r="L13" s="15" t="s">
        <v>17</v>
      </c>
      <c r="M13" s="15" t="s">
        <v>16</v>
      </c>
      <c r="N13" s="15" t="s">
        <v>16</v>
      </c>
      <c r="P13" s="124" t="s">
        <v>60</v>
      </c>
      <c r="Q13" s="80" t="s">
        <v>169</v>
      </c>
      <c r="R13" s="19" t="s">
        <v>294</v>
      </c>
      <c r="S13" s="20">
        <v>657269</v>
      </c>
      <c r="T13" s="20">
        <v>350000</v>
      </c>
      <c r="U13" s="53">
        <v>35827</v>
      </c>
      <c r="V13" s="53">
        <v>36404</v>
      </c>
      <c r="W13" s="53">
        <v>36192</v>
      </c>
      <c r="X13" s="53">
        <v>39052</v>
      </c>
      <c r="Y13" s="105"/>
      <c r="Z13" s="105"/>
    </row>
    <row r="14" spans="1:24" ht="12.75">
      <c r="A14" s="17" t="s">
        <v>27</v>
      </c>
      <c r="B14" s="21" t="s">
        <v>28</v>
      </c>
      <c r="C14" s="21" t="s">
        <v>16</v>
      </c>
      <c r="D14" s="21" t="s">
        <v>17</v>
      </c>
      <c r="E14" s="21" t="s">
        <v>29</v>
      </c>
      <c r="F14" s="21" t="s">
        <v>15</v>
      </c>
      <c r="G14" s="21" t="s">
        <v>17</v>
      </c>
      <c r="H14" s="21" t="s">
        <v>30</v>
      </c>
      <c r="I14" s="21" t="s">
        <v>30</v>
      </c>
      <c r="J14" s="21" t="s">
        <v>24</v>
      </c>
      <c r="K14" s="21" t="s">
        <v>31</v>
      </c>
      <c r="L14" s="21" t="s">
        <v>32</v>
      </c>
      <c r="M14" s="21" t="s">
        <v>31</v>
      </c>
      <c r="N14" s="21" t="s">
        <v>32</v>
      </c>
      <c r="P14" s="104" t="s">
        <v>252</v>
      </c>
      <c r="Q14" s="116" t="s">
        <v>253</v>
      </c>
      <c r="R14" s="22" t="s">
        <v>295</v>
      </c>
      <c r="S14" s="24">
        <v>1309064</v>
      </c>
      <c r="T14" s="24">
        <v>1800000</v>
      </c>
      <c r="U14" s="54">
        <v>38443</v>
      </c>
      <c r="V14" s="54">
        <v>39417</v>
      </c>
      <c r="W14" s="54">
        <v>38565</v>
      </c>
      <c r="X14" s="54">
        <v>39052</v>
      </c>
    </row>
    <row r="15" spans="1:24" ht="12.75">
      <c r="A15" s="9">
        <v>80</v>
      </c>
      <c r="B15" s="14" t="s">
        <v>224</v>
      </c>
      <c r="C15" s="110">
        <f>6287549.86+199140.03</f>
        <v>6486689.890000001</v>
      </c>
      <c r="D15" s="110">
        <v>4500000</v>
      </c>
      <c r="E15" s="112">
        <f aca="true" t="shared" si="0" ref="E15:E32">C15-D15</f>
        <v>1986689.8900000006</v>
      </c>
      <c r="F15" s="31">
        <f aca="true" t="shared" si="1" ref="F15:F33">C15/D15</f>
        <v>1.4414866422222223</v>
      </c>
      <c r="G15" s="32">
        <f aca="true" t="shared" si="2" ref="G15:G32">D15/(D$33+D$85)</f>
        <v>0.3009336969504048</v>
      </c>
      <c r="H15" s="33"/>
      <c r="I15" s="33"/>
      <c r="J15" s="33"/>
      <c r="K15" s="33"/>
      <c r="L15" s="33"/>
      <c r="M15" s="33"/>
      <c r="N15" s="33"/>
      <c r="P15" s="102" t="s">
        <v>259</v>
      </c>
      <c r="Q15" s="116" t="s">
        <v>285</v>
      </c>
      <c r="R15" s="22" t="s">
        <v>296</v>
      </c>
      <c r="S15" s="20">
        <v>191379</v>
      </c>
      <c r="T15" s="20">
        <v>350000</v>
      </c>
      <c r="U15" s="54">
        <v>38384</v>
      </c>
      <c r="V15" s="54">
        <v>38626</v>
      </c>
      <c r="W15" s="54">
        <v>38565</v>
      </c>
      <c r="X15" s="54">
        <v>38718</v>
      </c>
    </row>
    <row r="16" spans="1:24" ht="12.75">
      <c r="A16" s="9">
        <v>81</v>
      </c>
      <c r="B16" s="14" t="s">
        <v>225</v>
      </c>
      <c r="C16" s="110">
        <f>1437375.75+688775.24</f>
        <v>2126150.99</v>
      </c>
      <c r="D16" s="110">
        <v>650000</v>
      </c>
      <c r="E16" s="112">
        <f t="shared" si="0"/>
        <v>1476150.9900000002</v>
      </c>
      <c r="F16" s="31">
        <f t="shared" si="1"/>
        <v>3.2710015230769236</v>
      </c>
      <c r="G16" s="35">
        <f t="shared" si="2"/>
        <v>0.04346820067061403</v>
      </c>
      <c r="H16" s="33"/>
      <c r="I16" s="33"/>
      <c r="J16" s="33"/>
      <c r="K16" s="33"/>
      <c r="L16" s="33"/>
      <c r="M16" s="33"/>
      <c r="N16" s="33"/>
      <c r="P16" s="101" t="s">
        <v>265</v>
      </c>
      <c r="Q16" s="123" t="s">
        <v>267</v>
      </c>
      <c r="R16" s="64" t="s">
        <v>297</v>
      </c>
      <c r="S16" s="65">
        <v>462866</v>
      </c>
      <c r="T16" s="65">
        <v>350000</v>
      </c>
      <c r="U16" s="66">
        <v>38718</v>
      </c>
      <c r="V16" s="66">
        <v>39052</v>
      </c>
      <c r="W16" s="66">
        <v>38718</v>
      </c>
      <c r="X16" s="66">
        <v>39052</v>
      </c>
    </row>
    <row r="17" spans="1:24" ht="12.75">
      <c r="A17" s="9">
        <v>82</v>
      </c>
      <c r="B17" s="14" t="s">
        <v>226</v>
      </c>
      <c r="C17" s="110">
        <f>378955.55+272553</f>
        <v>651508.55</v>
      </c>
      <c r="D17" s="110">
        <v>460000</v>
      </c>
      <c r="E17" s="112">
        <f t="shared" si="0"/>
        <v>191508.55000000005</v>
      </c>
      <c r="F17" s="31">
        <f t="shared" si="1"/>
        <v>1.4163229347826087</v>
      </c>
      <c r="G17" s="35">
        <f t="shared" si="2"/>
        <v>0.030762111243819158</v>
      </c>
      <c r="H17" s="33"/>
      <c r="I17" s="33"/>
      <c r="J17" s="33"/>
      <c r="K17" s="33"/>
      <c r="L17" s="33"/>
      <c r="M17" s="33"/>
      <c r="N17" s="33"/>
      <c r="P17" s="67"/>
      <c r="Q17" s="17" t="s">
        <v>35</v>
      </c>
      <c r="R17" s="61"/>
      <c r="S17" s="61">
        <f>SUM(S13:S16)</f>
        <v>2620578</v>
      </c>
      <c r="T17" s="61">
        <f>SUM(T13:T16)</f>
        <v>2850000</v>
      </c>
      <c r="U17" s="68"/>
      <c r="V17" s="68"/>
      <c r="W17" s="68"/>
      <c r="X17" s="68"/>
    </row>
    <row r="18" spans="1:24" ht="12.75">
      <c r="A18" s="9">
        <v>83</v>
      </c>
      <c r="B18" s="14" t="s">
        <v>227</v>
      </c>
      <c r="C18" s="110">
        <f>98169+71633.09+6928</f>
        <v>176730.09</v>
      </c>
      <c r="D18" s="110">
        <v>26000</v>
      </c>
      <c r="E18" s="112">
        <f t="shared" si="0"/>
        <v>150730.09</v>
      </c>
      <c r="F18" s="31">
        <f t="shared" si="1"/>
        <v>6.797311153846154</v>
      </c>
      <c r="G18" s="35">
        <f t="shared" si="2"/>
        <v>0.001738728026824561</v>
      </c>
      <c r="H18" s="33"/>
      <c r="I18" s="33"/>
      <c r="J18" s="33"/>
      <c r="K18" s="33"/>
      <c r="L18" s="33"/>
      <c r="M18" s="33"/>
      <c r="N18" s="33"/>
      <c r="P18" s="67"/>
      <c r="Q18" s="67"/>
      <c r="R18" s="108"/>
      <c r="S18" s="108"/>
      <c r="T18" s="108"/>
      <c r="U18" s="68"/>
      <c r="V18" s="68"/>
      <c r="W18" s="68"/>
      <c r="X18" s="68"/>
    </row>
    <row r="19" spans="1:24" ht="12.75">
      <c r="A19" s="9">
        <v>84</v>
      </c>
      <c r="B19" s="14" t="s">
        <v>228</v>
      </c>
      <c r="C19" s="110">
        <f>469908.16+22660</f>
        <v>492568.16</v>
      </c>
      <c r="D19" s="110">
        <v>506000</v>
      </c>
      <c r="E19" s="112">
        <f t="shared" si="0"/>
        <v>-13431.840000000026</v>
      </c>
      <c r="F19" s="31">
        <f t="shared" si="1"/>
        <v>0.973454861660079</v>
      </c>
      <c r="G19" s="35">
        <f t="shared" si="2"/>
        <v>0.03383832236820107</v>
      </c>
      <c r="H19" s="33"/>
      <c r="I19" s="33"/>
      <c r="J19" s="33"/>
      <c r="K19" s="33"/>
      <c r="L19" s="33"/>
      <c r="M19" s="33"/>
      <c r="N19" s="33"/>
      <c r="P19" s="67"/>
      <c r="Q19" s="67"/>
      <c r="R19" s="108"/>
      <c r="S19" s="108"/>
      <c r="T19" s="108"/>
      <c r="U19" s="68"/>
      <c r="V19" s="68"/>
      <c r="W19" s="68"/>
      <c r="X19" s="68"/>
    </row>
    <row r="20" spans="1:24" ht="12.75">
      <c r="A20" s="9">
        <v>85</v>
      </c>
      <c r="B20" s="14" t="s">
        <v>229</v>
      </c>
      <c r="C20" s="110">
        <f>741829.92+23223.05+103018.07</f>
        <v>868071.04</v>
      </c>
      <c r="D20" s="110">
        <v>525000</v>
      </c>
      <c r="E20" s="112">
        <f t="shared" si="0"/>
        <v>343071.04000000004</v>
      </c>
      <c r="F20" s="31">
        <f t="shared" si="1"/>
        <v>1.6534686476190477</v>
      </c>
      <c r="G20" s="35">
        <f t="shared" si="2"/>
        <v>0.03510893131088056</v>
      </c>
      <c r="H20" s="33"/>
      <c r="I20" s="33"/>
      <c r="J20" s="33"/>
      <c r="K20" s="33"/>
      <c r="L20" s="33"/>
      <c r="M20" s="33"/>
      <c r="N20" s="33"/>
      <c r="P20" s="67"/>
      <c r="Q20" s="67"/>
      <c r="R20" s="108"/>
      <c r="S20" s="108"/>
      <c r="T20" s="108"/>
      <c r="U20" s="68"/>
      <c r="V20" s="68"/>
      <c r="W20" s="68"/>
      <c r="X20" s="68"/>
    </row>
    <row r="21" spans="1:24" ht="12.75">
      <c r="A21" s="9">
        <v>86</v>
      </c>
      <c r="B21" s="14" t="s">
        <v>230</v>
      </c>
      <c r="C21" s="110">
        <f>1286540.31+40037.38</f>
        <v>1326577.69</v>
      </c>
      <c r="D21" s="110">
        <v>1180100</v>
      </c>
      <c r="E21" s="112">
        <f t="shared" si="0"/>
        <v>146477.68999999994</v>
      </c>
      <c r="F21" s="31">
        <f t="shared" si="1"/>
        <v>1.1241231166850267</v>
      </c>
      <c r="G21" s="35">
        <f t="shared" si="2"/>
        <v>0.07891819017137171</v>
      </c>
      <c r="H21" s="33"/>
      <c r="I21" s="33"/>
      <c r="J21" s="33"/>
      <c r="K21" s="33"/>
      <c r="L21" s="33"/>
      <c r="M21" s="33"/>
      <c r="N21" s="33"/>
      <c r="P21" s="67"/>
      <c r="Q21" s="67"/>
      <c r="R21" s="108"/>
      <c r="S21" s="108"/>
      <c r="T21" s="108"/>
      <c r="U21" s="68"/>
      <c r="V21" s="68"/>
      <c r="W21" s="68"/>
      <c r="X21" s="68"/>
    </row>
    <row r="22" spans="1:24" ht="12.75">
      <c r="A22" s="9">
        <v>87</v>
      </c>
      <c r="B22" s="14" t="s">
        <v>231</v>
      </c>
      <c r="C22" s="110">
        <f>1171315.36+2352.63+123909.02</f>
        <v>1297577.01</v>
      </c>
      <c r="D22" s="110">
        <v>600000</v>
      </c>
      <c r="E22" s="112">
        <f t="shared" si="0"/>
        <v>697577.01</v>
      </c>
      <c r="F22" s="31">
        <f t="shared" si="1"/>
        <v>2.16262835</v>
      </c>
      <c r="G22" s="35">
        <f t="shared" si="2"/>
        <v>0.040124492926720635</v>
      </c>
      <c r="H22" s="33"/>
      <c r="I22" s="33"/>
      <c r="J22" s="33"/>
      <c r="K22" s="33"/>
      <c r="L22" s="33"/>
      <c r="M22" s="33"/>
      <c r="N22" s="33"/>
      <c r="P22" s="67"/>
      <c r="Q22" s="67"/>
      <c r="R22" s="108"/>
      <c r="S22" s="108"/>
      <c r="T22" s="108"/>
      <c r="U22" s="68"/>
      <c r="V22" s="68"/>
      <c r="W22" s="68"/>
      <c r="X22" s="68"/>
    </row>
    <row r="23" spans="1:24" ht="12.75">
      <c r="A23" s="9">
        <v>88</v>
      </c>
      <c r="B23" s="14" t="s">
        <v>232</v>
      </c>
      <c r="C23" s="110">
        <f>1612482.04-62007.02+1036.33</f>
        <v>1551511.35</v>
      </c>
      <c r="D23" s="110">
        <v>1118900</v>
      </c>
      <c r="E23" s="112">
        <f t="shared" si="0"/>
        <v>432611.3500000001</v>
      </c>
      <c r="F23" s="31">
        <f t="shared" si="1"/>
        <v>1.386639869514702</v>
      </c>
      <c r="G23" s="35">
        <f t="shared" si="2"/>
        <v>0.07482549189284621</v>
      </c>
      <c r="H23" s="33"/>
      <c r="I23" s="33"/>
      <c r="J23" s="33"/>
      <c r="K23" s="33"/>
      <c r="L23" s="33"/>
      <c r="M23" s="33"/>
      <c r="N23" s="33"/>
      <c r="P23" s="67"/>
      <c r="Q23" s="67"/>
      <c r="R23" s="108"/>
      <c r="S23" s="108"/>
      <c r="T23" s="108"/>
      <c r="U23" s="68"/>
      <c r="V23" s="68"/>
      <c r="W23" s="68"/>
      <c r="X23" s="68"/>
    </row>
    <row r="24" spans="1:24" ht="12.75">
      <c r="A24" s="9">
        <v>89</v>
      </c>
      <c r="B24" s="14" t="s">
        <v>233</v>
      </c>
      <c r="C24" s="110">
        <f>139665.48+6644.4</f>
        <v>146309.88</v>
      </c>
      <c r="D24" s="110">
        <v>100000</v>
      </c>
      <c r="E24" s="112">
        <f t="shared" si="0"/>
        <v>46309.880000000005</v>
      </c>
      <c r="F24" s="31">
        <f t="shared" si="1"/>
        <v>1.4630988</v>
      </c>
      <c r="G24" s="35">
        <f t="shared" si="2"/>
        <v>0.006687415487786773</v>
      </c>
      <c r="H24" s="33"/>
      <c r="I24" s="33"/>
      <c r="J24" s="33"/>
      <c r="K24" s="33"/>
      <c r="L24" s="33"/>
      <c r="M24" s="33"/>
      <c r="N24" s="33"/>
      <c r="P24" s="67"/>
      <c r="Q24" s="67"/>
      <c r="R24" s="108"/>
      <c r="S24" s="108"/>
      <c r="T24" s="108"/>
      <c r="U24" s="68"/>
      <c r="V24" s="68"/>
      <c r="W24" s="68"/>
      <c r="X24" s="68"/>
    </row>
    <row r="25" spans="1:24" ht="12.75">
      <c r="A25" s="9">
        <v>90</v>
      </c>
      <c r="B25" s="14" t="s">
        <v>234</v>
      </c>
      <c r="C25" s="110">
        <f>79420.18+4518.29-4510.6</f>
        <v>79427.86999999998</v>
      </c>
      <c r="D25" s="110">
        <v>54000</v>
      </c>
      <c r="E25" s="112">
        <f t="shared" si="0"/>
        <v>25427.86999999998</v>
      </c>
      <c r="F25" s="31">
        <f t="shared" si="1"/>
        <v>1.470886481481481</v>
      </c>
      <c r="G25" s="35">
        <f t="shared" si="2"/>
        <v>0.0036112043634048577</v>
      </c>
      <c r="H25" s="33"/>
      <c r="I25" s="33"/>
      <c r="J25" s="33"/>
      <c r="K25" s="33"/>
      <c r="L25" s="33"/>
      <c r="M25" s="33"/>
      <c r="N25" s="33"/>
      <c r="P25" s="67"/>
      <c r="Q25" s="67"/>
      <c r="R25" s="108"/>
      <c r="S25" s="108"/>
      <c r="T25" s="108"/>
      <c r="U25" s="68"/>
      <c r="V25" s="68"/>
      <c r="W25" s="68"/>
      <c r="X25" s="68"/>
    </row>
    <row r="26" spans="1:24" ht="12.75">
      <c r="A26" s="9">
        <v>91</v>
      </c>
      <c r="B26" s="14" t="s">
        <v>235</v>
      </c>
      <c r="C26" s="110">
        <f>626122.22+68642.5</f>
        <v>694764.72</v>
      </c>
      <c r="D26" s="110">
        <v>0</v>
      </c>
      <c r="E26" s="112">
        <f t="shared" si="0"/>
        <v>694764.72</v>
      </c>
      <c r="F26" s="31"/>
      <c r="G26" s="35">
        <f t="shared" si="2"/>
        <v>0</v>
      </c>
      <c r="H26" s="33"/>
      <c r="I26" s="33"/>
      <c r="J26" s="33"/>
      <c r="K26" s="33"/>
      <c r="L26" s="33"/>
      <c r="M26" s="33"/>
      <c r="N26" s="33"/>
      <c r="P26" s="67"/>
      <c r="Q26" s="67"/>
      <c r="R26" s="108"/>
      <c r="S26" s="108"/>
      <c r="T26" s="108"/>
      <c r="U26" s="68"/>
      <c r="V26" s="68"/>
      <c r="W26" s="68"/>
      <c r="X26" s="68"/>
    </row>
    <row r="27" spans="1:24" ht="12.75">
      <c r="A27" s="9">
        <v>92</v>
      </c>
      <c r="B27" s="14" t="s">
        <v>236</v>
      </c>
      <c r="C27" s="110">
        <f>581936.74+5015.01+3880.27</f>
        <v>590832.02</v>
      </c>
      <c r="D27" s="110">
        <v>150000</v>
      </c>
      <c r="E27" s="112">
        <f t="shared" si="0"/>
        <v>440832.02</v>
      </c>
      <c r="F27" s="31">
        <f t="shared" si="1"/>
        <v>3.9388801333333334</v>
      </c>
      <c r="G27" s="35">
        <f t="shared" si="2"/>
        <v>0.010031123231680159</v>
      </c>
      <c r="H27" s="33"/>
      <c r="I27" s="33"/>
      <c r="J27" s="33"/>
      <c r="K27" s="33"/>
      <c r="L27" s="33"/>
      <c r="M27" s="33"/>
      <c r="N27" s="33"/>
      <c r="P27" s="67"/>
      <c r="Q27" s="67"/>
      <c r="R27" s="108"/>
      <c r="S27" s="108"/>
      <c r="T27" s="108"/>
      <c r="U27" s="68"/>
      <c r="V27" s="68"/>
      <c r="W27" s="68"/>
      <c r="X27" s="68"/>
    </row>
    <row r="28" spans="1:24" ht="12.75">
      <c r="A28" s="9">
        <v>93</v>
      </c>
      <c r="B28" s="109" t="s">
        <v>280</v>
      </c>
      <c r="C28" s="110">
        <f>788512.96+56783.92</f>
        <v>845296.88</v>
      </c>
      <c r="D28" s="110">
        <v>225000</v>
      </c>
      <c r="E28" s="112">
        <f t="shared" si="0"/>
        <v>620296.88</v>
      </c>
      <c r="F28" s="31">
        <f t="shared" si="1"/>
        <v>3.7568750222222222</v>
      </c>
      <c r="G28" s="35">
        <f t="shared" si="2"/>
        <v>0.01504668484752024</v>
      </c>
      <c r="H28" s="33"/>
      <c r="I28" s="33"/>
      <c r="J28" s="33"/>
      <c r="K28" s="33"/>
      <c r="L28" s="33"/>
      <c r="M28" s="33"/>
      <c r="N28" s="33"/>
      <c r="P28" s="67"/>
      <c r="U28" s="68"/>
      <c r="V28" s="68"/>
      <c r="W28" s="68"/>
      <c r="X28" s="68"/>
    </row>
    <row r="29" spans="1:24" ht="12.75">
      <c r="A29" s="9">
        <v>94</v>
      </c>
      <c r="B29" s="109" t="s">
        <v>281</v>
      </c>
      <c r="C29" s="110">
        <f>163159.23+27898.67+5060.28</f>
        <v>196118.18000000002</v>
      </c>
      <c r="D29" s="110">
        <v>50000</v>
      </c>
      <c r="E29" s="112">
        <f t="shared" si="0"/>
        <v>146118.18000000002</v>
      </c>
      <c r="F29" s="31">
        <f t="shared" si="1"/>
        <v>3.9223636000000006</v>
      </c>
      <c r="G29" s="35">
        <f t="shared" si="2"/>
        <v>0.0033437077438933866</v>
      </c>
      <c r="H29" s="33"/>
      <c r="I29" s="33"/>
      <c r="J29" s="33"/>
      <c r="K29" s="33"/>
      <c r="L29" s="33"/>
      <c r="M29" s="33"/>
      <c r="N29" s="33"/>
      <c r="P29" s="67"/>
      <c r="U29" s="68"/>
      <c r="V29" s="68"/>
      <c r="W29" s="68"/>
      <c r="X29" s="68"/>
    </row>
    <row r="30" spans="1:24" ht="12.75" customHeight="1">
      <c r="A30" s="9">
        <v>95</v>
      </c>
      <c r="B30" s="118" t="s">
        <v>282</v>
      </c>
      <c r="C30" s="110">
        <v>7020</v>
      </c>
      <c r="D30" s="110">
        <v>0</v>
      </c>
      <c r="E30" s="112">
        <f t="shared" si="0"/>
        <v>7020</v>
      </c>
      <c r="F30" s="31"/>
      <c r="G30" s="35">
        <f t="shared" si="2"/>
        <v>0</v>
      </c>
      <c r="H30" s="33"/>
      <c r="I30" s="33"/>
      <c r="J30" s="33"/>
      <c r="K30" s="33"/>
      <c r="L30" s="33"/>
      <c r="M30" s="33"/>
      <c r="N30" s="33"/>
      <c r="P30" s="7"/>
      <c r="U30" s="7"/>
      <c r="V30" s="7"/>
      <c r="W30" s="7"/>
      <c r="X30" s="7"/>
    </row>
    <row r="31" spans="1:14" ht="12.75">
      <c r="A31" s="9">
        <v>96</v>
      </c>
      <c r="B31" s="14" t="s">
        <v>237</v>
      </c>
      <c r="C31" s="110">
        <v>0</v>
      </c>
      <c r="D31" s="110">
        <v>0</v>
      </c>
      <c r="E31" s="112">
        <f t="shared" si="0"/>
        <v>0</v>
      </c>
      <c r="F31" s="31"/>
      <c r="G31" s="35">
        <f t="shared" si="2"/>
        <v>0</v>
      </c>
      <c r="H31" s="33"/>
      <c r="I31" s="33"/>
      <c r="J31" s="33"/>
      <c r="K31" s="33"/>
      <c r="L31" s="33"/>
      <c r="M31" s="33"/>
      <c r="N31" s="33"/>
    </row>
    <row r="32" spans="1:14" ht="12.75">
      <c r="A32" s="17">
        <v>97</v>
      </c>
      <c r="B32" s="25" t="s">
        <v>238</v>
      </c>
      <c r="C32" s="111">
        <v>65926</v>
      </c>
      <c r="D32" s="111">
        <v>300000</v>
      </c>
      <c r="E32" s="112">
        <f t="shared" si="0"/>
        <v>-234074</v>
      </c>
      <c r="F32" s="72">
        <f t="shared" si="1"/>
        <v>0.21975333333333333</v>
      </c>
      <c r="G32" s="72">
        <f t="shared" si="2"/>
        <v>0.020062246463360318</v>
      </c>
      <c r="H32" s="33"/>
      <c r="I32" s="33"/>
      <c r="J32" s="33"/>
      <c r="K32" s="33"/>
      <c r="L32" s="33"/>
      <c r="M32" s="33"/>
      <c r="N32" s="33"/>
    </row>
    <row r="33" spans="1:14" ht="12.75">
      <c r="A33" s="26"/>
      <c r="B33" s="27" t="s">
        <v>33</v>
      </c>
      <c r="C33" s="39">
        <f>SUM(C15:C32)</f>
        <v>17603080.32</v>
      </c>
      <c r="D33" s="39">
        <f>SUM(D15:D32)</f>
        <v>10445000</v>
      </c>
      <c r="E33" s="39">
        <f>SUM(E15:E32)</f>
        <v>7158080.319999999</v>
      </c>
      <c r="F33" s="37">
        <f t="shared" si="1"/>
        <v>1.6853116629966491</v>
      </c>
      <c r="G33" s="40"/>
      <c r="H33" s="33"/>
      <c r="I33" s="33"/>
      <c r="J33" s="33"/>
      <c r="K33" s="33"/>
      <c r="L33" s="33"/>
      <c r="M33" s="33"/>
      <c r="N33" s="33"/>
    </row>
    <row r="34" spans="1:14" ht="12.75">
      <c r="A34" s="26"/>
      <c r="B34" s="27" t="s">
        <v>239</v>
      </c>
      <c r="C34" s="39">
        <f>C15</f>
        <v>6486689.890000001</v>
      </c>
      <c r="D34" s="39">
        <f>D15</f>
        <v>4500000</v>
      </c>
      <c r="E34" s="39">
        <f>E15</f>
        <v>1986689.8900000006</v>
      </c>
      <c r="F34" s="40"/>
      <c r="G34" s="40"/>
      <c r="H34" s="33"/>
      <c r="I34" s="33"/>
      <c r="J34" s="33"/>
      <c r="K34" s="33"/>
      <c r="L34" s="33"/>
      <c r="M34" s="33"/>
      <c r="N34" s="33"/>
    </row>
    <row r="35" spans="1:14" ht="12.75">
      <c r="A35" s="26"/>
      <c r="B35" s="27" t="s">
        <v>240</v>
      </c>
      <c r="C35" s="39">
        <f>C33-C34</f>
        <v>11116390.43</v>
      </c>
      <c r="D35" s="39">
        <f>D33-D34</f>
        <v>5945000</v>
      </c>
      <c r="E35" s="39">
        <f>E33-E34</f>
        <v>5171390.429999999</v>
      </c>
      <c r="F35" s="41">
        <f>C35/D35</f>
        <v>1.8698722338099243</v>
      </c>
      <c r="G35" s="40"/>
      <c r="H35" s="33"/>
      <c r="I35" s="33"/>
      <c r="J35" s="33"/>
      <c r="K35" s="33"/>
      <c r="L35" s="33"/>
      <c r="M35" s="33"/>
      <c r="N35" s="33"/>
    </row>
    <row r="36" spans="1:14" ht="12.75">
      <c r="A36" s="26"/>
      <c r="B36" s="119"/>
      <c r="C36" s="120"/>
      <c r="D36" s="120"/>
      <c r="E36" s="120"/>
      <c r="F36" s="99"/>
      <c r="G36" s="40"/>
      <c r="H36" s="33"/>
      <c r="I36" s="33"/>
      <c r="J36" s="33"/>
      <c r="K36" s="33"/>
      <c r="L36" s="33"/>
      <c r="M36" s="33"/>
      <c r="N36" s="33"/>
    </row>
    <row r="37" spans="1:14" ht="12.75">
      <c r="A37" s="26"/>
      <c r="B37" s="119"/>
      <c r="C37" s="120"/>
      <c r="D37" s="120"/>
      <c r="E37" s="120"/>
      <c r="F37" s="99"/>
      <c r="G37" s="40"/>
      <c r="H37" s="33"/>
      <c r="I37" s="33"/>
      <c r="J37" s="33"/>
      <c r="K37" s="33"/>
      <c r="L37" s="33"/>
      <c r="M37" s="33"/>
      <c r="N37" s="33"/>
    </row>
    <row r="38" spans="1:14" ht="15.75" customHeight="1">
      <c r="A38" s="26"/>
      <c r="B38" s="119"/>
      <c r="C38" s="120"/>
      <c r="D38" s="120"/>
      <c r="E38" s="120"/>
      <c r="F38" s="99"/>
      <c r="G38" s="40"/>
      <c r="H38" s="33"/>
      <c r="I38" s="33"/>
      <c r="J38" s="33"/>
      <c r="K38" s="33"/>
      <c r="L38" s="33"/>
      <c r="M38" s="33"/>
      <c r="N38" s="33"/>
    </row>
    <row r="39" spans="1:14" ht="15.75" customHeight="1">
      <c r="A39" s="26"/>
      <c r="B39" s="119"/>
      <c r="C39" s="120"/>
      <c r="D39" s="120"/>
      <c r="E39" s="120"/>
      <c r="F39" s="99"/>
      <c r="G39" s="40"/>
      <c r="H39" s="33"/>
      <c r="I39" s="33"/>
      <c r="J39" s="33"/>
      <c r="K39" s="33"/>
      <c r="L39" s="33"/>
      <c r="M39" s="33"/>
      <c r="N39" s="33"/>
    </row>
    <row r="40" spans="1:14" ht="15.75" customHeight="1">
      <c r="A40" s="161" t="s">
        <v>186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</row>
    <row r="41" spans="1:14" ht="15.75" customHeight="1">
      <c r="A41" s="161" t="str">
        <f>A2</f>
        <v>Case No. 2008 - 00427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</row>
    <row r="42" spans="1:14" ht="15.75" customHeight="1">
      <c r="A42" s="161" t="s">
        <v>209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4:5" ht="15.75" customHeight="1">
      <c r="D43" s="3" t="s">
        <v>2</v>
      </c>
      <c r="E43" s="130">
        <v>2006</v>
      </c>
    </row>
    <row r="44" spans="1:12" ht="15.75" customHeight="1">
      <c r="A44" s="2" t="s">
        <v>3</v>
      </c>
      <c r="L44" s="2" t="s">
        <v>208</v>
      </c>
    </row>
    <row r="45" spans="1:12" ht="15.75" customHeight="1">
      <c r="A45" s="2" t="s">
        <v>4</v>
      </c>
      <c r="L45" s="2" t="s">
        <v>304</v>
      </c>
    </row>
    <row r="46" ht="15.75" customHeight="1">
      <c r="L46" s="2" t="s">
        <v>5</v>
      </c>
    </row>
    <row r="47" spans="12:13" ht="15.75" customHeight="1">
      <c r="L47" s="4" t="s">
        <v>6</v>
      </c>
      <c r="M47" s="4"/>
    </row>
    <row r="48" ht="15.75" customHeight="1"/>
    <row r="49" ht="15.75" customHeight="1"/>
    <row r="50" spans="1:14" ht="15.75" customHeight="1">
      <c r="A50" s="8"/>
      <c r="B50" s="12"/>
      <c r="C50" s="12"/>
      <c r="D50" s="12"/>
      <c r="E50" s="12"/>
      <c r="F50" s="12"/>
      <c r="G50" s="12"/>
      <c r="H50" s="12" t="s">
        <v>10</v>
      </c>
      <c r="I50" s="12" t="s">
        <v>10</v>
      </c>
      <c r="J50" s="12"/>
      <c r="K50" s="12" t="s">
        <v>11</v>
      </c>
      <c r="L50" s="12" t="s">
        <v>11</v>
      </c>
      <c r="M50" s="12"/>
      <c r="N50" s="12"/>
    </row>
    <row r="51" spans="1:14" ht="12.75">
      <c r="A51" s="9"/>
      <c r="B51" s="15"/>
      <c r="C51" s="15"/>
      <c r="D51" s="15" t="s">
        <v>14</v>
      </c>
      <c r="E51" s="15"/>
      <c r="F51" s="15"/>
      <c r="G51" s="15" t="s">
        <v>15</v>
      </c>
      <c r="H51" s="15" t="s">
        <v>16</v>
      </c>
      <c r="I51" s="15" t="s">
        <v>17</v>
      </c>
      <c r="J51" s="15"/>
      <c r="K51" s="15" t="s">
        <v>18</v>
      </c>
      <c r="L51" s="15" t="s">
        <v>18</v>
      </c>
      <c r="M51" s="15" t="s">
        <v>11</v>
      </c>
      <c r="N51" s="15" t="s">
        <v>11</v>
      </c>
    </row>
    <row r="52" spans="1:14" ht="12.75">
      <c r="A52" s="9"/>
      <c r="B52" s="15"/>
      <c r="C52" s="15" t="s">
        <v>14</v>
      </c>
      <c r="D52" s="15" t="s">
        <v>18</v>
      </c>
      <c r="E52" s="15" t="s">
        <v>24</v>
      </c>
      <c r="F52" s="15" t="s">
        <v>24</v>
      </c>
      <c r="G52" s="15" t="s">
        <v>25</v>
      </c>
      <c r="H52" s="15" t="s">
        <v>26</v>
      </c>
      <c r="I52" s="15" t="s">
        <v>26</v>
      </c>
      <c r="J52" s="15"/>
      <c r="K52" s="15" t="s">
        <v>17</v>
      </c>
      <c r="L52" s="15" t="s">
        <v>17</v>
      </c>
      <c r="M52" s="15" t="s">
        <v>16</v>
      </c>
      <c r="N52" s="15" t="s">
        <v>16</v>
      </c>
    </row>
    <row r="53" spans="1:14" ht="12.75">
      <c r="A53" s="17" t="s">
        <v>27</v>
      </c>
      <c r="B53" s="21" t="s">
        <v>28</v>
      </c>
      <c r="C53" s="21" t="s">
        <v>16</v>
      </c>
      <c r="D53" s="21" t="s">
        <v>17</v>
      </c>
      <c r="E53" s="21" t="s">
        <v>29</v>
      </c>
      <c r="F53" s="21" t="s">
        <v>15</v>
      </c>
      <c r="G53" s="21" t="s">
        <v>17</v>
      </c>
      <c r="H53" s="21" t="s">
        <v>30</v>
      </c>
      <c r="I53" s="21" t="s">
        <v>30</v>
      </c>
      <c r="J53" s="21" t="s">
        <v>24</v>
      </c>
      <c r="K53" s="21" t="s">
        <v>31</v>
      </c>
      <c r="L53" s="21" t="s">
        <v>32</v>
      </c>
      <c r="M53" s="21" t="s">
        <v>31</v>
      </c>
      <c r="N53" s="21" t="s">
        <v>32</v>
      </c>
    </row>
    <row r="54" spans="1:14" ht="12.75">
      <c r="A54" s="56"/>
      <c r="B54" s="57" t="s">
        <v>19</v>
      </c>
      <c r="C54" s="58"/>
      <c r="D54" s="58"/>
      <c r="E54" s="58"/>
      <c r="F54" s="59"/>
      <c r="G54" s="59"/>
      <c r="H54" s="60"/>
      <c r="I54" s="60"/>
      <c r="J54" s="60"/>
      <c r="K54" s="60"/>
      <c r="L54" s="60"/>
      <c r="M54" s="60"/>
      <c r="N54" s="60"/>
    </row>
    <row r="55" spans="1:14" ht="12.75">
      <c r="A55" s="83" t="s">
        <v>141</v>
      </c>
      <c r="B55" s="80" t="s">
        <v>155</v>
      </c>
      <c r="C55" s="112">
        <v>-731.77</v>
      </c>
      <c r="D55" s="112">
        <v>0</v>
      </c>
      <c r="E55" s="113">
        <f aca="true" t="shared" si="3" ref="E55:E71">C55-D55</f>
        <v>-731.77</v>
      </c>
      <c r="F55" s="35"/>
      <c r="G55" s="35">
        <f aca="true" t="shared" si="4" ref="G55:G83">D55/(D$33+D$85)</f>
        <v>0</v>
      </c>
      <c r="H55" s="34"/>
      <c r="I55" s="34"/>
      <c r="J55" s="43">
        <f aca="true" t="shared" si="5" ref="J55:J63">H55-I55</f>
        <v>0</v>
      </c>
      <c r="K55" s="45">
        <v>36951</v>
      </c>
      <c r="L55" s="45">
        <v>37956</v>
      </c>
      <c r="M55" s="45">
        <v>36923</v>
      </c>
      <c r="N55" s="52">
        <v>38200</v>
      </c>
    </row>
    <row r="56" spans="1:14" ht="12.75">
      <c r="A56" s="83" t="s">
        <v>142</v>
      </c>
      <c r="B56" s="80" t="s">
        <v>156</v>
      </c>
      <c r="C56" s="112">
        <v>9468.33</v>
      </c>
      <c r="D56" s="112">
        <v>0</v>
      </c>
      <c r="E56" s="113">
        <f t="shared" si="3"/>
        <v>9468.33</v>
      </c>
      <c r="F56" s="35"/>
      <c r="G56" s="35">
        <f t="shared" si="4"/>
        <v>0</v>
      </c>
      <c r="H56" s="34"/>
      <c r="I56" s="34"/>
      <c r="J56" s="43">
        <f t="shared" si="5"/>
        <v>0</v>
      </c>
      <c r="K56" s="45">
        <v>36892</v>
      </c>
      <c r="L56" s="45">
        <v>37742</v>
      </c>
      <c r="M56" s="45">
        <v>37500</v>
      </c>
      <c r="N56" s="52">
        <v>38687</v>
      </c>
    </row>
    <row r="57" spans="1:14" ht="12.75">
      <c r="A57" s="83" t="s">
        <v>144</v>
      </c>
      <c r="B57" s="80" t="s">
        <v>157</v>
      </c>
      <c r="C57" s="112">
        <v>209887.82</v>
      </c>
      <c r="D57" s="112">
        <v>0</v>
      </c>
      <c r="E57" s="113">
        <f t="shared" si="3"/>
        <v>209887.82</v>
      </c>
      <c r="F57" s="35"/>
      <c r="G57" s="35">
        <f t="shared" si="4"/>
        <v>0</v>
      </c>
      <c r="H57" s="34"/>
      <c r="I57" s="34"/>
      <c r="J57" s="43">
        <f t="shared" si="5"/>
        <v>0</v>
      </c>
      <c r="K57" s="45">
        <v>36892</v>
      </c>
      <c r="L57" s="45">
        <v>38322</v>
      </c>
      <c r="M57" s="45">
        <v>36923</v>
      </c>
      <c r="N57" s="52">
        <v>38687</v>
      </c>
    </row>
    <row r="58" spans="1:14" ht="12.75">
      <c r="A58" s="83" t="s">
        <v>146</v>
      </c>
      <c r="B58" s="85" t="s">
        <v>159</v>
      </c>
      <c r="C58" s="112">
        <v>215782</v>
      </c>
      <c r="D58" s="112">
        <v>0</v>
      </c>
      <c r="E58" s="113">
        <f t="shared" si="3"/>
        <v>215782</v>
      </c>
      <c r="F58" s="35"/>
      <c r="G58" s="115">
        <f t="shared" si="4"/>
        <v>0</v>
      </c>
      <c r="H58" s="34"/>
      <c r="I58" s="34"/>
      <c r="J58" s="43">
        <f t="shared" si="5"/>
        <v>0</v>
      </c>
      <c r="K58" s="45">
        <v>36892</v>
      </c>
      <c r="L58" s="45">
        <v>37226</v>
      </c>
      <c r="M58" s="45">
        <v>36892</v>
      </c>
      <c r="N58" s="52">
        <v>37316</v>
      </c>
    </row>
    <row r="59" spans="1:14" ht="12.75">
      <c r="A59" s="92" t="s">
        <v>165</v>
      </c>
      <c r="B59" s="93" t="s">
        <v>173</v>
      </c>
      <c r="C59" s="112">
        <v>9770.67</v>
      </c>
      <c r="D59" s="112">
        <v>0</v>
      </c>
      <c r="E59" s="113">
        <f t="shared" si="3"/>
        <v>9770.67</v>
      </c>
      <c r="F59" s="35"/>
      <c r="G59" s="55">
        <f t="shared" si="4"/>
        <v>0</v>
      </c>
      <c r="H59" s="34"/>
      <c r="I59" s="34"/>
      <c r="J59" s="43">
        <f t="shared" si="5"/>
        <v>0</v>
      </c>
      <c r="K59" s="47">
        <v>37347</v>
      </c>
      <c r="L59" s="45">
        <v>37956</v>
      </c>
      <c r="M59" s="45">
        <v>37316</v>
      </c>
      <c r="N59" s="52"/>
    </row>
    <row r="60" spans="1:14" ht="12.75">
      <c r="A60" s="98" t="s">
        <v>166</v>
      </c>
      <c r="B60" s="93" t="s">
        <v>187</v>
      </c>
      <c r="C60" s="112">
        <v>219992.39</v>
      </c>
      <c r="D60" s="112">
        <v>0</v>
      </c>
      <c r="E60" s="113">
        <f t="shared" si="3"/>
        <v>219992.39</v>
      </c>
      <c r="F60" s="35"/>
      <c r="G60" s="55">
        <f t="shared" si="4"/>
        <v>0</v>
      </c>
      <c r="H60" s="34"/>
      <c r="I60" s="34"/>
      <c r="J60" s="43">
        <f t="shared" si="5"/>
        <v>0</v>
      </c>
      <c r="K60" s="45">
        <v>37257</v>
      </c>
      <c r="L60" s="45">
        <v>37591</v>
      </c>
      <c r="M60" s="45">
        <v>37257</v>
      </c>
      <c r="N60" s="52">
        <v>37561</v>
      </c>
    </row>
    <row r="61" spans="1:14" ht="12.75">
      <c r="A61" s="92" t="s">
        <v>168</v>
      </c>
      <c r="B61" s="93" t="s">
        <v>183</v>
      </c>
      <c r="C61" s="112">
        <v>436623.84</v>
      </c>
      <c r="D61" s="112">
        <v>180000</v>
      </c>
      <c r="E61" s="113">
        <f t="shared" si="3"/>
        <v>256623.84000000003</v>
      </c>
      <c r="F61" s="35">
        <f>C61/D61</f>
        <v>2.425688</v>
      </c>
      <c r="G61" s="55">
        <f t="shared" si="4"/>
        <v>0.012037347878016191</v>
      </c>
      <c r="H61" s="34"/>
      <c r="I61" s="34"/>
      <c r="J61" s="43">
        <f t="shared" si="5"/>
        <v>0</v>
      </c>
      <c r="K61" s="47">
        <v>37347</v>
      </c>
      <c r="L61" s="45">
        <v>37956</v>
      </c>
      <c r="M61" s="45">
        <v>37043</v>
      </c>
      <c r="N61" s="52"/>
    </row>
    <row r="62" spans="1:14" ht="12.75">
      <c r="A62" s="92" t="s">
        <v>178</v>
      </c>
      <c r="B62" s="93" t="s">
        <v>184</v>
      </c>
      <c r="C62" s="112">
        <v>270296.5</v>
      </c>
      <c r="D62" s="112">
        <v>0</v>
      </c>
      <c r="E62" s="113">
        <f t="shared" si="3"/>
        <v>270296.5</v>
      </c>
      <c r="F62" s="35"/>
      <c r="G62" s="55">
        <f t="shared" si="4"/>
        <v>0</v>
      </c>
      <c r="H62" s="34"/>
      <c r="I62" s="34"/>
      <c r="J62" s="43">
        <f t="shared" si="5"/>
        <v>0</v>
      </c>
      <c r="K62" s="45">
        <v>37742</v>
      </c>
      <c r="L62" s="45">
        <v>38687</v>
      </c>
      <c r="M62" s="45">
        <v>37803</v>
      </c>
      <c r="N62" s="52">
        <v>38687</v>
      </c>
    </row>
    <row r="63" spans="1:14" ht="12.75">
      <c r="A63" s="92" t="s">
        <v>179</v>
      </c>
      <c r="B63" s="93" t="s">
        <v>159</v>
      </c>
      <c r="C63" s="112">
        <v>30.76</v>
      </c>
      <c r="D63" s="112">
        <v>0</v>
      </c>
      <c r="E63" s="113">
        <f t="shared" si="3"/>
        <v>30.76</v>
      </c>
      <c r="F63" s="35"/>
      <c r="G63" s="55">
        <f t="shared" si="4"/>
        <v>0</v>
      </c>
      <c r="H63" s="34"/>
      <c r="I63" s="34"/>
      <c r="J63" s="43">
        <f t="shared" si="5"/>
        <v>0</v>
      </c>
      <c r="K63" s="45">
        <v>37622</v>
      </c>
      <c r="L63" s="45">
        <v>37956</v>
      </c>
      <c r="M63" s="45">
        <v>37622</v>
      </c>
      <c r="N63" s="52">
        <v>37895</v>
      </c>
    </row>
    <row r="64" spans="1:14" ht="12.75">
      <c r="A64" s="92" t="s">
        <v>180</v>
      </c>
      <c r="B64" s="93" t="s">
        <v>185</v>
      </c>
      <c r="C64" s="112">
        <v>20805.37</v>
      </c>
      <c r="D64" s="112">
        <v>0</v>
      </c>
      <c r="E64" s="113">
        <f t="shared" si="3"/>
        <v>20805.37</v>
      </c>
      <c r="F64" s="35"/>
      <c r="G64" s="55">
        <f t="shared" si="4"/>
        <v>0</v>
      </c>
      <c r="H64" s="34"/>
      <c r="I64" s="34"/>
      <c r="J64" s="43">
        <f aca="true" t="shared" si="6" ref="J64:J83">H64-I64</f>
        <v>0</v>
      </c>
      <c r="K64" s="45">
        <v>37622</v>
      </c>
      <c r="L64" s="45">
        <v>38169</v>
      </c>
      <c r="M64" s="45">
        <v>37773</v>
      </c>
      <c r="N64" s="52">
        <v>38687</v>
      </c>
    </row>
    <row r="65" spans="1:14" ht="12.75">
      <c r="A65" s="117" t="s">
        <v>243</v>
      </c>
      <c r="B65" s="116" t="s">
        <v>247</v>
      </c>
      <c r="C65" s="112">
        <f>379725.73+99125.12</f>
        <v>478850.85</v>
      </c>
      <c r="D65" s="112">
        <v>530000</v>
      </c>
      <c r="E65" s="112">
        <f t="shared" si="3"/>
        <v>-51149.15000000002</v>
      </c>
      <c r="F65" s="35">
        <f>C65/D65</f>
        <v>0.9034921698113207</v>
      </c>
      <c r="G65" s="115">
        <f t="shared" si="4"/>
        <v>0.0354433020852699</v>
      </c>
      <c r="H65" s="34"/>
      <c r="I65" s="34"/>
      <c r="J65" s="43">
        <f t="shared" si="6"/>
        <v>0</v>
      </c>
      <c r="K65" s="45">
        <v>37987</v>
      </c>
      <c r="L65" s="45" t="s">
        <v>284</v>
      </c>
      <c r="M65" s="45" t="s">
        <v>284</v>
      </c>
      <c r="N65" s="52" t="s">
        <v>284</v>
      </c>
    </row>
    <row r="66" spans="1:14" ht="12.75">
      <c r="A66" s="117" t="s">
        <v>244</v>
      </c>
      <c r="B66" s="116" t="s">
        <v>246</v>
      </c>
      <c r="C66" s="112">
        <v>543523.25</v>
      </c>
      <c r="D66" s="112">
        <v>170000</v>
      </c>
      <c r="E66" s="112">
        <f t="shared" si="3"/>
        <v>373523.25</v>
      </c>
      <c r="F66" s="35">
        <f>C66/D66</f>
        <v>3.197195588235294</v>
      </c>
      <c r="G66" s="115">
        <f t="shared" si="4"/>
        <v>0.011368606329237514</v>
      </c>
      <c r="H66" s="34"/>
      <c r="I66" s="129"/>
      <c r="J66" s="43">
        <f t="shared" si="6"/>
        <v>0</v>
      </c>
      <c r="K66" s="45">
        <v>38261</v>
      </c>
      <c r="L66" s="45">
        <v>39417</v>
      </c>
      <c r="M66" s="45">
        <v>38261</v>
      </c>
      <c r="N66" s="52"/>
    </row>
    <row r="67" spans="1:14" ht="12.75">
      <c r="A67" s="117" t="s">
        <v>242</v>
      </c>
      <c r="B67" s="93" t="s">
        <v>241</v>
      </c>
      <c r="C67" s="112">
        <v>-208706.93</v>
      </c>
      <c r="D67" s="112">
        <v>700000</v>
      </c>
      <c r="E67" s="112">
        <f t="shared" si="3"/>
        <v>-908706.9299999999</v>
      </c>
      <c r="F67" s="35">
        <f>C67/D67</f>
        <v>-0.2981527571428571</v>
      </c>
      <c r="G67" s="115">
        <f t="shared" si="4"/>
        <v>0.046811908414507414</v>
      </c>
      <c r="H67" s="34">
        <v>632906</v>
      </c>
      <c r="I67" s="34">
        <v>1190593</v>
      </c>
      <c r="J67" s="43">
        <f t="shared" si="6"/>
        <v>-557687</v>
      </c>
      <c r="K67" s="45">
        <v>37987</v>
      </c>
      <c r="L67" s="45">
        <v>38322</v>
      </c>
      <c r="M67" s="45">
        <v>37987</v>
      </c>
      <c r="N67" s="52">
        <v>38718</v>
      </c>
    </row>
    <row r="68" spans="1:14" ht="12.75">
      <c r="A68" s="117" t="s">
        <v>254</v>
      </c>
      <c r="B68" s="116" t="s">
        <v>248</v>
      </c>
      <c r="C68" s="112">
        <v>0</v>
      </c>
      <c r="D68" s="112">
        <v>750000</v>
      </c>
      <c r="E68" s="112">
        <f t="shared" si="3"/>
        <v>-750000</v>
      </c>
      <c r="F68" s="35">
        <f>C68/D68</f>
        <v>0</v>
      </c>
      <c r="G68" s="115">
        <f t="shared" si="4"/>
        <v>0.0501556161584008</v>
      </c>
      <c r="H68" s="34"/>
      <c r="I68" s="34"/>
      <c r="J68" s="43">
        <f t="shared" si="6"/>
        <v>0</v>
      </c>
      <c r="K68" s="45">
        <v>38534</v>
      </c>
      <c r="L68" s="45">
        <v>39417</v>
      </c>
      <c r="M68" s="45"/>
      <c r="N68" s="52"/>
    </row>
    <row r="69" spans="1:14" ht="12.75">
      <c r="A69" s="117" t="s">
        <v>252</v>
      </c>
      <c r="B69" s="116" t="s">
        <v>253</v>
      </c>
      <c r="C69" s="112">
        <v>799571.91</v>
      </c>
      <c r="D69" s="112">
        <v>800000</v>
      </c>
      <c r="E69" s="112">
        <f t="shared" si="3"/>
        <v>-428.0899999999674</v>
      </c>
      <c r="F69" s="35">
        <f>C69/D69</f>
        <v>0.9994648875000001</v>
      </c>
      <c r="G69" s="115">
        <f t="shared" si="4"/>
        <v>0.053499323902294185</v>
      </c>
      <c r="H69" s="34">
        <v>1309064</v>
      </c>
      <c r="I69" s="34">
        <v>1800000</v>
      </c>
      <c r="J69" s="43">
        <f t="shared" si="6"/>
        <v>-490936</v>
      </c>
      <c r="K69" s="45">
        <v>38443</v>
      </c>
      <c r="L69" s="45">
        <v>39417</v>
      </c>
      <c r="M69" s="45">
        <v>38565</v>
      </c>
      <c r="N69" s="52">
        <v>39052</v>
      </c>
    </row>
    <row r="70" spans="1:14" ht="12.75">
      <c r="A70" s="117" t="s">
        <v>259</v>
      </c>
      <c r="B70" s="116" t="s">
        <v>285</v>
      </c>
      <c r="C70" s="112">
        <v>-8512.91</v>
      </c>
      <c r="D70" s="112">
        <v>0</v>
      </c>
      <c r="E70" s="112">
        <f>C70-D70</f>
        <v>-8512.91</v>
      </c>
      <c r="F70" s="35"/>
      <c r="G70" s="115">
        <f t="shared" si="4"/>
        <v>0</v>
      </c>
      <c r="H70" s="34">
        <v>191379</v>
      </c>
      <c r="I70" s="34">
        <v>350000</v>
      </c>
      <c r="J70" s="43">
        <f t="shared" si="6"/>
        <v>-158621</v>
      </c>
      <c r="K70" s="45">
        <v>38384</v>
      </c>
      <c r="L70" s="45">
        <v>38626</v>
      </c>
      <c r="M70" s="45">
        <v>38565</v>
      </c>
      <c r="N70" s="52">
        <v>38718</v>
      </c>
    </row>
    <row r="71" spans="1:14" ht="12.75">
      <c r="A71" s="117" t="s">
        <v>250</v>
      </c>
      <c r="B71" s="116" t="s">
        <v>251</v>
      </c>
      <c r="C71" s="112">
        <v>339611.53</v>
      </c>
      <c r="D71" s="112">
        <v>725000</v>
      </c>
      <c r="E71" s="112">
        <f t="shared" si="3"/>
        <v>-385388.47</v>
      </c>
      <c r="F71" s="35">
        <f>C71/D71</f>
        <v>0.4684296965517242</v>
      </c>
      <c r="G71" s="115">
        <f t="shared" si="4"/>
        <v>0.0484837622864541</v>
      </c>
      <c r="H71" s="34"/>
      <c r="I71" s="34"/>
      <c r="J71" s="43">
        <f t="shared" si="6"/>
        <v>0</v>
      </c>
      <c r="K71" s="45">
        <v>38443</v>
      </c>
      <c r="L71" s="45">
        <v>39052</v>
      </c>
      <c r="M71" s="45">
        <v>38443</v>
      </c>
      <c r="N71" s="52"/>
    </row>
    <row r="72" spans="1:14" ht="12.75">
      <c r="A72" s="117" t="s">
        <v>261</v>
      </c>
      <c r="B72" s="116" t="s">
        <v>262</v>
      </c>
      <c r="C72" s="112">
        <v>314092.75</v>
      </c>
      <c r="D72" s="112">
        <v>0</v>
      </c>
      <c r="E72" s="112">
        <f aca="true" t="shared" si="7" ref="E72:E83">C72-D72</f>
        <v>314092.75</v>
      </c>
      <c r="F72" s="35"/>
      <c r="G72" s="115">
        <f t="shared" si="4"/>
        <v>0</v>
      </c>
      <c r="H72" s="34"/>
      <c r="I72" s="34"/>
      <c r="J72" s="43">
        <f t="shared" si="6"/>
        <v>0</v>
      </c>
      <c r="K72" s="45">
        <v>38443</v>
      </c>
      <c r="L72" s="45">
        <v>39783</v>
      </c>
      <c r="M72" s="45">
        <v>38443</v>
      </c>
      <c r="N72" s="52"/>
    </row>
    <row r="73" spans="1:14" ht="12.75">
      <c r="A73" s="117" t="s">
        <v>278</v>
      </c>
      <c r="B73" s="116" t="s">
        <v>279</v>
      </c>
      <c r="C73" s="112">
        <v>276984</v>
      </c>
      <c r="D73" s="112">
        <v>228460</v>
      </c>
      <c r="E73" s="112">
        <f t="shared" si="7"/>
        <v>48524</v>
      </c>
      <c r="F73" s="35">
        <f>C73/D73</f>
        <v>1.212396043070997</v>
      </c>
      <c r="G73" s="115">
        <f t="shared" si="4"/>
        <v>0.015278069423397662</v>
      </c>
      <c r="H73" s="34"/>
      <c r="I73" s="34"/>
      <c r="J73" s="43">
        <f t="shared" si="6"/>
        <v>0</v>
      </c>
      <c r="K73" s="45">
        <v>38687</v>
      </c>
      <c r="L73" s="45">
        <v>39022</v>
      </c>
      <c r="M73" s="45">
        <v>38869</v>
      </c>
      <c r="N73" s="52"/>
    </row>
    <row r="74" spans="1:14" ht="12.75">
      <c r="A74" s="117" t="s">
        <v>263</v>
      </c>
      <c r="B74" s="116" t="s">
        <v>264</v>
      </c>
      <c r="C74" s="112">
        <v>944837.33</v>
      </c>
      <c r="D74" s="112">
        <v>25000</v>
      </c>
      <c r="E74" s="112">
        <f t="shared" si="7"/>
        <v>919837.33</v>
      </c>
      <c r="F74" s="35">
        <f>C74/D74</f>
        <v>37.7934932</v>
      </c>
      <c r="G74" s="115">
        <f t="shared" si="4"/>
        <v>0.0016718538719466933</v>
      </c>
      <c r="H74" s="34"/>
      <c r="I74" s="34"/>
      <c r="J74" s="43">
        <f t="shared" si="6"/>
        <v>0</v>
      </c>
      <c r="K74" s="45">
        <v>38687</v>
      </c>
      <c r="L74" s="45">
        <v>39264</v>
      </c>
      <c r="M74" s="45">
        <v>38687</v>
      </c>
      <c r="N74" s="52"/>
    </row>
    <row r="75" spans="1:14" ht="12.75">
      <c r="A75" s="117" t="s">
        <v>265</v>
      </c>
      <c r="B75" s="116" t="s">
        <v>267</v>
      </c>
      <c r="C75" s="112">
        <v>380264.17</v>
      </c>
      <c r="D75" s="112">
        <v>350000</v>
      </c>
      <c r="E75" s="112">
        <f t="shared" si="7"/>
        <v>30264.169999999984</v>
      </c>
      <c r="F75" s="35">
        <f>C75/D75</f>
        <v>1.086469057142857</v>
      </c>
      <c r="G75" s="115">
        <f t="shared" si="4"/>
        <v>0.023405954207253707</v>
      </c>
      <c r="H75" s="34">
        <v>462866</v>
      </c>
      <c r="I75" s="34">
        <v>350000</v>
      </c>
      <c r="J75" s="43">
        <f t="shared" si="6"/>
        <v>112866</v>
      </c>
      <c r="K75" s="45">
        <v>38718</v>
      </c>
      <c r="L75" s="45">
        <v>39052</v>
      </c>
      <c r="M75" s="45">
        <v>38718</v>
      </c>
      <c r="N75" s="52">
        <v>39052</v>
      </c>
    </row>
    <row r="76" spans="1:14" ht="12.75">
      <c r="A76" s="117" t="s">
        <v>266</v>
      </c>
      <c r="B76" s="116" t="s">
        <v>268</v>
      </c>
      <c r="C76" s="112">
        <v>23300</v>
      </c>
      <c r="D76" s="112">
        <v>50000</v>
      </c>
      <c r="E76" s="112">
        <f t="shared" si="7"/>
        <v>-26700</v>
      </c>
      <c r="F76" s="35">
        <f>C76/D76</f>
        <v>0.466</v>
      </c>
      <c r="G76" s="115">
        <f t="shared" si="4"/>
        <v>0.0033437077438933866</v>
      </c>
      <c r="H76" s="34"/>
      <c r="I76" s="34"/>
      <c r="J76" s="43">
        <f t="shared" si="6"/>
        <v>0</v>
      </c>
      <c r="K76" s="45">
        <v>38777</v>
      </c>
      <c r="L76" s="45">
        <v>39326</v>
      </c>
      <c r="M76" s="45">
        <v>38930</v>
      </c>
      <c r="N76" s="52"/>
    </row>
    <row r="77" spans="1:14" ht="12.75">
      <c r="A77" s="117" t="s">
        <v>277</v>
      </c>
      <c r="B77" s="116" t="s">
        <v>283</v>
      </c>
      <c r="C77" s="112">
        <v>447523.83</v>
      </c>
      <c r="D77" s="112">
        <v>0</v>
      </c>
      <c r="E77" s="112">
        <f t="shared" si="7"/>
        <v>447523.83</v>
      </c>
      <c r="F77" s="35"/>
      <c r="G77" s="115">
        <f t="shared" si="4"/>
        <v>0</v>
      </c>
      <c r="H77" s="34"/>
      <c r="I77" s="34"/>
      <c r="J77" s="43">
        <f t="shared" si="6"/>
        <v>0</v>
      </c>
      <c r="K77" s="45">
        <v>38749</v>
      </c>
      <c r="L77" s="45">
        <v>39052</v>
      </c>
      <c r="M77" s="45">
        <v>38808</v>
      </c>
      <c r="N77" s="52"/>
    </row>
    <row r="78" spans="1:14" ht="12.75">
      <c r="A78" s="117" t="s">
        <v>269</v>
      </c>
      <c r="B78" s="116" t="s">
        <v>270</v>
      </c>
      <c r="C78" s="112">
        <v>249694.67</v>
      </c>
      <c r="D78" s="112">
        <v>0</v>
      </c>
      <c r="E78" s="112">
        <f t="shared" si="7"/>
        <v>249694.67</v>
      </c>
      <c r="F78" s="35"/>
      <c r="G78" s="115">
        <f t="shared" si="4"/>
        <v>0</v>
      </c>
      <c r="H78" s="34"/>
      <c r="I78" s="34"/>
      <c r="J78" s="43">
        <f t="shared" si="6"/>
        <v>0</v>
      </c>
      <c r="K78" s="45">
        <v>38718</v>
      </c>
      <c r="L78" s="45">
        <v>39022</v>
      </c>
      <c r="M78" s="45">
        <v>38777</v>
      </c>
      <c r="N78" s="52"/>
    </row>
    <row r="79" spans="1:14" ht="12.75">
      <c r="A79" s="117" t="s">
        <v>271</v>
      </c>
      <c r="B79" s="116" t="s">
        <v>274</v>
      </c>
      <c r="C79" s="112">
        <v>57400</v>
      </c>
      <c r="D79" s="112">
        <v>0</v>
      </c>
      <c r="E79" s="112">
        <f t="shared" si="7"/>
        <v>57400</v>
      </c>
      <c r="F79" s="35"/>
      <c r="G79" s="115">
        <f t="shared" si="4"/>
        <v>0</v>
      </c>
      <c r="H79" s="34"/>
      <c r="I79" s="34"/>
      <c r="J79" s="43">
        <f t="shared" si="6"/>
        <v>0</v>
      </c>
      <c r="K79" s="45">
        <v>38749</v>
      </c>
      <c r="L79" s="45">
        <v>39052</v>
      </c>
      <c r="M79" s="45">
        <v>38777</v>
      </c>
      <c r="N79" s="52"/>
    </row>
    <row r="80" spans="1:14" ht="12.75">
      <c r="A80" s="117" t="s">
        <v>272</v>
      </c>
      <c r="B80" s="116" t="s">
        <v>275</v>
      </c>
      <c r="C80" s="112">
        <v>1676933.11</v>
      </c>
      <c r="D80" s="112">
        <v>0</v>
      </c>
      <c r="E80" s="112">
        <f t="shared" si="7"/>
        <v>1676933.11</v>
      </c>
      <c r="F80" s="35"/>
      <c r="G80" s="115">
        <f t="shared" si="4"/>
        <v>0</v>
      </c>
      <c r="H80" s="34"/>
      <c r="I80" s="34"/>
      <c r="J80" s="43">
        <f t="shared" si="6"/>
        <v>0</v>
      </c>
      <c r="K80" s="45">
        <v>38838</v>
      </c>
      <c r="L80" s="45">
        <v>40513</v>
      </c>
      <c r="M80" s="45">
        <v>38838</v>
      </c>
      <c r="N80" s="52"/>
    </row>
    <row r="81" spans="1:14" ht="12.75">
      <c r="A81" s="117" t="s">
        <v>273</v>
      </c>
      <c r="B81" s="116" t="s">
        <v>276</v>
      </c>
      <c r="C81" s="112">
        <v>47.71</v>
      </c>
      <c r="D81" s="112">
        <v>0</v>
      </c>
      <c r="E81" s="112">
        <f t="shared" si="7"/>
        <v>47.71</v>
      </c>
      <c r="F81" s="35"/>
      <c r="G81" s="115">
        <f t="shared" si="4"/>
        <v>0</v>
      </c>
      <c r="H81" s="34"/>
      <c r="I81" s="34"/>
      <c r="J81" s="43">
        <f t="shared" si="6"/>
        <v>0</v>
      </c>
      <c r="K81" s="45">
        <v>38718</v>
      </c>
      <c r="L81" s="45">
        <v>39173</v>
      </c>
      <c r="M81" s="45">
        <v>38899</v>
      </c>
      <c r="N81" s="52"/>
    </row>
    <row r="82" spans="1:14" ht="12.75">
      <c r="A82" s="79" t="s">
        <v>39</v>
      </c>
      <c r="B82" s="80" t="s">
        <v>124</v>
      </c>
      <c r="C82" s="112">
        <v>37268.77</v>
      </c>
      <c r="D82" s="112">
        <v>0</v>
      </c>
      <c r="E82" s="113">
        <f t="shared" si="7"/>
        <v>37268.77</v>
      </c>
      <c r="F82" s="35"/>
      <c r="G82" s="35">
        <f t="shared" si="4"/>
        <v>0</v>
      </c>
      <c r="H82" s="34"/>
      <c r="I82" s="34"/>
      <c r="J82" s="43">
        <f t="shared" si="6"/>
        <v>0</v>
      </c>
      <c r="K82" s="45">
        <v>33786</v>
      </c>
      <c r="L82" s="45">
        <v>35400</v>
      </c>
      <c r="M82" s="45">
        <v>33848</v>
      </c>
      <c r="N82" s="46"/>
    </row>
    <row r="83" spans="1:14" ht="12.75">
      <c r="A83" s="81" t="s">
        <v>60</v>
      </c>
      <c r="B83" s="80" t="s">
        <v>169</v>
      </c>
      <c r="C83" s="112">
        <v>15839.97</v>
      </c>
      <c r="D83" s="112">
        <v>0</v>
      </c>
      <c r="E83" s="113">
        <f t="shared" si="7"/>
        <v>15839.97</v>
      </c>
      <c r="F83" s="35"/>
      <c r="G83" s="35">
        <f t="shared" si="4"/>
        <v>0</v>
      </c>
      <c r="H83" s="34">
        <v>657269</v>
      </c>
      <c r="I83" s="34">
        <v>350000</v>
      </c>
      <c r="J83" s="43">
        <f t="shared" si="6"/>
        <v>307269</v>
      </c>
      <c r="K83" s="45">
        <v>35827</v>
      </c>
      <c r="L83" s="45">
        <v>36404</v>
      </c>
      <c r="M83" s="45">
        <v>36192</v>
      </c>
      <c r="N83" s="52">
        <v>39052</v>
      </c>
    </row>
    <row r="84" spans="1:14" ht="12.75">
      <c r="A84" s="94"/>
      <c r="B84" s="95"/>
      <c r="C84" s="114"/>
      <c r="D84" s="114"/>
      <c r="E84" s="112"/>
      <c r="F84" s="35"/>
      <c r="G84" s="38"/>
      <c r="H84" s="36"/>
      <c r="I84" s="36"/>
      <c r="J84" s="44"/>
      <c r="K84" s="49"/>
      <c r="L84" s="49"/>
      <c r="M84" s="49"/>
      <c r="N84" s="50"/>
    </row>
    <row r="85" spans="3:14" ht="12">
      <c r="C85" s="90">
        <f>SUM(C54:C84)</f>
        <v>7760449.92</v>
      </c>
      <c r="D85" s="39">
        <f>SUM(D54:D84)</f>
        <v>4508460</v>
      </c>
      <c r="E85" s="39">
        <f>SUM(E54:E84)</f>
        <v>3251989.920000001</v>
      </c>
      <c r="F85" s="41">
        <f>C85/D85</f>
        <v>1.7213083669368254</v>
      </c>
      <c r="G85" s="40"/>
      <c r="H85" s="33"/>
      <c r="I85" s="33"/>
      <c r="J85" s="33"/>
      <c r="K85" s="33"/>
      <c r="L85" s="33"/>
      <c r="M85" s="33"/>
      <c r="N85" s="33"/>
    </row>
  </sheetData>
  <mergeCells count="6">
    <mergeCell ref="A41:N41"/>
    <mergeCell ref="A42:N42"/>
    <mergeCell ref="A1:N1"/>
    <mergeCell ref="A2:N2"/>
    <mergeCell ref="A3:N3"/>
    <mergeCell ref="A40:N40"/>
  </mergeCells>
  <printOptions horizontalCentered="1"/>
  <pageMargins left="0.25" right="0.58" top="0.38" bottom="0.31" header="0" footer="0"/>
  <pageSetup horizontalDpi="600" verticalDpi="600" orientation="landscape" scale="75" r:id="rId1"/>
  <rowBreaks count="2" manualBreakCount="2">
    <brk id="39" max="23" man="1"/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80"/>
  <sheetViews>
    <sheetView zoomScaleSheetLayoutView="100" workbookViewId="0" topLeftCell="A37">
      <selection activeCell="A1" sqref="A1:N1"/>
    </sheetView>
  </sheetViews>
  <sheetFormatPr defaultColWidth="9.83203125" defaultRowHeight="12"/>
  <cols>
    <col min="1" max="1" width="8.66015625" style="1" customWidth="1"/>
    <col min="2" max="2" width="62.66015625" style="1" customWidth="1"/>
    <col min="3" max="3" width="13.66015625" style="1" customWidth="1"/>
    <col min="4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6" style="1" customWidth="1"/>
    <col min="16" max="16" width="7.83203125" style="1" customWidth="1"/>
    <col min="17" max="17" width="58.16015625" style="1" customWidth="1"/>
    <col min="18" max="18" width="72.66015625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186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 t="s">
        <v>0</v>
      </c>
    </row>
    <row r="2" spans="1:23" ht="12">
      <c r="A2" s="161" t="s">
        <v>321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1</v>
      </c>
    </row>
    <row r="3" spans="1:23" ht="12">
      <c r="A3" s="161" t="s">
        <v>209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305</v>
      </c>
    </row>
    <row r="4" spans="4:23" ht="12">
      <c r="D4" s="3" t="s">
        <v>2</v>
      </c>
      <c r="E4" s="130">
        <v>2005</v>
      </c>
      <c r="W4" s="2" t="s">
        <v>365</v>
      </c>
    </row>
    <row r="5" spans="1:12" ht="12">
      <c r="A5" s="2" t="s">
        <v>3</v>
      </c>
      <c r="L5" s="2" t="s">
        <v>208</v>
      </c>
    </row>
    <row r="6" spans="1:16" ht="15.75">
      <c r="A6" s="2" t="s">
        <v>4</v>
      </c>
      <c r="L6" s="2" t="s">
        <v>306</v>
      </c>
      <c r="P6" s="5" t="s">
        <v>164</v>
      </c>
    </row>
    <row r="7" spans="12:21" ht="19.5">
      <c r="L7" s="2" t="s">
        <v>5</v>
      </c>
      <c r="P7" s="6"/>
      <c r="U7" s="5" t="s">
        <v>223</v>
      </c>
    </row>
    <row r="8" spans="12:13" ht="12">
      <c r="L8" s="4" t="s">
        <v>6</v>
      </c>
      <c r="M8" s="4"/>
    </row>
    <row r="9" spans="17:24" ht="12.75">
      <c r="Q9" s="7"/>
      <c r="R9" s="7"/>
      <c r="S9" s="7"/>
      <c r="T9" s="8" t="s">
        <v>7</v>
      </c>
      <c r="U9" s="7"/>
      <c r="V9" s="7"/>
      <c r="W9" s="7"/>
      <c r="X9" s="7"/>
    </row>
    <row r="10" spans="17:24" ht="12.75">
      <c r="Q10" s="7"/>
      <c r="R10" s="7"/>
      <c r="S10" s="8" t="s">
        <v>8</v>
      </c>
      <c r="T10" s="9" t="s">
        <v>210</v>
      </c>
      <c r="U10" s="10" t="s">
        <v>9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10</v>
      </c>
      <c r="I11" s="12" t="s">
        <v>10</v>
      </c>
      <c r="J11" s="12"/>
      <c r="K11" s="12" t="s">
        <v>11</v>
      </c>
      <c r="L11" s="12" t="s">
        <v>11</v>
      </c>
      <c r="M11" s="12"/>
      <c r="N11" s="12"/>
      <c r="Q11" s="7"/>
      <c r="R11" s="7"/>
      <c r="S11" s="9" t="s">
        <v>12</v>
      </c>
      <c r="T11" s="9" t="s">
        <v>12</v>
      </c>
      <c r="U11" s="13" t="s">
        <v>13</v>
      </c>
      <c r="V11" s="14"/>
      <c r="W11" s="7"/>
      <c r="X11" s="7"/>
    </row>
    <row r="12" spans="1:24" ht="12.75">
      <c r="A12" s="9"/>
      <c r="B12" s="15"/>
      <c r="C12" s="15"/>
      <c r="D12" s="15" t="s">
        <v>14</v>
      </c>
      <c r="E12" s="15"/>
      <c r="F12" s="15"/>
      <c r="G12" s="15" t="s">
        <v>15</v>
      </c>
      <c r="H12" s="15" t="s">
        <v>16</v>
      </c>
      <c r="I12" s="15" t="s">
        <v>17</v>
      </c>
      <c r="J12" s="15"/>
      <c r="K12" s="15" t="s">
        <v>18</v>
      </c>
      <c r="L12" s="15" t="s">
        <v>18</v>
      </c>
      <c r="M12" s="15" t="s">
        <v>11</v>
      </c>
      <c r="N12" s="15" t="s">
        <v>11</v>
      </c>
      <c r="P12" s="4"/>
      <c r="Q12" s="16" t="s">
        <v>211</v>
      </c>
      <c r="R12" s="16" t="s">
        <v>20</v>
      </c>
      <c r="S12" s="17" t="s">
        <v>21</v>
      </c>
      <c r="T12" s="17" t="s">
        <v>21</v>
      </c>
      <c r="U12" s="16" t="s">
        <v>22</v>
      </c>
      <c r="V12" s="16" t="s">
        <v>23</v>
      </c>
      <c r="W12" s="16" t="s">
        <v>22</v>
      </c>
      <c r="X12" s="16" t="s">
        <v>23</v>
      </c>
    </row>
    <row r="13" spans="1:26" ht="12.75">
      <c r="A13" s="9"/>
      <c r="B13" s="15"/>
      <c r="C13" s="15" t="s">
        <v>14</v>
      </c>
      <c r="D13" s="15" t="s">
        <v>18</v>
      </c>
      <c r="E13" s="15" t="s">
        <v>24</v>
      </c>
      <c r="F13" s="15" t="s">
        <v>24</v>
      </c>
      <c r="G13" s="15" t="s">
        <v>25</v>
      </c>
      <c r="H13" s="15" t="s">
        <v>26</v>
      </c>
      <c r="I13" s="15" t="s">
        <v>26</v>
      </c>
      <c r="J13" s="15"/>
      <c r="K13" s="15" t="s">
        <v>17</v>
      </c>
      <c r="L13" s="15" t="s">
        <v>17</v>
      </c>
      <c r="M13" s="15" t="s">
        <v>16</v>
      </c>
      <c r="N13" s="15" t="s">
        <v>16</v>
      </c>
      <c r="P13" s="124" t="s">
        <v>144</v>
      </c>
      <c r="Q13" s="146" t="s">
        <v>157</v>
      </c>
      <c r="R13" s="19" t="s">
        <v>293</v>
      </c>
      <c r="S13" s="20">
        <v>1755786</v>
      </c>
      <c r="T13" s="20">
        <v>1300000</v>
      </c>
      <c r="U13" s="53">
        <v>36892</v>
      </c>
      <c r="V13" s="53">
        <v>38322</v>
      </c>
      <c r="W13" s="53">
        <v>36923</v>
      </c>
      <c r="X13" s="53">
        <v>38687</v>
      </c>
      <c r="Y13" s="105"/>
      <c r="Z13" s="105"/>
    </row>
    <row r="14" spans="1:24" ht="12.75">
      <c r="A14" s="17" t="s">
        <v>27</v>
      </c>
      <c r="B14" s="21" t="s">
        <v>28</v>
      </c>
      <c r="C14" s="21" t="s">
        <v>16</v>
      </c>
      <c r="D14" s="21" t="s">
        <v>17</v>
      </c>
      <c r="E14" s="21" t="s">
        <v>29</v>
      </c>
      <c r="F14" s="21" t="s">
        <v>15</v>
      </c>
      <c r="G14" s="21" t="s">
        <v>17</v>
      </c>
      <c r="H14" s="21" t="s">
        <v>30</v>
      </c>
      <c r="I14" s="21" t="s">
        <v>30</v>
      </c>
      <c r="J14" s="21" t="s">
        <v>24</v>
      </c>
      <c r="K14" s="21" t="s">
        <v>31</v>
      </c>
      <c r="L14" s="21" t="s">
        <v>32</v>
      </c>
      <c r="M14" s="21" t="s">
        <v>31</v>
      </c>
      <c r="N14" s="21" t="s">
        <v>32</v>
      </c>
      <c r="P14" s="104" t="s">
        <v>178</v>
      </c>
      <c r="Q14" s="145" t="s">
        <v>184</v>
      </c>
      <c r="R14" s="22" t="s">
        <v>290</v>
      </c>
      <c r="S14" s="24">
        <v>3744744</v>
      </c>
      <c r="T14" s="24">
        <v>3000000</v>
      </c>
      <c r="U14" s="54">
        <v>37742</v>
      </c>
      <c r="V14" s="54">
        <v>38687</v>
      </c>
      <c r="W14" s="54">
        <v>37803</v>
      </c>
      <c r="X14" s="54">
        <v>38687</v>
      </c>
    </row>
    <row r="15" spans="1:24" ht="12.75">
      <c r="A15" s="9">
        <v>80</v>
      </c>
      <c r="B15" s="14" t="s">
        <v>224</v>
      </c>
      <c r="C15" s="110">
        <f>5548458.19+452007.17</f>
        <v>6000465.36</v>
      </c>
      <c r="D15" s="110">
        <v>4080000</v>
      </c>
      <c r="E15" s="112">
        <f aca="true" t="shared" si="0" ref="E15:E32">C15-D15</f>
        <v>1920465.3600000003</v>
      </c>
      <c r="F15" s="31">
        <f aca="true" t="shared" si="1" ref="F15:F33">C15/D15</f>
        <v>1.470702294117647</v>
      </c>
      <c r="G15" s="32">
        <f aca="true" t="shared" si="2" ref="G15:G32">D15/(D$33+D$80)</f>
        <v>0.2370751205640296</v>
      </c>
      <c r="H15" s="33"/>
      <c r="I15" s="33"/>
      <c r="J15" s="33"/>
      <c r="K15" s="33"/>
      <c r="L15" s="33"/>
      <c r="M15" s="33"/>
      <c r="N15" s="33"/>
      <c r="P15" s="102" t="s">
        <v>180</v>
      </c>
      <c r="Q15" s="145" t="s">
        <v>185</v>
      </c>
      <c r="R15" s="22" t="s">
        <v>291</v>
      </c>
      <c r="S15" s="20">
        <v>999181</v>
      </c>
      <c r="T15" s="20">
        <v>1320000</v>
      </c>
      <c r="U15" s="54">
        <v>37622</v>
      </c>
      <c r="V15" s="54">
        <v>38169</v>
      </c>
      <c r="W15" s="54">
        <v>37773</v>
      </c>
      <c r="X15" s="54">
        <v>38687</v>
      </c>
    </row>
    <row r="16" spans="1:24" ht="12.75">
      <c r="A16" s="9">
        <v>81</v>
      </c>
      <c r="B16" s="14" t="s">
        <v>225</v>
      </c>
      <c r="C16" s="110">
        <f>454472.93+34596.56</f>
        <v>489069.49</v>
      </c>
      <c r="D16" s="110">
        <v>600000</v>
      </c>
      <c r="E16" s="112">
        <f t="shared" si="0"/>
        <v>-110930.51000000001</v>
      </c>
      <c r="F16" s="31">
        <f t="shared" si="1"/>
        <v>0.8151158166666667</v>
      </c>
      <c r="G16" s="35">
        <f t="shared" si="2"/>
        <v>0.03486398831823965</v>
      </c>
      <c r="H16" s="33"/>
      <c r="I16" s="33"/>
      <c r="J16" s="33"/>
      <c r="K16" s="33"/>
      <c r="L16" s="33"/>
      <c r="M16" s="33"/>
      <c r="N16" s="33"/>
      <c r="P16" s="101" t="s">
        <v>142</v>
      </c>
      <c r="Q16" s="147" t="s">
        <v>156</v>
      </c>
      <c r="R16" s="64" t="s">
        <v>292</v>
      </c>
      <c r="S16" s="65">
        <v>675097</v>
      </c>
      <c r="T16" s="125">
        <v>650000</v>
      </c>
      <c r="U16" s="126">
        <v>36892</v>
      </c>
      <c r="V16" s="66">
        <v>37742</v>
      </c>
      <c r="W16" s="66">
        <v>37500</v>
      </c>
      <c r="X16" s="66">
        <v>38687</v>
      </c>
    </row>
    <row r="17" spans="1:24" ht="12.75">
      <c r="A17" s="9">
        <v>82</v>
      </c>
      <c r="B17" s="14" t="s">
        <v>226</v>
      </c>
      <c r="C17" s="110">
        <v>676942.06</v>
      </c>
      <c r="D17" s="110">
        <v>255000</v>
      </c>
      <c r="E17" s="112">
        <f t="shared" si="0"/>
        <v>421942.06000000006</v>
      </c>
      <c r="F17" s="31">
        <f t="shared" si="1"/>
        <v>2.6546747450980392</v>
      </c>
      <c r="G17" s="35">
        <f t="shared" si="2"/>
        <v>0.01481719503525185</v>
      </c>
      <c r="H17" s="33"/>
      <c r="I17" s="33"/>
      <c r="J17" s="33"/>
      <c r="K17" s="33"/>
      <c r="L17" s="33"/>
      <c r="M17" s="33"/>
      <c r="N17" s="33"/>
      <c r="P17" s="67"/>
      <c r="Q17" s="17" t="s">
        <v>35</v>
      </c>
      <c r="R17" s="61"/>
      <c r="S17" s="61">
        <f>SUM(S13:S16)</f>
        <v>7174808</v>
      </c>
      <c r="T17" s="61">
        <f>SUM(T13:T16)</f>
        <v>6270000</v>
      </c>
      <c r="U17" s="68"/>
      <c r="V17" s="68"/>
      <c r="W17" s="68"/>
      <c r="X17" s="68"/>
    </row>
    <row r="18" spans="1:24" ht="12.75">
      <c r="A18" s="9">
        <v>83</v>
      </c>
      <c r="B18" s="14" t="s">
        <v>227</v>
      </c>
      <c r="C18" s="110">
        <v>23369.65</v>
      </c>
      <c r="D18" s="110">
        <v>25500</v>
      </c>
      <c r="E18" s="112">
        <f t="shared" si="0"/>
        <v>-2130.3499999999985</v>
      </c>
      <c r="F18" s="31">
        <f t="shared" si="1"/>
        <v>0.9164568627450981</v>
      </c>
      <c r="G18" s="35">
        <f t="shared" si="2"/>
        <v>0.001481719503525185</v>
      </c>
      <c r="H18" s="33"/>
      <c r="I18" s="33"/>
      <c r="J18" s="33"/>
      <c r="K18" s="33"/>
      <c r="L18" s="33"/>
      <c r="M18" s="33"/>
      <c r="N18" s="33"/>
      <c r="P18" s="67"/>
      <c r="Q18" s="67"/>
      <c r="R18" s="108"/>
      <c r="S18" s="108"/>
      <c r="T18" s="108"/>
      <c r="U18" s="68"/>
      <c r="V18" s="68"/>
      <c r="W18" s="68"/>
      <c r="X18" s="68"/>
    </row>
    <row r="19" spans="1:24" ht="12.75">
      <c r="A19" s="9">
        <v>84</v>
      </c>
      <c r="B19" s="14" t="s">
        <v>228</v>
      </c>
      <c r="C19" s="110">
        <v>547823.42</v>
      </c>
      <c r="D19" s="110">
        <v>300000</v>
      </c>
      <c r="E19" s="112">
        <f t="shared" si="0"/>
        <v>247823.42000000004</v>
      </c>
      <c r="F19" s="31">
        <f t="shared" si="1"/>
        <v>1.8260780666666667</v>
      </c>
      <c r="G19" s="35">
        <f t="shared" si="2"/>
        <v>0.017431994159119824</v>
      </c>
      <c r="H19" s="33"/>
      <c r="I19" s="33"/>
      <c r="J19" s="33"/>
      <c r="K19" s="33"/>
      <c r="L19" s="33"/>
      <c r="M19" s="33"/>
      <c r="N19" s="33"/>
      <c r="P19" s="67"/>
      <c r="Q19" s="67"/>
      <c r="R19" s="108"/>
      <c r="S19" s="108"/>
      <c r="T19" s="108"/>
      <c r="U19" s="68"/>
      <c r="V19" s="68"/>
      <c r="W19" s="68"/>
      <c r="X19" s="68"/>
    </row>
    <row r="20" spans="1:24" ht="12.75">
      <c r="A20" s="9">
        <v>85</v>
      </c>
      <c r="B20" s="14" t="s">
        <v>229</v>
      </c>
      <c r="C20" s="110">
        <f>748960.46-10000</f>
        <v>738960.46</v>
      </c>
      <c r="D20" s="110">
        <v>500000</v>
      </c>
      <c r="E20" s="112">
        <f t="shared" si="0"/>
        <v>238960.45999999996</v>
      </c>
      <c r="F20" s="31">
        <f t="shared" si="1"/>
        <v>1.4779209199999999</v>
      </c>
      <c r="G20" s="35">
        <f t="shared" si="2"/>
        <v>0.029053323598533038</v>
      </c>
      <c r="H20" s="33"/>
      <c r="I20" s="33"/>
      <c r="J20" s="33"/>
      <c r="K20" s="33"/>
      <c r="L20" s="33"/>
      <c r="M20" s="33"/>
      <c r="N20" s="33"/>
      <c r="P20" s="67"/>
      <c r="Q20" s="67"/>
      <c r="R20" s="108"/>
      <c r="S20" s="108"/>
      <c r="T20" s="108"/>
      <c r="U20" s="68"/>
      <c r="V20" s="68"/>
      <c r="W20" s="68"/>
      <c r="X20" s="68"/>
    </row>
    <row r="21" spans="1:24" ht="12.75">
      <c r="A21" s="9">
        <v>86</v>
      </c>
      <c r="B21" s="14" t="s">
        <v>230</v>
      </c>
      <c r="C21" s="110">
        <f>1213384.5+68105.23</f>
        <v>1281489.73</v>
      </c>
      <c r="D21" s="110">
        <v>1157000</v>
      </c>
      <c r="E21" s="112">
        <f t="shared" si="0"/>
        <v>124489.72999999998</v>
      </c>
      <c r="F21" s="31">
        <f t="shared" si="1"/>
        <v>1.1075970008643041</v>
      </c>
      <c r="G21" s="35">
        <f t="shared" si="2"/>
        <v>0.06722939080700545</v>
      </c>
      <c r="H21" s="33"/>
      <c r="I21" s="33"/>
      <c r="J21" s="33"/>
      <c r="K21" s="33"/>
      <c r="L21" s="33"/>
      <c r="M21" s="33"/>
      <c r="N21" s="33"/>
      <c r="P21" s="67"/>
      <c r="Q21" s="67"/>
      <c r="R21" s="108"/>
      <c r="S21" s="108"/>
      <c r="T21" s="108"/>
      <c r="U21" s="68"/>
      <c r="V21" s="68"/>
      <c r="W21" s="68"/>
      <c r="X21" s="68"/>
    </row>
    <row r="22" spans="1:24" ht="12.75">
      <c r="A22" s="9">
        <v>87</v>
      </c>
      <c r="B22" s="14" t="s">
        <v>231</v>
      </c>
      <c r="C22" s="110">
        <f>292823.46+600.53+192501.16</f>
        <v>485925.15</v>
      </c>
      <c r="D22" s="110">
        <v>416800</v>
      </c>
      <c r="E22" s="112">
        <f t="shared" si="0"/>
        <v>69125.15000000002</v>
      </c>
      <c r="F22" s="31">
        <f t="shared" si="1"/>
        <v>1.1658472888675624</v>
      </c>
      <c r="G22" s="35">
        <f t="shared" si="2"/>
        <v>0.024218850551737142</v>
      </c>
      <c r="H22" s="33"/>
      <c r="I22" s="33"/>
      <c r="J22" s="33"/>
      <c r="K22" s="33"/>
      <c r="L22" s="33"/>
      <c r="M22" s="33"/>
      <c r="N22" s="33"/>
      <c r="P22" s="67"/>
      <c r="Q22" s="67"/>
      <c r="R22" s="108"/>
      <c r="S22" s="108"/>
      <c r="T22" s="108"/>
      <c r="U22" s="68"/>
      <c r="V22" s="68"/>
      <c r="W22" s="68"/>
      <c r="X22" s="68"/>
    </row>
    <row r="23" spans="1:24" ht="12.75">
      <c r="A23" s="9">
        <v>88</v>
      </c>
      <c r="B23" s="14" t="s">
        <v>232</v>
      </c>
      <c r="C23" s="110">
        <f>954860.21+109820.37</f>
        <v>1064680.58</v>
      </c>
      <c r="D23" s="110">
        <v>1121500</v>
      </c>
      <c r="E23" s="112">
        <f t="shared" si="0"/>
        <v>-56819.419999999925</v>
      </c>
      <c r="F23" s="31">
        <f t="shared" si="1"/>
        <v>0.9493362282657156</v>
      </c>
      <c r="G23" s="35">
        <f t="shared" si="2"/>
        <v>0.06516660483150961</v>
      </c>
      <c r="H23" s="33"/>
      <c r="I23" s="33"/>
      <c r="J23" s="33"/>
      <c r="K23" s="33"/>
      <c r="L23" s="33"/>
      <c r="M23" s="33"/>
      <c r="N23" s="33"/>
      <c r="P23" s="67"/>
      <c r="Q23" s="67"/>
      <c r="R23" s="108"/>
      <c r="S23" s="108"/>
      <c r="T23" s="108"/>
      <c r="U23" s="68"/>
      <c r="V23" s="68"/>
      <c r="W23" s="68"/>
      <c r="X23" s="68"/>
    </row>
    <row r="24" spans="1:24" ht="12.75">
      <c r="A24" s="9">
        <v>89</v>
      </c>
      <c r="B24" s="14" t="s">
        <v>233</v>
      </c>
      <c r="C24" s="110">
        <v>81510.92</v>
      </c>
      <c r="D24" s="110">
        <v>75500</v>
      </c>
      <c r="E24" s="112">
        <f t="shared" si="0"/>
        <v>6010.919999999998</v>
      </c>
      <c r="F24" s="31">
        <f t="shared" si="1"/>
        <v>1.0796148344370862</v>
      </c>
      <c r="G24" s="35">
        <f t="shared" si="2"/>
        <v>0.004387051863378489</v>
      </c>
      <c r="H24" s="33"/>
      <c r="I24" s="33"/>
      <c r="J24" s="33"/>
      <c r="K24" s="33"/>
      <c r="L24" s="33"/>
      <c r="M24" s="33"/>
      <c r="N24" s="33"/>
      <c r="P24" s="67"/>
      <c r="Q24" s="67"/>
      <c r="R24" s="108"/>
      <c r="S24" s="108"/>
      <c r="T24" s="108"/>
      <c r="U24" s="68"/>
      <c r="V24" s="68"/>
      <c r="W24" s="68"/>
      <c r="X24" s="68"/>
    </row>
    <row r="25" spans="1:24" ht="12.75">
      <c r="A25" s="9">
        <v>90</v>
      </c>
      <c r="B25" s="14" t="s">
        <v>234</v>
      </c>
      <c r="C25" s="110">
        <f>48093.34+45437.76</f>
        <v>93531.1</v>
      </c>
      <c r="D25" s="110">
        <v>55000</v>
      </c>
      <c r="E25" s="112">
        <f t="shared" si="0"/>
        <v>38531.100000000006</v>
      </c>
      <c r="F25" s="31">
        <f t="shared" si="1"/>
        <v>1.7005654545454547</v>
      </c>
      <c r="G25" s="35">
        <f t="shared" si="2"/>
        <v>0.0031958655958386345</v>
      </c>
      <c r="H25" s="33"/>
      <c r="I25" s="33"/>
      <c r="J25" s="33"/>
      <c r="K25" s="33"/>
      <c r="L25" s="33"/>
      <c r="M25" s="33"/>
      <c r="N25" s="33"/>
      <c r="P25" s="67"/>
      <c r="Q25" s="67"/>
      <c r="R25" s="108"/>
      <c r="S25" s="108"/>
      <c r="T25" s="108"/>
      <c r="U25" s="68"/>
      <c r="V25" s="68"/>
      <c r="W25" s="68"/>
      <c r="X25" s="68"/>
    </row>
    <row r="26" spans="1:24" ht="12.75">
      <c r="A26" s="9">
        <v>91</v>
      </c>
      <c r="B26" s="14" t="s">
        <v>235</v>
      </c>
      <c r="C26" s="110">
        <f>5561.1+971.85</f>
        <v>6532.950000000001</v>
      </c>
      <c r="D26" s="110">
        <v>0</v>
      </c>
      <c r="E26" s="112">
        <f t="shared" si="0"/>
        <v>6532.950000000001</v>
      </c>
      <c r="F26" s="31"/>
      <c r="G26" s="35">
        <f t="shared" si="2"/>
        <v>0</v>
      </c>
      <c r="H26" s="33"/>
      <c r="I26" s="33"/>
      <c r="J26" s="33"/>
      <c r="K26" s="33"/>
      <c r="L26" s="33"/>
      <c r="M26" s="33"/>
      <c r="N26" s="33"/>
      <c r="P26" s="67"/>
      <c r="Q26" s="67"/>
      <c r="R26" s="108"/>
      <c r="S26" s="108"/>
      <c r="T26" s="108"/>
      <c r="U26" s="68"/>
      <c r="V26" s="68"/>
      <c r="W26" s="68"/>
      <c r="X26" s="68"/>
    </row>
    <row r="27" spans="1:24" ht="12.75">
      <c r="A27" s="9">
        <v>92</v>
      </c>
      <c r="B27" s="14" t="s">
        <v>236</v>
      </c>
      <c r="C27" s="110">
        <f>197986.81+4128.89</f>
        <v>202115.7</v>
      </c>
      <c r="D27" s="110">
        <v>160000</v>
      </c>
      <c r="E27" s="112">
        <f t="shared" si="0"/>
        <v>42115.70000000001</v>
      </c>
      <c r="F27" s="31">
        <f t="shared" si="1"/>
        <v>1.2632231250000001</v>
      </c>
      <c r="G27" s="35">
        <f t="shared" si="2"/>
        <v>0.009297063551530572</v>
      </c>
      <c r="H27" s="33"/>
      <c r="I27" s="33"/>
      <c r="J27" s="33"/>
      <c r="K27" s="33"/>
      <c r="L27" s="33"/>
      <c r="M27" s="33"/>
      <c r="N27" s="33"/>
      <c r="P27" s="67"/>
      <c r="Q27" s="67"/>
      <c r="R27" s="108"/>
      <c r="S27" s="108"/>
      <c r="T27" s="108"/>
      <c r="U27" s="68"/>
      <c r="V27" s="68"/>
      <c r="W27" s="68"/>
      <c r="X27" s="68"/>
    </row>
    <row r="28" spans="1:24" ht="12.75">
      <c r="A28" s="9">
        <v>93</v>
      </c>
      <c r="B28" s="109" t="s">
        <v>280</v>
      </c>
      <c r="C28" s="110">
        <f>301056.02+343.44+139863.42</f>
        <v>441262.88</v>
      </c>
      <c r="D28" s="110">
        <v>350000</v>
      </c>
      <c r="E28" s="112">
        <f t="shared" si="0"/>
        <v>91262.88</v>
      </c>
      <c r="F28" s="31">
        <f t="shared" si="1"/>
        <v>1.2607510857142856</v>
      </c>
      <c r="G28" s="35">
        <f t="shared" si="2"/>
        <v>0.020337326518973128</v>
      </c>
      <c r="H28" s="33"/>
      <c r="I28" s="33"/>
      <c r="J28" s="33"/>
      <c r="K28" s="33"/>
      <c r="L28" s="33"/>
      <c r="M28" s="33"/>
      <c r="N28" s="33"/>
      <c r="P28" s="67"/>
      <c r="U28" s="68"/>
      <c r="V28" s="68"/>
      <c r="W28" s="68"/>
      <c r="X28" s="68"/>
    </row>
    <row r="29" spans="1:24" ht="12.75">
      <c r="A29" s="9">
        <v>94</v>
      </c>
      <c r="B29" s="109" t="s">
        <v>281</v>
      </c>
      <c r="C29" s="110">
        <v>10170.33</v>
      </c>
      <c r="D29" s="110">
        <v>50000</v>
      </c>
      <c r="E29" s="112">
        <f t="shared" si="0"/>
        <v>-39829.67</v>
      </c>
      <c r="F29" s="31">
        <f t="shared" si="1"/>
        <v>0.2034066</v>
      </c>
      <c r="G29" s="35">
        <f t="shared" si="2"/>
        <v>0.002905332359853304</v>
      </c>
      <c r="H29" s="33"/>
      <c r="I29" s="33"/>
      <c r="J29" s="33"/>
      <c r="K29" s="33"/>
      <c r="L29" s="33"/>
      <c r="M29" s="33"/>
      <c r="N29" s="33"/>
      <c r="P29" s="67"/>
      <c r="U29" s="68"/>
      <c r="V29" s="68"/>
      <c r="W29" s="68"/>
      <c r="X29" s="68"/>
    </row>
    <row r="30" spans="1:24" ht="12.75" customHeight="1">
      <c r="A30" s="9">
        <v>95</v>
      </c>
      <c r="B30" s="118" t="s">
        <v>282</v>
      </c>
      <c r="C30" s="110">
        <v>167211.77</v>
      </c>
      <c r="D30" s="110">
        <v>0</v>
      </c>
      <c r="E30" s="112">
        <f t="shared" si="0"/>
        <v>167211.77</v>
      </c>
      <c r="F30" s="31"/>
      <c r="G30" s="35">
        <f t="shared" si="2"/>
        <v>0</v>
      </c>
      <c r="H30" s="33"/>
      <c r="I30" s="33"/>
      <c r="J30" s="33"/>
      <c r="K30" s="33"/>
      <c r="L30" s="33"/>
      <c r="M30" s="33"/>
      <c r="N30" s="33"/>
      <c r="P30" s="7"/>
      <c r="U30" s="7"/>
      <c r="V30" s="7"/>
      <c r="W30" s="7"/>
      <c r="X30" s="7"/>
    </row>
    <row r="31" spans="1:14" ht="12.75">
      <c r="A31" s="9">
        <v>96</v>
      </c>
      <c r="B31" s="14" t="s">
        <v>237</v>
      </c>
      <c r="C31" s="110">
        <v>0</v>
      </c>
      <c r="D31" s="110">
        <v>0</v>
      </c>
      <c r="E31" s="112">
        <f t="shared" si="0"/>
        <v>0</v>
      </c>
      <c r="F31" s="31"/>
      <c r="G31" s="35">
        <f t="shared" si="2"/>
        <v>0</v>
      </c>
      <c r="H31" s="33"/>
      <c r="I31" s="33"/>
      <c r="J31" s="33"/>
      <c r="K31" s="33"/>
      <c r="L31" s="33"/>
      <c r="M31" s="33"/>
      <c r="N31" s="33"/>
    </row>
    <row r="32" spans="1:14" ht="12.75">
      <c r="A32" s="17">
        <v>97</v>
      </c>
      <c r="B32" s="25" t="s">
        <v>238</v>
      </c>
      <c r="C32" s="111">
        <v>0</v>
      </c>
      <c r="D32" s="111">
        <v>0</v>
      </c>
      <c r="E32" s="112">
        <f t="shared" si="0"/>
        <v>0</v>
      </c>
      <c r="F32" s="72"/>
      <c r="G32" s="72">
        <f t="shared" si="2"/>
        <v>0</v>
      </c>
      <c r="H32" s="33"/>
      <c r="I32" s="33"/>
      <c r="J32" s="33"/>
      <c r="K32" s="33"/>
      <c r="L32" s="33"/>
      <c r="M32" s="33"/>
      <c r="N32" s="33"/>
    </row>
    <row r="33" spans="1:14" ht="12.75">
      <c r="A33" s="26"/>
      <c r="B33" s="27" t="s">
        <v>33</v>
      </c>
      <c r="C33" s="39">
        <f>SUM(C15:C32)</f>
        <v>12311061.55</v>
      </c>
      <c r="D33" s="39">
        <f>SUM(D15:D32)</f>
        <v>9146300</v>
      </c>
      <c r="E33" s="39">
        <f>SUM(E15:E32)</f>
        <v>3164761.5500000003</v>
      </c>
      <c r="F33" s="37">
        <f t="shared" si="1"/>
        <v>1.346015498070258</v>
      </c>
      <c r="G33" s="40"/>
      <c r="H33" s="33"/>
      <c r="I33" s="33"/>
      <c r="J33" s="33"/>
      <c r="K33" s="33"/>
      <c r="L33" s="33"/>
      <c r="M33" s="33"/>
      <c r="N33" s="33"/>
    </row>
    <row r="34" spans="1:14" ht="12.75">
      <c r="A34" s="26"/>
      <c r="B34" s="27" t="s">
        <v>239</v>
      </c>
      <c r="C34" s="39">
        <f>C15</f>
        <v>6000465.36</v>
      </c>
      <c r="D34" s="39">
        <f>D15</f>
        <v>4080000</v>
      </c>
      <c r="E34" s="39">
        <f>E15</f>
        <v>1920465.3600000003</v>
      </c>
      <c r="F34" s="40"/>
      <c r="G34" s="40"/>
      <c r="H34" s="33"/>
      <c r="I34" s="33"/>
      <c r="J34" s="33"/>
      <c r="K34" s="33"/>
      <c r="L34" s="33"/>
      <c r="M34" s="33"/>
      <c r="N34" s="33"/>
    </row>
    <row r="35" spans="1:14" ht="12.75">
      <c r="A35" s="26"/>
      <c r="B35" s="27" t="s">
        <v>240</v>
      </c>
      <c r="C35" s="39">
        <f>C33-C34</f>
        <v>6310596.19</v>
      </c>
      <c r="D35" s="39">
        <f>D33-D34</f>
        <v>5066300</v>
      </c>
      <c r="E35" s="39">
        <f>E33-E34</f>
        <v>1244296.19</v>
      </c>
      <c r="F35" s="41">
        <f>C35/D35</f>
        <v>1.2456025482107258</v>
      </c>
      <c r="G35" s="40"/>
      <c r="H35" s="33"/>
      <c r="I35" s="33"/>
      <c r="J35" s="33"/>
      <c r="K35" s="33"/>
      <c r="L35" s="33"/>
      <c r="M35" s="33"/>
      <c r="N35" s="33"/>
    </row>
    <row r="36" spans="1:14" ht="12.75">
      <c r="A36" s="26"/>
      <c r="B36" s="7"/>
      <c r="C36" s="42"/>
      <c r="D36" s="42"/>
      <c r="E36" s="42"/>
      <c r="F36" s="40"/>
      <c r="G36" s="40"/>
      <c r="H36" s="33"/>
      <c r="I36" s="33"/>
      <c r="J36" s="33"/>
      <c r="K36" s="33"/>
      <c r="L36" s="33"/>
      <c r="M36" s="33"/>
      <c r="N36" s="33"/>
    </row>
    <row r="37" spans="1:14" ht="12.75">
      <c r="A37" s="26"/>
      <c r="B37" s="7"/>
      <c r="C37" s="42"/>
      <c r="D37" s="42"/>
      <c r="E37" s="42"/>
      <c r="F37" s="40"/>
      <c r="G37" s="40"/>
      <c r="H37" s="33"/>
      <c r="I37" s="33"/>
      <c r="J37" s="33"/>
      <c r="K37" s="33"/>
      <c r="L37" s="33"/>
      <c r="M37" s="33"/>
      <c r="N37" s="33"/>
    </row>
    <row r="38" spans="1:14" ht="12.75">
      <c r="A38" s="26"/>
      <c r="B38" s="7"/>
      <c r="C38" s="42"/>
      <c r="D38" s="42"/>
      <c r="E38" s="42"/>
      <c r="F38" s="40"/>
      <c r="G38" s="40"/>
      <c r="H38" s="33"/>
      <c r="I38" s="33"/>
      <c r="J38" s="33"/>
      <c r="K38" s="33"/>
      <c r="L38" s="33"/>
      <c r="M38" s="33"/>
      <c r="N38" s="33"/>
    </row>
    <row r="39" spans="1:14" ht="12.75">
      <c r="A39" s="26"/>
      <c r="B39" s="7"/>
      <c r="C39" s="42"/>
      <c r="D39" s="42"/>
      <c r="E39" s="42"/>
      <c r="F39" s="40"/>
      <c r="G39" s="40"/>
      <c r="H39" s="33"/>
      <c r="I39" s="33"/>
      <c r="J39" s="33"/>
      <c r="K39" s="33"/>
      <c r="L39" s="33"/>
      <c r="M39" s="33"/>
      <c r="N39" s="33"/>
    </row>
    <row r="40" spans="1:14" ht="12">
      <c r="A40" s="161" t="s">
        <v>186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</row>
    <row r="41" spans="1:14" ht="12">
      <c r="A41" s="161" t="str">
        <f>A2</f>
        <v>Case No. 2008-00427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</row>
    <row r="42" spans="1:14" ht="12">
      <c r="A42" s="161" t="s">
        <v>209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4:5" ht="12">
      <c r="D43" s="3" t="s">
        <v>2</v>
      </c>
      <c r="E43" s="130">
        <v>2005</v>
      </c>
    </row>
    <row r="44" spans="1:12" ht="12">
      <c r="A44" s="2" t="s">
        <v>3</v>
      </c>
      <c r="L44" s="2" t="s">
        <v>208</v>
      </c>
    </row>
    <row r="45" spans="1:12" ht="12">
      <c r="A45" s="2" t="s">
        <v>4</v>
      </c>
      <c r="L45" s="2" t="s">
        <v>307</v>
      </c>
    </row>
    <row r="46" ht="12">
      <c r="L46" s="2" t="s">
        <v>5</v>
      </c>
    </row>
    <row r="47" spans="12:13" ht="12">
      <c r="L47" s="4" t="s">
        <v>6</v>
      </c>
      <c r="M47" s="4"/>
    </row>
    <row r="50" spans="1:14" ht="12.75">
      <c r="A50" s="8"/>
      <c r="B50" s="12"/>
      <c r="C50" s="12"/>
      <c r="D50" s="12"/>
      <c r="E50" s="12"/>
      <c r="F50" s="12"/>
      <c r="G50" s="12"/>
      <c r="H50" s="12" t="s">
        <v>10</v>
      </c>
      <c r="I50" s="12" t="s">
        <v>10</v>
      </c>
      <c r="J50" s="12"/>
      <c r="K50" s="12" t="s">
        <v>11</v>
      </c>
      <c r="L50" s="12" t="s">
        <v>11</v>
      </c>
      <c r="M50" s="12"/>
      <c r="N50" s="12"/>
    </row>
    <row r="51" spans="1:14" ht="12.75">
      <c r="A51" s="9"/>
      <c r="B51" s="15"/>
      <c r="C51" s="15"/>
      <c r="D51" s="15" t="s">
        <v>14</v>
      </c>
      <c r="E51" s="15"/>
      <c r="F51" s="15"/>
      <c r="G51" s="15" t="s">
        <v>15</v>
      </c>
      <c r="H51" s="15" t="s">
        <v>16</v>
      </c>
      <c r="I51" s="15" t="s">
        <v>17</v>
      </c>
      <c r="J51" s="15"/>
      <c r="K51" s="15" t="s">
        <v>18</v>
      </c>
      <c r="L51" s="15" t="s">
        <v>18</v>
      </c>
      <c r="M51" s="15" t="s">
        <v>11</v>
      </c>
      <c r="N51" s="15" t="s">
        <v>11</v>
      </c>
    </row>
    <row r="52" spans="1:14" ht="12.75">
      <c r="A52" s="9"/>
      <c r="B52" s="15"/>
      <c r="C52" s="15" t="s">
        <v>14</v>
      </c>
      <c r="D52" s="15" t="s">
        <v>18</v>
      </c>
      <c r="E52" s="15" t="s">
        <v>24</v>
      </c>
      <c r="F52" s="15" t="s">
        <v>24</v>
      </c>
      <c r="G52" s="15" t="s">
        <v>25</v>
      </c>
      <c r="H52" s="15" t="s">
        <v>26</v>
      </c>
      <c r="I52" s="15" t="s">
        <v>26</v>
      </c>
      <c r="J52" s="15"/>
      <c r="K52" s="15" t="s">
        <v>17</v>
      </c>
      <c r="L52" s="15" t="s">
        <v>17</v>
      </c>
      <c r="M52" s="15" t="s">
        <v>16</v>
      </c>
      <c r="N52" s="15" t="s">
        <v>16</v>
      </c>
    </row>
    <row r="53" spans="1:14" ht="12.75">
      <c r="A53" s="17" t="s">
        <v>27</v>
      </c>
      <c r="B53" s="21" t="s">
        <v>28</v>
      </c>
      <c r="C53" s="21" t="s">
        <v>16</v>
      </c>
      <c r="D53" s="21" t="s">
        <v>17</v>
      </c>
      <c r="E53" s="21" t="s">
        <v>29</v>
      </c>
      <c r="F53" s="21" t="s">
        <v>15</v>
      </c>
      <c r="G53" s="21" t="s">
        <v>17</v>
      </c>
      <c r="H53" s="21" t="s">
        <v>30</v>
      </c>
      <c r="I53" s="21" t="s">
        <v>30</v>
      </c>
      <c r="J53" s="21" t="s">
        <v>24</v>
      </c>
      <c r="K53" s="21" t="s">
        <v>31</v>
      </c>
      <c r="L53" s="21" t="s">
        <v>32</v>
      </c>
      <c r="M53" s="21" t="s">
        <v>31</v>
      </c>
      <c r="N53" s="21" t="s">
        <v>32</v>
      </c>
    </row>
    <row r="54" spans="1:14" ht="12.75">
      <c r="A54" s="56"/>
      <c r="B54" s="57" t="s">
        <v>19</v>
      </c>
      <c r="C54" s="58"/>
      <c r="D54" s="58"/>
      <c r="E54" s="58"/>
      <c r="F54" s="59"/>
      <c r="G54" s="59"/>
      <c r="H54" s="60"/>
      <c r="I54" s="60"/>
      <c r="J54" s="60"/>
      <c r="K54" s="60"/>
      <c r="L54" s="60"/>
      <c r="M54" s="60"/>
      <c r="N54" s="60"/>
    </row>
    <row r="55" spans="1:14" ht="12.75">
      <c r="A55" s="148" t="s">
        <v>141</v>
      </c>
      <c r="B55" s="146" t="s">
        <v>155</v>
      </c>
      <c r="C55" s="112">
        <v>11297.5</v>
      </c>
      <c r="D55" s="112">
        <v>0</v>
      </c>
      <c r="E55" s="113">
        <f aca="true" t="shared" si="3" ref="E55:E66">C55-D55</f>
        <v>11297.5</v>
      </c>
      <c r="F55" s="35"/>
      <c r="G55" s="35">
        <f aca="true" t="shared" si="4" ref="G55:G78">D55/(D$33+D$80)</f>
        <v>0</v>
      </c>
      <c r="H55" s="34"/>
      <c r="I55" s="34"/>
      <c r="J55" s="43">
        <f>H55-I55</f>
        <v>0</v>
      </c>
      <c r="K55" s="121">
        <v>36951</v>
      </c>
      <c r="L55" s="121">
        <v>37956</v>
      </c>
      <c r="M55" s="121">
        <v>36923</v>
      </c>
      <c r="N55" s="52">
        <v>38200</v>
      </c>
    </row>
    <row r="56" spans="1:14" ht="12.75">
      <c r="A56" s="148" t="s">
        <v>142</v>
      </c>
      <c r="B56" s="146" t="s">
        <v>156</v>
      </c>
      <c r="C56" s="112">
        <v>7866.43</v>
      </c>
      <c r="D56" s="112">
        <v>0</v>
      </c>
      <c r="E56" s="113">
        <f t="shared" si="3"/>
        <v>7866.43</v>
      </c>
      <c r="F56" s="35"/>
      <c r="G56" s="35">
        <f t="shared" si="4"/>
        <v>0</v>
      </c>
      <c r="H56" s="34">
        <v>675097</v>
      </c>
      <c r="I56" s="34">
        <v>650000</v>
      </c>
      <c r="J56" s="43">
        <f>H56-I56</f>
        <v>25097</v>
      </c>
      <c r="K56" s="121">
        <v>36892</v>
      </c>
      <c r="L56" s="121">
        <v>37742</v>
      </c>
      <c r="M56" s="121">
        <v>37500</v>
      </c>
      <c r="N56" s="52">
        <v>38687</v>
      </c>
    </row>
    <row r="57" spans="1:14" ht="12.75">
      <c r="A57" s="148" t="s">
        <v>144</v>
      </c>
      <c r="B57" s="146" t="s">
        <v>157</v>
      </c>
      <c r="C57" s="112">
        <v>928000.47</v>
      </c>
      <c r="D57" s="112">
        <v>766600</v>
      </c>
      <c r="E57" s="113">
        <f t="shared" si="3"/>
        <v>161400.46999999997</v>
      </c>
      <c r="F57" s="35">
        <f>C57/D57</f>
        <v>1.2105406600573962</v>
      </c>
      <c r="G57" s="35">
        <f t="shared" si="4"/>
        <v>0.04454455574127086</v>
      </c>
      <c r="H57" s="34">
        <v>1755786</v>
      </c>
      <c r="I57" s="34">
        <v>1300000</v>
      </c>
      <c r="J57" s="43">
        <f aca="true" t="shared" si="5" ref="J57:J78">H57-I57</f>
        <v>455786</v>
      </c>
      <c r="K57" s="121">
        <v>36892</v>
      </c>
      <c r="L57" s="121">
        <v>38322</v>
      </c>
      <c r="M57" s="121">
        <v>36923</v>
      </c>
      <c r="N57" s="52">
        <v>38687</v>
      </c>
    </row>
    <row r="58" spans="1:14" ht="12.75">
      <c r="A58" s="149" t="s">
        <v>150</v>
      </c>
      <c r="B58" s="150" t="s">
        <v>181</v>
      </c>
      <c r="C58" s="112">
        <v>22612.72</v>
      </c>
      <c r="D58" s="112">
        <v>0</v>
      </c>
      <c r="E58" s="113">
        <f t="shared" si="3"/>
        <v>22612.72</v>
      </c>
      <c r="F58" s="35"/>
      <c r="G58" s="55">
        <f t="shared" si="4"/>
        <v>0</v>
      </c>
      <c r="H58" s="34"/>
      <c r="I58" s="34"/>
      <c r="J58" s="43">
        <f t="shared" si="5"/>
        <v>0</v>
      </c>
      <c r="K58" s="107">
        <v>37165</v>
      </c>
      <c r="L58" s="121">
        <v>37742</v>
      </c>
      <c r="M58" s="121">
        <v>37288</v>
      </c>
      <c r="N58" s="52"/>
    </row>
    <row r="59" spans="1:14" ht="12.75">
      <c r="A59" s="151" t="s">
        <v>165</v>
      </c>
      <c r="B59" s="145" t="s">
        <v>173</v>
      </c>
      <c r="C59" s="112">
        <v>9467.02</v>
      </c>
      <c r="D59" s="112">
        <v>0</v>
      </c>
      <c r="E59" s="113">
        <f t="shared" si="3"/>
        <v>9467.02</v>
      </c>
      <c r="F59" s="35"/>
      <c r="G59" s="55">
        <f t="shared" si="4"/>
        <v>0</v>
      </c>
      <c r="H59" s="34"/>
      <c r="I59" s="34"/>
      <c r="J59" s="43">
        <f t="shared" si="5"/>
        <v>0</v>
      </c>
      <c r="K59" s="107">
        <v>37347</v>
      </c>
      <c r="L59" s="121">
        <v>37956</v>
      </c>
      <c r="M59" s="121">
        <v>37316</v>
      </c>
      <c r="N59" s="52"/>
    </row>
    <row r="60" spans="1:14" ht="12.75">
      <c r="A60" s="152" t="s">
        <v>166</v>
      </c>
      <c r="B60" s="145" t="s">
        <v>187</v>
      </c>
      <c r="C60" s="112">
        <v>446.31</v>
      </c>
      <c r="D60" s="112">
        <v>0</v>
      </c>
      <c r="E60" s="113">
        <f t="shared" si="3"/>
        <v>446.31</v>
      </c>
      <c r="F60" s="35"/>
      <c r="G60" s="55">
        <f t="shared" si="4"/>
        <v>0</v>
      </c>
      <c r="H60" s="34"/>
      <c r="I60" s="34"/>
      <c r="J60" s="43">
        <f t="shared" si="5"/>
        <v>0</v>
      </c>
      <c r="K60" s="121">
        <v>37257</v>
      </c>
      <c r="L60" s="121">
        <v>37591</v>
      </c>
      <c r="M60" s="121">
        <v>37257</v>
      </c>
      <c r="N60" s="52">
        <v>37561</v>
      </c>
    </row>
    <row r="61" spans="1:14" ht="12.75">
      <c r="A61" s="151" t="s">
        <v>167</v>
      </c>
      <c r="B61" s="145" t="s">
        <v>182</v>
      </c>
      <c r="C61" s="112">
        <v>11979.81</v>
      </c>
      <c r="D61" s="112">
        <v>0</v>
      </c>
      <c r="E61" s="113">
        <f t="shared" si="3"/>
        <v>11979.81</v>
      </c>
      <c r="F61" s="35"/>
      <c r="G61" s="55">
        <f t="shared" si="4"/>
        <v>0</v>
      </c>
      <c r="H61" s="34"/>
      <c r="I61" s="34"/>
      <c r="J61" s="43">
        <f t="shared" si="5"/>
        <v>0</v>
      </c>
      <c r="K61" s="121">
        <v>37469</v>
      </c>
      <c r="L61" s="121">
        <v>37712</v>
      </c>
      <c r="M61" s="121">
        <v>37956</v>
      </c>
      <c r="N61" s="52"/>
    </row>
    <row r="62" spans="1:14" ht="12.75">
      <c r="A62" s="151" t="s">
        <v>168</v>
      </c>
      <c r="B62" s="145" t="s">
        <v>183</v>
      </c>
      <c r="C62" s="112">
        <v>136001.48</v>
      </c>
      <c r="D62" s="112">
        <v>1500000</v>
      </c>
      <c r="E62" s="113">
        <f t="shared" si="3"/>
        <v>-1363998.52</v>
      </c>
      <c r="F62" s="35">
        <f>C62/D62</f>
        <v>0.09066765333333333</v>
      </c>
      <c r="G62" s="55">
        <f t="shared" si="4"/>
        <v>0.08715997079559912</v>
      </c>
      <c r="H62" s="34"/>
      <c r="I62" s="34"/>
      <c r="J62" s="43">
        <f t="shared" si="5"/>
        <v>0</v>
      </c>
      <c r="K62" s="107">
        <v>37347</v>
      </c>
      <c r="L62" s="121">
        <v>37956</v>
      </c>
      <c r="M62" s="121">
        <v>37043</v>
      </c>
      <c r="N62" s="52"/>
    </row>
    <row r="63" spans="1:14" ht="12.75">
      <c r="A63" s="151" t="s">
        <v>178</v>
      </c>
      <c r="B63" s="145" t="s">
        <v>184</v>
      </c>
      <c r="C63" s="112">
        <v>3032909.37</v>
      </c>
      <c r="D63" s="112">
        <v>2180000</v>
      </c>
      <c r="E63" s="113">
        <f t="shared" si="3"/>
        <v>852909.3700000001</v>
      </c>
      <c r="F63" s="35">
        <f>C63/D63</f>
        <v>1.3912428302752293</v>
      </c>
      <c r="G63" s="55">
        <f t="shared" si="4"/>
        <v>0.12667249088960406</v>
      </c>
      <c r="H63" s="34">
        <v>3744744</v>
      </c>
      <c r="I63" s="34">
        <v>3000000</v>
      </c>
      <c r="J63" s="43">
        <f t="shared" si="5"/>
        <v>744744</v>
      </c>
      <c r="K63" s="121">
        <v>37742</v>
      </c>
      <c r="L63" s="121">
        <v>38687</v>
      </c>
      <c r="M63" s="121">
        <v>37803</v>
      </c>
      <c r="N63" s="52">
        <v>38687</v>
      </c>
    </row>
    <row r="64" spans="1:14" ht="12.75">
      <c r="A64" s="151" t="s">
        <v>179</v>
      </c>
      <c r="B64" s="145" t="s">
        <v>159</v>
      </c>
      <c r="C64" s="112">
        <v>17816.69</v>
      </c>
      <c r="D64" s="112">
        <v>0</v>
      </c>
      <c r="E64" s="113">
        <f t="shared" si="3"/>
        <v>17816.69</v>
      </c>
      <c r="F64" s="35"/>
      <c r="G64" s="55">
        <f t="shared" si="4"/>
        <v>0</v>
      </c>
      <c r="H64" s="34"/>
      <c r="I64" s="34"/>
      <c r="J64" s="43">
        <f t="shared" si="5"/>
        <v>0</v>
      </c>
      <c r="K64" s="121">
        <v>37622</v>
      </c>
      <c r="L64" s="121">
        <v>37956</v>
      </c>
      <c r="M64" s="121">
        <v>37622</v>
      </c>
      <c r="N64" s="52">
        <v>37895</v>
      </c>
    </row>
    <row r="65" spans="1:14" ht="12.75">
      <c r="A65" s="151" t="s">
        <v>180</v>
      </c>
      <c r="B65" s="145" t="s">
        <v>185</v>
      </c>
      <c r="C65" s="112">
        <v>257105.57</v>
      </c>
      <c r="D65" s="112">
        <v>219800</v>
      </c>
      <c r="E65" s="113">
        <f t="shared" si="3"/>
        <v>37305.57000000001</v>
      </c>
      <c r="F65" s="35">
        <f>C65/D65</f>
        <v>1.169725068243858</v>
      </c>
      <c r="G65" s="55">
        <f t="shared" si="4"/>
        <v>0.012771841053915125</v>
      </c>
      <c r="H65" s="34">
        <v>999181</v>
      </c>
      <c r="I65" s="34">
        <v>1320000</v>
      </c>
      <c r="J65" s="43">
        <f t="shared" si="5"/>
        <v>-320819</v>
      </c>
      <c r="K65" s="121">
        <v>37622</v>
      </c>
      <c r="L65" s="121">
        <v>38169</v>
      </c>
      <c r="M65" s="121">
        <v>37773</v>
      </c>
      <c r="N65" s="52">
        <v>38687</v>
      </c>
    </row>
    <row r="66" spans="1:14" ht="12.75">
      <c r="A66" s="152" t="s">
        <v>243</v>
      </c>
      <c r="B66" s="145" t="s">
        <v>159</v>
      </c>
      <c r="C66" s="112">
        <f>1235209.8+36549.96</f>
        <v>1271759.76</v>
      </c>
      <c r="D66" s="112">
        <v>910000</v>
      </c>
      <c r="E66" s="113">
        <f t="shared" si="3"/>
        <v>361759.76</v>
      </c>
      <c r="F66" s="35">
        <f>C66/D66</f>
        <v>1.397538197802198</v>
      </c>
      <c r="G66" s="55">
        <f t="shared" si="4"/>
        <v>0.05287704894933013</v>
      </c>
      <c r="H66" s="34"/>
      <c r="I66" s="34"/>
      <c r="J66" s="43">
        <f t="shared" si="5"/>
        <v>0</v>
      </c>
      <c r="K66" s="121">
        <v>37987</v>
      </c>
      <c r="L66" s="121" t="s">
        <v>284</v>
      </c>
      <c r="M66" s="121" t="s">
        <v>284</v>
      </c>
      <c r="N66" s="52" t="s">
        <v>284</v>
      </c>
    </row>
    <row r="67" spans="1:14" ht="12.75">
      <c r="A67" s="152" t="s">
        <v>244</v>
      </c>
      <c r="B67" s="145" t="s">
        <v>246</v>
      </c>
      <c r="C67" s="112">
        <v>214796.9</v>
      </c>
      <c r="D67" s="112">
        <v>240000</v>
      </c>
      <c r="E67" s="113">
        <f aca="true" t="shared" si="6" ref="E67:E73">C67-D67</f>
        <v>-25203.100000000006</v>
      </c>
      <c r="F67" s="35">
        <f>C67/D67</f>
        <v>0.8949870833333333</v>
      </c>
      <c r="G67" s="55">
        <f t="shared" si="4"/>
        <v>0.013945595327295859</v>
      </c>
      <c r="H67" s="34"/>
      <c r="I67" s="34"/>
      <c r="J67" s="43">
        <f t="shared" si="5"/>
        <v>0</v>
      </c>
      <c r="K67" s="121">
        <v>38261</v>
      </c>
      <c r="L67" s="121">
        <v>39417</v>
      </c>
      <c r="M67" s="121">
        <v>38261</v>
      </c>
      <c r="N67" s="52"/>
    </row>
    <row r="68" spans="1:14" ht="12.75">
      <c r="A68" s="152" t="s">
        <v>242</v>
      </c>
      <c r="B68" s="145" t="s">
        <v>241</v>
      </c>
      <c r="C68" s="112">
        <v>0</v>
      </c>
      <c r="D68" s="112">
        <v>1322035</v>
      </c>
      <c r="E68" s="113">
        <f>C68-D68</f>
        <v>-1322035</v>
      </c>
      <c r="F68" s="35">
        <f>C68/D68</f>
        <v>0</v>
      </c>
      <c r="G68" s="55">
        <f t="shared" si="4"/>
        <v>0.07681902132717325</v>
      </c>
      <c r="H68" s="34"/>
      <c r="I68" s="34"/>
      <c r="J68" s="43">
        <f t="shared" si="5"/>
        <v>0</v>
      </c>
      <c r="K68" s="121">
        <v>37987</v>
      </c>
      <c r="L68" s="121">
        <v>38322</v>
      </c>
      <c r="M68" s="121">
        <v>37987</v>
      </c>
      <c r="N68" s="52">
        <v>38718</v>
      </c>
    </row>
    <row r="69" spans="1:14" ht="12.75">
      <c r="A69" s="152" t="s">
        <v>256</v>
      </c>
      <c r="B69" s="153" t="s">
        <v>257</v>
      </c>
      <c r="C69" s="112">
        <v>1294.28</v>
      </c>
      <c r="D69" s="112">
        <v>0</v>
      </c>
      <c r="E69" s="112">
        <f>C69-D69</f>
        <v>1294.28</v>
      </c>
      <c r="F69" s="35"/>
      <c r="G69" s="55">
        <f t="shared" si="4"/>
        <v>0</v>
      </c>
      <c r="H69" s="34"/>
      <c r="I69" s="34"/>
      <c r="J69" s="43">
        <f t="shared" si="5"/>
        <v>0</v>
      </c>
      <c r="K69" s="121">
        <v>38412</v>
      </c>
      <c r="L69" s="121">
        <v>38534</v>
      </c>
      <c r="M69" s="121">
        <v>38231</v>
      </c>
      <c r="N69" s="52">
        <v>38322</v>
      </c>
    </row>
    <row r="70" spans="1:14" ht="12.75">
      <c r="A70" s="152" t="s">
        <v>254</v>
      </c>
      <c r="B70" s="153" t="s">
        <v>248</v>
      </c>
      <c r="C70" s="112">
        <v>0</v>
      </c>
      <c r="D70" s="112">
        <v>75000</v>
      </c>
      <c r="E70" s="112">
        <f>C70-D70</f>
        <v>-75000</v>
      </c>
      <c r="F70" s="35">
        <f>C70/D70</f>
        <v>0</v>
      </c>
      <c r="G70" s="115">
        <f t="shared" si="4"/>
        <v>0.004357998539779956</v>
      </c>
      <c r="H70" s="34"/>
      <c r="I70" s="34"/>
      <c r="J70" s="43">
        <f t="shared" si="5"/>
        <v>0</v>
      </c>
      <c r="K70" s="121">
        <v>38534</v>
      </c>
      <c r="L70" s="121">
        <v>39417</v>
      </c>
      <c r="M70" s="121"/>
      <c r="N70" s="52"/>
    </row>
    <row r="71" spans="1:14" ht="12.75">
      <c r="A71" s="152" t="s">
        <v>252</v>
      </c>
      <c r="B71" s="153" t="s">
        <v>258</v>
      </c>
      <c r="C71" s="112">
        <v>392914.33</v>
      </c>
      <c r="D71" s="112">
        <v>500000</v>
      </c>
      <c r="E71" s="112">
        <f>C71-D71</f>
        <v>-107085.66999999998</v>
      </c>
      <c r="F71" s="35">
        <f>C71/D71</f>
        <v>0.7858286600000001</v>
      </c>
      <c r="G71" s="55">
        <f t="shared" si="4"/>
        <v>0.029053323598533038</v>
      </c>
      <c r="H71" s="34"/>
      <c r="I71" s="34"/>
      <c r="J71" s="43">
        <f t="shared" si="5"/>
        <v>0</v>
      </c>
      <c r="K71" s="121">
        <v>38443</v>
      </c>
      <c r="L71" s="121">
        <v>39417</v>
      </c>
      <c r="M71" s="121">
        <v>38565</v>
      </c>
      <c r="N71" s="52">
        <v>39052</v>
      </c>
    </row>
    <row r="72" spans="1:14" ht="12.75">
      <c r="A72" s="152" t="s">
        <v>259</v>
      </c>
      <c r="B72" s="153" t="s">
        <v>249</v>
      </c>
      <c r="C72" s="112">
        <v>199892.31</v>
      </c>
      <c r="D72" s="112">
        <v>350000</v>
      </c>
      <c r="E72" s="112">
        <f t="shared" si="6"/>
        <v>-150107.69</v>
      </c>
      <c r="F72" s="35">
        <f>C72/D72</f>
        <v>0.5711208857142857</v>
      </c>
      <c r="G72" s="115">
        <f t="shared" si="4"/>
        <v>0.020337326518973128</v>
      </c>
      <c r="H72" s="34"/>
      <c r="I72" s="34"/>
      <c r="J72" s="43">
        <f t="shared" si="5"/>
        <v>0</v>
      </c>
      <c r="K72" s="121">
        <v>38384</v>
      </c>
      <c r="L72" s="121">
        <v>38626</v>
      </c>
      <c r="M72" s="121">
        <v>38565</v>
      </c>
      <c r="N72" s="52">
        <v>38718</v>
      </c>
    </row>
    <row r="73" spans="1:14" ht="12.75">
      <c r="A73" s="152" t="s">
        <v>250</v>
      </c>
      <c r="B73" s="153" t="s">
        <v>260</v>
      </c>
      <c r="C73" s="112">
        <v>340.85</v>
      </c>
      <c r="D73" s="112">
        <v>0</v>
      </c>
      <c r="E73" s="112">
        <f t="shared" si="6"/>
        <v>340.85</v>
      </c>
      <c r="F73" s="35"/>
      <c r="G73" s="115">
        <f t="shared" si="4"/>
        <v>0</v>
      </c>
      <c r="H73" s="34"/>
      <c r="I73" s="34"/>
      <c r="J73" s="43">
        <f t="shared" si="5"/>
        <v>0</v>
      </c>
      <c r="K73" s="121">
        <v>38443</v>
      </c>
      <c r="L73" s="121">
        <v>39052</v>
      </c>
      <c r="M73" s="121">
        <v>38443</v>
      </c>
      <c r="N73" s="52"/>
    </row>
    <row r="74" spans="1:14" ht="12.75">
      <c r="A74" s="152" t="s">
        <v>261</v>
      </c>
      <c r="B74" s="153" t="s">
        <v>262</v>
      </c>
      <c r="C74" s="112">
        <v>12041.25</v>
      </c>
      <c r="D74" s="112">
        <v>0</v>
      </c>
      <c r="E74" s="112">
        <f>C74-D74</f>
        <v>12041.25</v>
      </c>
      <c r="F74" s="35"/>
      <c r="G74" s="115">
        <f t="shared" si="4"/>
        <v>0</v>
      </c>
      <c r="H74" s="34"/>
      <c r="I74" s="34"/>
      <c r="J74" s="43">
        <f t="shared" si="5"/>
        <v>0</v>
      </c>
      <c r="K74" s="121">
        <v>38443</v>
      </c>
      <c r="L74" s="121">
        <v>39783</v>
      </c>
      <c r="M74" s="121">
        <v>38443</v>
      </c>
      <c r="N74" s="52"/>
    </row>
    <row r="75" spans="1:14" ht="12.75">
      <c r="A75" s="154" t="s">
        <v>39</v>
      </c>
      <c r="B75" s="146" t="s">
        <v>124</v>
      </c>
      <c r="C75" s="112">
        <v>6754.25</v>
      </c>
      <c r="D75" s="112">
        <v>0</v>
      </c>
      <c r="E75" s="113">
        <f>C75-D75</f>
        <v>6754.25</v>
      </c>
      <c r="F75" s="35"/>
      <c r="G75" s="35">
        <f t="shared" si="4"/>
        <v>0</v>
      </c>
      <c r="H75" s="34"/>
      <c r="I75" s="34"/>
      <c r="J75" s="43">
        <f t="shared" si="5"/>
        <v>0</v>
      </c>
      <c r="K75" s="121">
        <v>33786</v>
      </c>
      <c r="L75" s="121">
        <v>35400</v>
      </c>
      <c r="M75" s="121">
        <v>33848</v>
      </c>
      <c r="N75" s="51"/>
    </row>
    <row r="76" spans="1:14" ht="12.75">
      <c r="A76" s="154" t="s">
        <v>48</v>
      </c>
      <c r="B76" s="146" t="s">
        <v>49</v>
      </c>
      <c r="C76" s="112">
        <v>55.57</v>
      </c>
      <c r="D76" s="112">
        <v>0</v>
      </c>
      <c r="E76" s="113">
        <f>C76-D76</f>
        <v>55.57</v>
      </c>
      <c r="F76" s="35"/>
      <c r="G76" s="35">
        <f t="shared" si="4"/>
        <v>0</v>
      </c>
      <c r="H76" s="34"/>
      <c r="I76" s="34"/>
      <c r="J76" s="43">
        <f t="shared" si="5"/>
        <v>0</v>
      </c>
      <c r="K76" s="121">
        <v>35400</v>
      </c>
      <c r="L76" s="121">
        <v>36312</v>
      </c>
      <c r="M76" s="121">
        <v>35370</v>
      </c>
      <c r="N76" s="52">
        <v>37956</v>
      </c>
    </row>
    <row r="77" spans="1:14" ht="12.75">
      <c r="A77" s="155" t="s">
        <v>60</v>
      </c>
      <c r="B77" s="146" t="s">
        <v>169</v>
      </c>
      <c r="C77" s="112">
        <v>31183.95</v>
      </c>
      <c r="D77" s="112">
        <v>0</v>
      </c>
      <c r="E77" s="113">
        <f>C77-D77</f>
        <v>31183.95</v>
      </c>
      <c r="F77" s="35"/>
      <c r="G77" s="35">
        <f t="shared" si="4"/>
        <v>0</v>
      </c>
      <c r="H77" s="34"/>
      <c r="I77" s="34"/>
      <c r="J77" s="43">
        <f t="shared" si="5"/>
        <v>0</v>
      </c>
      <c r="K77" s="121">
        <v>35827</v>
      </c>
      <c r="L77" s="121">
        <v>36404</v>
      </c>
      <c r="M77" s="121">
        <v>36192</v>
      </c>
      <c r="N77" s="52">
        <v>39052</v>
      </c>
    </row>
    <row r="78" spans="1:14" ht="12.75">
      <c r="A78" s="154" t="s">
        <v>65</v>
      </c>
      <c r="B78" s="146" t="s">
        <v>170</v>
      </c>
      <c r="C78" s="112">
        <v>1754.19</v>
      </c>
      <c r="D78" s="112">
        <v>0</v>
      </c>
      <c r="E78" s="113">
        <f>C78-D78</f>
        <v>1754.19</v>
      </c>
      <c r="F78" s="35"/>
      <c r="G78" s="35">
        <f t="shared" si="4"/>
        <v>0</v>
      </c>
      <c r="H78" s="34"/>
      <c r="I78" s="34"/>
      <c r="J78" s="43">
        <f t="shared" si="5"/>
        <v>0</v>
      </c>
      <c r="K78" s="121">
        <v>35886</v>
      </c>
      <c r="L78" s="121">
        <v>36465</v>
      </c>
      <c r="M78" s="121">
        <v>36008</v>
      </c>
      <c r="N78" s="52"/>
    </row>
    <row r="79" spans="1:14" ht="12.75">
      <c r="A79" s="156"/>
      <c r="B79" s="157"/>
      <c r="C79" s="114"/>
      <c r="D79" s="114"/>
      <c r="E79" s="112"/>
      <c r="F79" s="35"/>
      <c r="G79" s="38"/>
      <c r="H79" s="36"/>
      <c r="I79" s="36"/>
      <c r="J79" s="44"/>
      <c r="K79" s="122"/>
      <c r="L79" s="122"/>
      <c r="M79" s="122"/>
      <c r="N79" s="69"/>
    </row>
    <row r="80" spans="3:14" ht="12">
      <c r="C80" s="90">
        <f>SUM(C54:C79)</f>
        <v>6568291.010000001</v>
      </c>
      <c r="D80" s="39">
        <f>SUM(D54:D79)</f>
        <v>8063435</v>
      </c>
      <c r="E80" s="39">
        <f>SUM(E54:E79)</f>
        <v>-1495143.9899999998</v>
      </c>
      <c r="F80" s="41">
        <f>C80/D80</f>
        <v>0.8145772874711584</v>
      </c>
      <c r="G80" s="40"/>
      <c r="H80" s="33"/>
      <c r="I80" s="33"/>
      <c r="J80" s="33"/>
      <c r="K80" s="33"/>
      <c r="L80" s="33"/>
      <c r="M80" s="33"/>
      <c r="N80" s="33"/>
    </row>
  </sheetData>
  <mergeCells count="6">
    <mergeCell ref="A41:N41"/>
    <mergeCell ref="A42:N42"/>
    <mergeCell ref="A1:N1"/>
    <mergeCell ref="A2:N2"/>
    <mergeCell ref="A3:N3"/>
    <mergeCell ref="A40:N40"/>
  </mergeCells>
  <printOptions horizontalCentered="1"/>
  <pageMargins left="0.25" right="0.32" top="0.28" bottom="0.25" header="0" footer="0"/>
  <pageSetup horizontalDpi="600" verticalDpi="600" orientation="landscape" scale="75" r:id="rId1"/>
  <rowBreaks count="1" manualBreakCount="1">
    <brk id="39" max="23" man="1"/>
  </rowBreaks>
  <colBreaks count="1" manualBreakCount="1">
    <brk id="14" max="7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9"/>
  <sheetViews>
    <sheetView workbookViewId="0" topLeftCell="A1">
      <selection activeCell="A1" sqref="A1:N1"/>
    </sheetView>
  </sheetViews>
  <sheetFormatPr defaultColWidth="9.83203125" defaultRowHeight="12"/>
  <cols>
    <col min="1" max="1" width="8.66015625" style="1" customWidth="1"/>
    <col min="2" max="2" width="62.33203125" style="1" customWidth="1"/>
    <col min="3" max="3" width="13.66015625" style="1" customWidth="1"/>
    <col min="4" max="4" width="13.16015625" style="1" customWidth="1"/>
    <col min="5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9.83203125" style="1" customWidth="1"/>
    <col min="16" max="16" width="7.83203125" style="1" customWidth="1"/>
    <col min="17" max="17" width="48.83203125" style="1" customWidth="1"/>
    <col min="18" max="18" width="93.5" style="1" customWidth="1"/>
    <col min="19" max="19" width="14.83203125" style="1" customWidth="1"/>
    <col min="20" max="20" width="15.832031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186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 t="s">
        <v>0</v>
      </c>
    </row>
    <row r="2" spans="1:23" ht="12">
      <c r="A2" s="161" t="s">
        <v>321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1</v>
      </c>
    </row>
    <row r="3" spans="1:23" ht="12">
      <c r="A3" s="161" t="s">
        <v>209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305</v>
      </c>
    </row>
    <row r="4" spans="4:23" ht="12">
      <c r="D4" s="3" t="s">
        <v>2</v>
      </c>
      <c r="E4" s="130">
        <v>2004</v>
      </c>
      <c r="W4" s="2" t="s">
        <v>366</v>
      </c>
    </row>
    <row r="5" spans="1:12" ht="12">
      <c r="A5" s="2" t="s">
        <v>3</v>
      </c>
      <c r="L5" s="2" t="s">
        <v>208</v>
      </c>
    </row>
    <row r="6" spans="1:16" ht="15.75">
      <c r="A6" s="2" t="s">
        <v>4</v>
      </c>
      <c r="L6" s="2" t="s">
        <v>308</v>
      </c>
      <c r="P6" s="5" t="s">
        <v>164</v>
      </c>
    </row>
    <row r="7" spans="12:21" ht="19.5">
      <c r="L7" s="2" t="s">
        <v>5</v>
      </c>
      <c r="P7" s="6"/>
      <c r="U7" s="5" t="s">
        <v>222</v>
      </c>
    </row>
    <row r="8" spans="12:13" ht="12">
      <c r="L8" s="4" t="s">
        <v>6</v>
      </c>
      <c r="M8" s="4"/>
    </row>
    <row r="9" spans="17:24" ht="12.75">
      <c r="Q9" s="7"/>
      <c r="R9" s="7"/>
      <c r="S9" s="7"/>
      <c r="T9" s="8" t="s">
        <v>7</v>
      </c>
      <c r="U9" s="7"/>
      <c r="V9" s="7"/>
      <c r="W9" s="7"/>
      <c r="X9" s="7"/>
    </row>
    <row r="10" spans="17:24" ht="12.75">
      <c r="Q10" s="7"/>
      <c r="R10" s="7"/>
      <c r="S10" s="8" t="s">
        <v>8</v>
      </c>
      <c r="T10" s="9" t="s">
        <v>210</v>
      </c>
      <c r="U10" s="10" t="s">
        <v>9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10</v>
      </c>
      <c r="I11" s="12" t="s">
        <v>10</v>
      </c>
      <c r="J11" s="12"/>
      <c r="K11" s="12" t="s">
        <v>11</v>
      </c>
      <c r="L11" s="12" t="s">
        <v>11</v>
      </c>
      <c r="M11" s="12"/>
      <c r="N11" s="12"/>
      <c r="Q11" s="7"/>
      <c r="R11" s="7"/>
      <c r="S11" s="9" t="s">
        <v>12</v>
      </c>
      <c r="T11" s="9" t="s">
        <v>12</v>
      </c>
      <c r="U11" s="13" t="s">
        <v>13</v>
      </c>
      <c r="V11" s="14"/>
      <c r="W11" s="7"/>
      <c r="X11" s="7"/>
    </row>
    <row r="12" spans="1:24" ht="12.75">
      <c r="A12" s="9"/>
      <c r="B12" s="15"/>
      <c r="C12" s="15"/>
      <c r="D12" s="15" t="s">
        <v>14</v>
      </c>
      <c r="E12" s="15"/>
      <c r="F12" s="15"/>
      <c r="G12" s="15" t="s">
        <v>15</v>
      </c>
      <c r="H12" s="15" t="s">
        <v>16</v>
      </c>
      <c r="I12" s="15" t="s">
        <v>17</v>
      </c>
      <c r="J12" s="15"/>
      <c r="K12" s="15" t="s">
        <v>18</v>
      </c>
      <c r="L12" s="15" t="s">
        <v>18</v>
      </c>
      <c r="M12" s="15" t="s">
        <v>11</v>
      </c>
      <c r="N12" s="15" t="s">
        <v>11</v>
      </c>
      <c r="P12" s="4"/>
      <c r="Q12" s="16" t="s">
        <v>211</v>
      </c>
      <c r="R12" s="16" t="s">
        <v>20</v>
      </c>
      <c r="S12" s="17" t="s">
        <v>21</v>
      </c>
      <c r="T12" s="17" t="s">
        <v>21</v>
      </c>
      <c r="U12" s="16" t="s">
        <v>22</v>
      </c>
      <c r="V12" s="16" t="s">
        <v>23</v>
      </c>
      <c r="W12" s="16" t="s">
        <v>22</v>
      </c>
      <c r="X12" s="16" t="s">
        <v>23</v>
      </c>
    </row>
    <row r="13" spans="1:26" ht="12.75">
      <c r="A13" s="9"/>
      <c r="B13" s="15"/>
      <c r="C13" s="15" t="s">
        <v>14</v>
      </c>
      <c r="D13" s="15" t="s">
        <v>18</v>
      </c>
      <c r="E13" s="15" t="s">
        <v>24</v>
      </c>
      <c r="F13" s="15" t="s">
        <v>24</v>
      </c>
      <c r="G13" s="15" t="s">
        <v>25</v>
      </c>
      <c r="H13" s="15" t="s">
        <v>26</v>
      </c>
      <c r="I13" s="15" t="s">
        <v>26</v>
      </c>
      <c r="J13" s="15"/>
      <c r="K13" s="15" t="s">
        <v>17</v>
      </c>
      <c r="L13" s="15" t="s">
        <v>17</v>
      </c>
      <c r="M13" s="15" t="s">
        <v>16</v>
      </c>
      <c r="N13" s="15" t="s">
        <v>16</v>
      </c>
      <c r="P13" s="104" t="s">
        <v>141</v>
      </c>
      <c r="Q13" s="80" t="s">
        <v>155</v>
      </c>
      <c r="R13" s="19" t="s">
        <v>288</v>
      </c>
      <c r="S13" s="24">
        <v>1601091</v>
      </c>
      <c r="T13" s="24">
        <v>1500000</v>
      </c>
      <c r="U13" s="53">
        <v>36951</v>
      </c>
      <c r="V13" s="53">
        <v>37956</v>
      </c>
      <c r="W13" s="53">
        <v>36923</v>
      </c>
      <c r="X13" s="53">
        <v>38200</v>
      </c>
      <c r="Y13" s="105"/>
      <c r="Z13" s="105"/>
    </row>
    <row r="14" spans="1:24" ht="12.75">
      <c r="A14" s="17" t="s">
        <v>27</v>
      </c>
      <c r="B14" s="21" t="s">
        <v>28</v>
      </c>
      <c r="C14" s="21" t="s">
        <v>16</v>
      </c>
      <c r="D14" s="21" t="s">
        <v>17</v>
      </c>
      <c r="E14" s="21" t="s">
        <v>29</v>
      </c>
      <c r="F14" s="21" t="s">
        <v>15</v>
      </c>
      <c r="G14" s="21" t="s">
        <v>17</v>
      </c>
      <c r="H14" s="21" t="s">
        <v>30</v>
      </c>
      <c r="I14" s="21" t="s">
        <v>30</v>
      </c>
      <c r="J14" s="21" t="s">
        <v>24</v>
      </c>
      <c r="K14" s="21" t="s">
        <v>31</v>
      </c>
      <c r="L14" s="21" t="s">
        <v>32</v>
      </c>
      <c r="M14" s="21" t="s">
        <v>31</v>
      </c>
      <c r="N14" s="21" t="s">
        <v>32</v>
      </c>
      <c r="P14" s="104" t="s">
        <v>150</v>
      </c>
      <c r="Q14" s="85" t="s">
        <v>181</v>
      </c>
      <c r="R14" s="22" t="s">
        <v>286</v>
      </c>
      <c r="S14" s="24">
        <v>2132257</v>
      </c>
      <c r="T14" s="24">
        <v>1800000</v>
      </c>
      <c r="U14" s="54">
        <v>37165</v>
      </c>
      <c r="V14" s="54">
        <v>37742</v>
      </c>
      <c r="W14" s="54">
        <v>37288</v>
      </c>
      <c r="X14" s="54">
        <v>38322</v>
      </c>
    </row>
    <row r="15" spans="1:24" ht="25.5">
      <c r="A15" s="9">
        <v>80</v>
      </c>
      <c r="B15" s="14" t="s">
        <v>224</v>
      </c>
      <c r="C15" s="110">
        <f>4001317.93+1847.97</f>
        <v>4003165.9000000004</v>
      </c>
      <c r="D15" s="110">
        <v>4000000</v>
      </c>
      <c r="E15" s="112">
        <f aca="true" t="shared" si="0" ref="E15:E32">C15-D15</f>
        <v>3165.9000000003725</v>
      </c>
      <c r="F15" s="31">
        <f aca="true" t="shared" si="1" ref="F15:F33">C15/D15</f>
        <v>1.000791475</v>
      </c>
      <c r="G15" s="32">
        <f aca="true" t="shared" si="2" ref="G15:G32">D15/(D$33+D$79)</f>
        <v>0.2564271378634991</v>
      </c>
      <c r="H15" s="33"/>
      <c r="I15" s="33"/>
      <c r="J15" s="33"/>
      <c r="K15" s="33"/>
      <c r="L15" s="33"/>
      <c r="M15" s="33"/>
      <c r="N15" s="33"/>
      <c r="P15" s="102" t="s">
        <v>167</v>
      </c>
      <c r="Q15" s="93" t="s">
        <v>182</v>
      </c>
      <c r="R15" s="127" t="s">
        <v>287</v>
      </c>
      <c r="S15" s="24">
        <v>773246</v>
      </c>
      <c r="T15" s="24">
        <v>450000</v>
      </c>
      <c r="U15" s="54">
        <v>37469</v>
      </c>
      <c r="V15" s="54">
        <v>37712</v>
      </c>
      <c r="W15" s="54">
        <v>37956</v>
      </c>
      <c r="X15" s="54">
        <v>38322</v>
      </c>
    </row>
    <row r="16" spans="1:24" ht="25.5">
      <c r="A16" s="9">
        <v>81</v>
      </c>
      <c r="B16" s="14" t="s">
        <v>225</v>
      </c>
      <c r="C16" s="110">
        <f>607160.35+279196.7</f>
        <v>886357.05</v>
      </c>
      <c r="D16" s="110">
        <v>525000</v>
      </c>
      <c r="E16" s="112">
        <f t="shared" si="0"/>
        <v>361357.05000000005</v>
      </c>
      <c r="F16" s="31">
        <f t="shared" si="1"/>
        <v>1.688299142857143</v>
      </c>
      <c r="G16" s="35">
        <f t="shared" si="2"/>
        <v>0.03365606184458426</v>
      </c>
      <c r="H16" s="33"/>
      <c r="I16" s="33"/>
      <c r="J16" s="33"/>
      <c r="K16" s="33"/>
      <c r="L16" s="33"/>
      <c r="M16" s="33"/>
      <c r="N16" s="33"/>
      <c r="P16" s="101" t="s">
        <v>256</v>
      </c>
      <c r="Q16" s="123" t="s">
        <v>257</v>
      </c>
      <c r="R16" s="128" t="s">
        <v>289</v>
      </c>
      <c r="S16" s="65">
        <v>275760</v>
      </c>
      <c r="T16" s="125">
        <v>250000</v>
      </c>
      <c r="U16" s="66">
        <v>38412</v>
      </c>
      <c r="V16" s="66">
        <v>38534</v>
      </c>
      <c r="W16" s="66">
        <v>38231</v>
      </c>
      <c r="X16" s="66">
        <v>38322</v>
      </c>
    </row>
    <row r="17" spans="1:24" ht="12.75">
      <c r="A17" s="9">
        <v>82</v>
      </c>
      <c r="B17" s="14" t="s">
        <v>226</v>
      </c>
      <c r="C17" s="110">
        <v>460200.21</v>
      </c>
      <c r="D17" s="110">
        <v>250000</v>
      </c>
      <c r="E17" s="112">
        <f t="shared" si="0"/>
        <v>210200.21000000002</v>
      </c>
      <c r="F17" s="31">
        <f t="shared" si="1"/>
        <v>1.84080084</v>
      </c>
      <c r="G17" s="35">
        <f t="shared" si="2"/>
        <v>0.016026696116468692</v>
      </c>
      <c r="H17" s="33"/>
      <c r="I17" s="33"/>
      <c r="J17" s="33"/>
      <c r="K17" s="33"/>
      <c r="L17" s="33"/>
      <c r="M17" s="33"/>
      <c r="N17" s="33"/>
      <c r="P17" s="67"/>
      <c r="Q17" s="17" t="s">
        <v>35</v>
      </c>
      <c r="R17" s="61"/>
      <c r="S17" s="61">
        <f>SUM(S13:S16)</f>
        <v>4782354</v>
      </c>
      <c r="T17" s="61">
        <f>SUM(T13:T16)</f>
        <v>4000000</v>
      </c>
      <c r="U17" s="68"/>
      <c r="V17" s="68"/>
      <c r="W17" s="68"/>
      <c r="X17" s="68"/>
    </row>
    <row r="18" spans="1:24" ht="12.75">
      <c r="A18" s="9">
        <v>83</v>
      </c>
      <c r="B18" s="14" t="s">
        <v>227</v>
      </c>
      <c r="C18" s="110">
        <v>25782.27</v>
      </c>
      <c r="D18" s="110">
        <v>25000</v>
      </c>
      <c r="E18" s="112">
        <f t="shared" si="0"/>
        <v>782.2700000000004</v>
      </c>
      <c r="F18" s="31">
        <f t="shared" si="1"/>
        <v>1.0312908</v>
      </c>
      <c r="G18" s="35">
        <f t="shared" si="2"/>
        <v>0.0016026696116468694</v>
      </c>
      <c r="H18" s="33"/>
      <c r="I18" s="33"/>
      <c r="J18" s="33"/>
      <c r="K18" s="33"/>
      <c r="L18" s="33"/>
      <c r="M18" s="33"/>
      <c r="N18" s="33"/>
      <c r="P18" s="67"/>
      <c r="Q18" s="67"/>
      <c r="R18" s="108"/>
      <c r="S18" s="108"/>
      <c r="T18" s="108"/>
      <c r="U18" s="68"/>
      <c r="V18" s="68"/>
      <c r="W18" s="68"/>
      <c r="X18" s="68"/>
    </row>
    <row r="19" spans="1:24" ht="12.75">
      <c r="A19" s="9">
        <v>84</v>
      </c>
      <c r="B19" s="14" t="s">
        <v>228</v>
      </c>
      <c r="C19" s="110">
        <v>394983.69</v>
      </c>
      <c r="D19" s="110">
        <v>260000</v>
      </c>
      <c r="E19" s="112">
        <f t="shared" si="0"/>
        <v>134983.69</v>
      </c>
      <c r="F19" s="31">
        <f t="shared" si="1"/>
        <v>1.5191680384615385</v>
      </c>
      <c r="G19" s="35">
        <f t="shared" si="2"/>
        <v>0.01666776396112744</v>
      </c>
      <c r="H19" s="33"/>
      <c r="I19" s="33"/>
      <c r="J19" s="33"/>
      <c r="K19" s="33"/>
      <c r="L19" s="33"/>
      <c r="M19" s="33"/>
      <c r="N19" s="33"/>
      <c r="P19" s="67"/>
      <c r="Q19" s="67"/>
      <c r="R19" s="108"/>
      <c r="S19" s="108"/>
      <c r="T19" s="108"/>
      <c r="U19" s="68"/>
      <c r="V19" s="68"/>
      <c r="W19" s="68"/>
      <c r="X19" s="68"/>
    </row>
    <row r="20" spans="1:24" ht="12.75">
      <c r="A20" s="9">
        <v>85</v>
      </c>
      <c r="B20" s="14" t="s">
        <v>229</v>
      </c>
      <c r="C20" s="110">
        <f>565272.04+47219.91</f>
        <v>612491.9500000001</v>
      </c>
      <c r="D20" s="110">
        <v>465650</v>
      </c>
      <c r="E20" s="112">
        <f t="shared" si="0"/>
        <v>146841.95000000007</v>
      </c>
      <c r="F20" s="31">
        <f t="shared" si="1"/>
        <v>1.3153483302909912</v>
      </c>
      <c r="G20" s="35">
        <f t="shared" si="2"/>
        <v>0.02985132418653459</v>
      </c>
      <c r="H20" s="33"/>
      <c r="I20" s="33"/>
      <c r="J20" s="33"/>
      <c r="K20" s="33"/>
      <c r="L20" s="33"/>
      <c r="M20" s="33"/>
      <c r="N20" s="33"/>
      <c r="P20" s="67"/>
      <c r="Q20" s="67"/>
      <c r="R20" s="108"/>
      <c r="S20" s="108"/>
      <c r="T20" s="108"/>
      <c r="U20" s="68"/>
      <c r="V20" s="68"/>
      <c r="W20" s="68"/>
      <c r="X20" s="68"/>
    </row>
    <row r="21" spans="1:24" ht="12.75">
      <c r="A21" s="9">
        <v>86</v>
      </c>
      <c r="B21" s="14" t="s">
        <v>230</v>
      </c>
      <c r="C21" s="110">
        <f>1060307.57+93708.57</f>
        <v>1154016.1400000001</v>
      </c>
      <c r="D21" s="110">
        <v>1134350</v>
      </c>
      <c r="E21" s="112">
        <f t="shared" si="0"/>
        <v>19666.14000000013</v>
      </c>
      <c r="F21" s="31">
        <f t="shared" si="1"/>
        <v>1.0173369242297352</v>
      </c>
      <c r="G21" s="35">
        <f t="shared" si="2"/>
        <v>0.07271953095886505</v>
      </c>
      <c r="H21" s="33"/>
      <c r="I21" s="33"/>
      <c r="J21" s="33"/>
      <c r="K21" s="33"/>
      <c r="L21" s="33"/>
      <c r="M21" s="33"/>
      <c r="N21" s="33"/>
      <c r="P21" s="67"/>
      <c r="Q21" s="67"/>
      <c r="R21" s="108"/>
      <c r="S21" s="108"/>
      <c r="T21" s="108"/>
      <c r="U21" s="68"/>
      <c r="V21" s="68"/>
      <c r="W21" s="68"/>
      <c r="X21" s="68"/>
    </row>
    <row r="22" spans="1:24" ht="12.75">
      <c r="A22" s="9">
        <v>87</v>
      </c>
      <c r="B22" s="14" t="s">
        <v>231</v>
      </c>
      <c r="C22" s="110">
        <f>154382.25+21375.96</f>
        <v>175758.21</v>
      </c>
      <c r="D22" s="110">
        <v>800800</v>
      </c>
      <c r="E22" s="112">
        <f t="shared" si="0"/>
        <v>-625041.79</v>
      </c>
      <c r="F22" s="31">
        <f t="shared" si="1"/>
        <v>0.2194782842157842</v>
      </c>
      <c r="G22" s="35">
        <f t="shared" si="2"/>
        <v>0.05133671300027252</v>
      </c>
      <c r="H22" s="33"/>
      <c r="I22" s="33"/>
      <c r="J22" s="33"/>
      <c r="K22" s="33"/>
      <c r="L22" s="33"/>
      <c r="M22" s="33"/>
      <c r="N22" s="33"/>
      <c r="P22" s="67"/>
      <c r="Q22" s="67"/>
      <c r="R22" s="108"/>
      <c r="S22" s="108"/>
      <c r="T22" s="108"/>
      <c r="U22" s="68"/>
      <c r="V22" s="68"/>
      <c r="W22" s="68"/>
      <c r="X22" s="68"/>
    </row>
    <row r="23" spans="1:24" ht="12.75">
      <c r="A23" s="9">
        <v>88</v>
      </c>
      <c r="B23" s="14" t="s">
        <v>232</v>
      </c>
      <c r="C23" s="110">
        <f>1680541.53+39565.34</f>
        <v>1720106.87</v>
      </c>
      <c r="D23" s="110">
        <v>707350</v>
      </c>
      <c r="E23" s="112">
        <f t="shared" si="0"/>
        <v>1012756.8700000001</v>
      </c>
      <c r="F23" s="31">
        <f t="shared" si="1"/>
        <v>2.431762027284937</v>
      </c>
      <c r="G23" s="35">
        <f t="shared" si="2"/>
        <v>0.04534593399193652</v>
      </c>
      <c r="H23" s="33"/>
      <c r="I23" s="33"/>
      <c r="J23" s="33"/>
      <c r="K23" s="33"/>
      <c r="L23" s="33"/>
      <c r="M23" s="33"/>
      <c r="N23" s="33"/>
      <c r="P23" s="67"/>
      <c r="Q23" s="67"/>
      <c r="R23" s="108"/>
      <c r="S23" s="108"/>
      <c r="T23" s="108"/>
      <c r="U23" s="68"/>
      <c r="V23" s="68"/>
      <c r="W23" s="68"/>
      <c r="X23" s="68"/>
    </row>
    <row r="24" spans="1:24" ht="12.75">
      <c r="A24" s="9">
        <v>89</v>
      </c>
      <c r="B24" s="14" t="s">
        <v>233</v>
      </c>
      <c r="C24" s="110">
        <v>107436.3</v>
      </c>
      <c r="D24" s="110">
        <v>75000</v>
      </c>
      <c r="E24" s="112">
        <f t="shared" si="0"/>
        <v>32436.300000000003</v>
      </c>
      <c r="F24" s="31">
        <f t="shared" si="1"/>
        <v>1.432484</v>
      </c>
      <c r="G24" s="35">
        <f t="shared" si="2"/>
        <v>0.004808008834940608</v>
      </c>
      <c r="H24" s="33"/>
      <c r="I24" s="33"/>
      <c r="J24" s="33"/>
      <c r="K24" s="33"/>
      <c r="L24" s="33"/>
      <c r="M24" s="33"/>
      <c r="N24" s="33"/>
      <c r="P24" s="67"/>
      <c r="Q24" s="67"/>
      <c r="R24" s="108"/>
      <c r="S24" s="108"/>
      <c r="T24" s="108"/>
      <c r="U24" s="68"/>
      <c r="V24" s="68"/>
      <c r="W24" s="68"/>
      <c r="X24" s="68"/>
    </row>
    <row r="25" spans="1:24" ht="12.75">
      <c r="A25" s="9">
        <v>90</v>
      </c>
      <c r="B25" s="14" t="s">
        <v>234</v>
      </c>
      <c r="C25" s="110">
        <f>21015.97+2143.31</f>
        <v>23159.280000000002</v>
      </c>
      <c r="D25" s="110">
        <v>50000</v>
      </c>
      <c r="E25" s="112">
        <f t="shared" si="0"/>
        <v>-26840.719999999998</v>
      </c>
      <c r="F25" s="31">
        <f t="shared" si="1"/>
        <v>0.46318560000000003</v>
      </c>
      <c r="G25" s="35">
        <f t="shared" si="2"/>
        <v>0.0032053392232937387</v>
      </c>
      <c r="H25" s="33"/>
      <c r="I25" s="33"/>
      <c r="J25" s="33"/>
      <c r="K25" s="33"/>
      <c r="L25" s="33"/>
      <c r="M25" s="33"/>
      <c r="N25" s="33"/>
      <c r="P25" s="67"/>
      <c r="Q25" s="67"/>
      <c r="R25" s="108"/>
      <c r="S25" s="108"/>
      <c r="T25" s="108"/>
      <c r="U25" s="68"/>
      <c r="V25" s="68"/>
      <c r="W25" s="68"/>
      <c r="X25" s="68"/>
    </row>
    <row r="26" spans="1:24" ht="12.75">
      <c r="A26" s="9">
        <v>91</v>
      </c>
      <c r="B26" s="14" t="s">
        <v>235</v>
      </c>
      <c r="C26" s="110">
        <v>235327.34</v>
      </c>
      <c r="D26" s="110">
        <v>125000</v>
      </c>
      <c r="E26" s="112">
        <f t="shared" si="0"/>
        <v>110327.34</v>
      </c>
      <c r="F26" s="31">
        <f t="shared" si="1"/>
        <v>1.88261872</v>
      </c>
      <c r="G26" s="35">
        <f t="shared" si="2"/>
        <v>0.008013348058234346</v>
      </c>
      <c r="H26" s="33"/>
      <c r="I26" s="33"/>
      <c r="J26" s="33"/>
      <c r="K26" s="33"/>
      <c r="L26" s="33"/>
      <c r="M26" s="33"/>
      <c r="N26" s="33"/>
      <c r="P26" s="67"/>
      <c r="Q26" s="67"/>
      <c r="R26" s="108"/>
      <c r="S26" s="108"/>
      <c r="T26" s="108"/>
      <c r="U26" s="68"/>
      <c r="V26" s="68"/>
      <c r="W26" s="68"/>
      <c r="X26" s="68"/>
    </row>
    <row r="27" spans="1:24" ht="12.75">
      <c r="A27" s="9">
        <v>92</v>
      </c>
      <c r="B27" s="14" t="s">
        <v>236</v>
      </c>
      <c r="C27" s="110">
        <v>19084.64</v>
      </c>
      <c r="D27" s="110">
        <v>76400</v>
      </c>
      <c r="E27" s="112">
        <f t="shared" si="0"/>
        <v>-57315.36</v>
      </c>
      <c r="F27" s="31">
        <f t="shared" si="1"/>
        <v>0.24979895287958115</v>
      </c>
      <c r="G27" s="35">
        <f t="shared" si="2"/>
        <v>0.004897758333192833</v>
      </c>
      <c r="H27" s="33"/>
      <c r="I27" s="33"/>
      <c r="J27" s="33"/>
      <c r="K27" s="33"/>
      <c r="L27" s="33"/>
      <c r="M27" s="33"/>
      <c r="N27" s="33"/>
      <c r="P27" s="67"/>
      <c r="Q27" s="67"/>
      <c r="R27" s="108"/>
      <c r="S27" s="108"/>
      <c r="T27" s="108"/>
      <c r="U27" s="68"/>
      <c r="V27" s="68"/>
      <c r="W27" s="68"/>
      <c r="X27" s="68"/>
    </row>
    <row r="28" spans="1:24" ht="12.75">
      <c r="A28" s="9">
        <v>93</v>
      </c>
      <c r="B28" s="109" t="s">
        <v>280</v>
      </c>
      <c r="C28" s="110">
        <v>142457.47</v>
      </c>
      <c r="D28" s="110">
        <v>179250</v>
      </c>
      <c r="E28" s="112">
        <f t="shared" si="0"/>
        <v>-36792.53</v>
      </c>
      <c r="F28" s="31">
        <f t="shared" si="1"/>
        <v>0.7947418131101813</v>
      </c>
      <c r="G28" s="35">
        <f t="shared" si="2"/>
        <v>0.011491141115508053</v>
      </c>
      <c r="H28" s="33"/>
      <c r="I28" s="33"/>
      <c r="J28" s="33"/>
      <c r="K28" s="33"/>
      <c r="L28" s="33"/>
      <c r="M28" s="33"/>
      <c r="N28" s="33"/>
      <c r="P28" s="67"/>
      <c r="U28" s="68"/>
      <c r="V28" s="68"/>
      <c r="W28" s="68"/>
      <c r="X28" s="68"/>
    </row>
    <row r="29" spans="1:24" ht="12.75">
      <c r="A29" s="9">
        <v>94</v>
      </c>
      <c r="B29" s="109" t="s">
        <v>281</v>
      </c>
      <c r="C29" s="110">
        <v>22714.8</v>
      </c>
      <c r="D29" s="110">
        <v>20000</v>
      </c>
      <c r="E29" s="112">
        <f t="shared" si="0"/>
        <v>2714.7999999999993</v>
      </c>
      <c r="F29" s="31">
        <f t="shared" si="1"/>
        <v>1.13574</v>
      </c>
      <c r="G29" s="35">
        <f t="shared" si="2"/>
        <v>0.0012821356893174954</v>
      </c>
      <c r="H29" s="33"/>
      <c r="I29" s="33"/>
      <c r="J29" s="33"/>
      <c r="K29" s="33"/>
      <c r="L29" s="33"/>
      <c r="M29" s="33"/>
      <c r="N29" s="33"/>
      <c r="P29" s="67"/>
      <c r="U29" s="68"/>
      <c r="V29" s="68"/>
      <c r="W29" s="68"/>
      <c r="X29" s="68"/>
    </row>
    <row r="30" spans="1:24" ht="12.75" customHeight="1">
      <c r="A30" s="9">
        <v>95</v>
      </c>
      <c r="B30" s="118" t="s">
        <v>282</v>
      </c>
      <c r="C30" s="110">
        <v>187528.25</v>
      </c>
      <c r="D30" s="110">
        <v>0</v>
      </c>
      <c r="E30" s="112">
        <f t="shared" si="0"/>
        <v>187528.25</v>
      </c>
      <c r="F30" s="31"/>
      <c r="G30" s="35">
        <f t="shared" si="2"/>
        <v>0</v>
      </c>
      <c r="H30" s="33"/>
      <c r="I30" s="33"/>
      <c r="J30" s="33"/>
      <c r="K30" s="33"/>
      <c r="L30" s="33"/>
      <c r="M30" s="33"/>
      <c r="N30" s="33"/>
      <c r="P30" s="7"/>
      <c r="U30" s="7"/>
      <c r="V30" s="7"/>
      <c r="W30" s="7"/>
      <c r="X30" s="7"/>
    </row>
    <row r="31" spans="1:14" ht="12.75">
      <c r="A31" s="9">
        <v>96</v>
      </c>
      <c r="B31" s="14" t="s">
        <v>237</v>
      </c>
      <c r="C31" s="110">
        <v>0</v>
      </c>
      <c r="D31" s="110">
        <v>0</v>
      </c>
      <c r="E31" s="112">
        <f t="shared" si="0"/>
        <v>0</v>
      </c>
      <c r="F31" s="31"/>
      <c r="G31" s="35">
        <f t="shared" si="2"/>
        <v>0</v>
      </c>
      <c r="H31" s="33"/>
      <c r="I31" s="33"/>
      <c r="J31" s="33"/>
      <c r="K31" s="33"/>
      <c r="L31" s="33"/>
      <c r="M31" s="33"/>
      <c r="N31" s="33"/>
    </row>
    <row r="32" spans="1:14" ht="12.75">
      <c r="A32" s="17">
        <v>97</v>
      </c>
      <c r="B32" s="25" t="s">
        <v>238</v>
      </c>
      <c r="C32" s="111">
        <v>0</v>
      </c>
      <c r="D32" s="111">
        <v>0</v>
      </c>
      <c r="E32" s="112">
        <f t="shared" si="0"/>
        <v>0</v>
      </c>
      <c r="F32" s="72"/>
      <c r="G32" s="72">
        <f t="shared" si="2"/>
        <v>0</v>
      </c>
      <c r="H32" s="33"/>
      <c r="I32" s="33"/>
      <c r="J32" s="33"/>
      <c r="K32" s="33"/>
      <c r="L32" s="33"/>
      <c r="M32" s="33"/>
      <c r="N32" s="33"/>
    </row>
    <row r="33" spans="1:14" ht="12.75">
      <c r="A33" s="26"/>
      <c r="B33" s="27" t="s">
        <v>33</v>
      </c>
      <c r="C33" s="39">
        <f>SUM(C15:C32)</f>
        <v>10170570.370000003</v>
      </c>
      <c r="D33" s="39">
        <f>SUM(D15:D32)</f>
        <v>8693800</v>
      </c>
      <c r="E33" s="39">
        <f>SUM(E15:E32)</f>
        <v>1476770.3700000006</v>
      </c>
      <c r="F33" s="37">
        <f t="shared" si="1"/>
        <v>1.1698647737468084</v>
      </c>
      <c r="G33" s="40"/>
      <c r="H33" s="33"/>
      <c r="I33" s="33"/>
      <c r="J33" s="33"/>
      <c r="K33" s="33"/>
      <c r="L33" s="33"/>
      <c r="M33" s="33"/>
      <c r="N33" s="33"/>
    </row>
    <row r="34" spans="1:14" ht="12.75">
      <c r="A34" s="26"/>
      <c r="B34" s="27" t="s">
        <v>239</v>
      </c>
      <c r="C34" s="39">
        <f>C15</f>
        <v>4003165.9000000004</v>
      </c>
      <c r="D34" s="39">
        <f>D15</f>
        <v>4000000</v>
      </c>
      <c r="E34" s="39">
        <f>E15</f>
        <v>3165.9000000003725</v>
      </c>
      <c r="F34" s="40"/>
      <c r="G34" s="40"/>
      <c r="H34" s="33"/>
      <c r="I34" s="33"/>
      <c r="J34" s="33"/>
      <c r="K34" s="33"/>
      <c r="L34" s="33"/>
      <c r="M34" s="33"/>
      <c r="N34" s="33"/>
    </row>
    <row r="35" spans="1:14" ht="12.75">
      <c r="A35" s="26"/>
      <c r="B35" s="27" t="s">
        <v>240</v>
      </c>
      <c r="C35" s="39">
        <f>C33-C34</f>
        <v>6167404.4700000025</v>
      </c>
      <c r="D35" s="39">
        <f>D33-D34</f>
        <v>4693800</v>
      </c>
      <c r="E35" s="39">
        <f>E33-E34</f>
        <v>1473604.4700000002</v>
      </c>
      <c r="F35" s="41">
        <f>C35/D35</f>
        <v>1.3139470088201464</v>
      </c>
      <c r="G35" s="40"/>
      <c r="H35" s="33"/>
      <c r="I35" s="33"/>
      <c r="J35" s="33"/>
      <c r="K35" s="33"/>
      <c r="L35" s="33"/>
      <c r="M35" s="33"/>
      <c r="N35" s="33"/>
    </row>
    <row r="36" spans="1:14" ht="12.75">
      <c r="A36" s="26"/>
      <c r="B36" s="7"/>
      <c r="C36" s="42"/>
      <c r="D36" s="42"/>
      <c r="E36" s="42"/>
      <c r="F36" s="40"/>
      <c r="G36" s="40"/>
      <c r="H36" s="33"/>
      <c r="I36" s="33"/>
      <c r="J36" s="33"/>
      <c r="K36" s="33"/>
      <c r="L36" s="33"/>
      <c r="M36" s="33"/>
      <c r="N36" s="33"/>
    </row>
    <row r="37" spans="1:14" ht="12.75">
      <c r="A37" s="26"/>
      <c r="B37" s="7"/>
      <c r="C37" s="42"/>
      <c r="D37" s="42"/>
      <c r="E37" s="42"/>
      <c r="F37" s="40"/>
      <c r="G37" s="40"/>
      <c r="H37" s="33"/>
      <c r="I37" s="33"/>
      <c r="J37" s="33"/>
      <c r="K37" s="33"/>
      <c r="L37" s="33"/>
      <c r="M37" s="33"/>
      <c r="N37" s="33"/>
    </row>
    <row r="38" spans="1:14" ht="12.75">
      <c r="A38" s="26"/>
      <c r="B38" s="7"/>
      <c r="C38" s="42"/>
      <c r="D38" s="42"/>
      <c r="E38" s="42"/>
      <c r="F38" s="40"/>
      <c r="G38" s="40"/>
      <c r="H38" s="33"/>
      <c r="I38" s="33"/>
      <c r="J38" s="33"/>
      <c r="K38" s="33"/>
      <c r="L38" s="33"/>
      <c r="M38" s="33"/>
      <c r="N38" s="33"/>
    </row>
    <row r="39" spans="1:14" ht="12.75">
      <c r="A39" s="26"/>
      <c r="B39" s="7"/>
      <c r="C39" s="42"/>
      <c r="D39" s="42"/>
      <c r="E39" s="42"/>
      <c r="F39" s="40"/>
      <c r="G39" s="40"/>
      <c r="H39" s="33"/>
      <c r="I39" s="33"/>
      <c r="J39" s="33"/>
      <c r="K39" s="33"/>
      <c r="L39" s="33"/>
      <c r="M39" s="33"/>
      <c r="N39" s="33"/>
    </row>
    <row r="40" spans="1:14" ht="12.75">
      <c r="A40" s="26"/>
      <c r="B40" s="7"/>
      <c r="C40" s="42"/>
      <c r="D40" s="42"/>
      <c r="E40" s="42"/>
      <c r="F40" s="40"/>
      <c r="G40" s="40"/>
      <c r="H40" s="33"/>
      <c r="I40" s="33"/>
      <c r="J40" s="33"/>
      <c r="K40" s="33"/>
      <c r="L40" s="33"/>
      <c r="M40" s="33"/>
      <c r="N40" s="33"/>
    </row>
    <row r="41" spans="1:14" ht="12">
      <c r="A41" s="161" t="str">
        <f>A1</f>
        <v>Kentucky American Water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</row>
    <row r="42" spans="1:14" ht="12">
      <c r="A42" s="161" t="str">
        <f>A2</f>
        <v>Case No. 2008-00427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1:14" ht="12">
      <c r="A43" s="161" t="s">
        <v>209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4:5" ht="12">
      <c r="D44" s="3" t="s">
        <v>2</v>
      </c>
      <c r="E44" s="130">
        <f>E4</f>
        <v>2004</v>
      </c>
    </row>
    <row r="45" spans="1:12" ht="12">
      <c r="A45" s="2" t="s">
        <v>3</v>
      </c>
      <c r="L45" s="2" t="s">
        <v>208</v>
      </c>
    </row>
    <row r="46" spans="1:12" ht="12">
      <c r="A46" s="2" t="s">
        <v>4</v>
      </c>
      <c r="L46" s="2" t="s">
        <v>309</v>
      </c>
    </row>
    <row r="47" ht="12">
      <c r="L47" s="2" t="s">
        <v>5</v>
      </c>
    </row>
    <row r="48" spans="12:13" ht="12">
      <c r="L48" s="4" t="s">
        <v>6</v>
      </c>
      <c r="M48" s="4"/>
    </row>
    <row r="51" spans="1:14" ht="12.75">
      <c r="A51" s="8"/>
      <c r="B51" s="12"/>
      <c r="C51" s="12"/>
      <c r="D51" s="12"/>
      <c r="E51" s="12"/>
      <c r="F51" s="12"/>
      <c r="G51" s="12"/>
      <c r="H51" s="12" t="s">
        <v>10</v>
      </c>
      <c r="I51" s="12" t="s">
        <v>10</v>
      </c>
      <c r="J51" s="12"/>
      <c r="K51" s="12" t="s">
        <v>11</v>
      </c>
      <c r="L51" s="12" t="s">
        <v>11</v>
      </c>
      <c r="M51" s="12"/>
      <c r="N51" s="12"/>
    </row>
    <row r="52" spans="1:14" ht="12.75">
      <c r="A52" s="9"/>
      <c r="B52" s="15"/>
      <c r="C52" s="15"/>
      <c r="D52" s="15" t="s">
        <v>14</v>
      </c>
      <c r="E52" s="15"/>
      <c r="F52" s="15"/>
      <c r="G52" s="15" t="s">
        <v>15</v>
      </c>
      <c r="H52" s="15" t="s">
        <v>16</v>
      </c>
      <c r="I52" s="15" t="s">
        <v>17</v>
      </c>
      <c r="J52" s="15"/>
      <c r="K52" s="15" t="s">
        <v>18</v>
      </c>
      <c r="L52" s="15" t="s">
        <v>18</v>
      </c>
      <c r="M52" s="15" t="s">
        <v>11</v>
      </c>
      <c r="N52" s="15" t="s">
        <v>11</v>
      </c>
    </row>
    <row r="53" spans="1:14" ht="12.75">
      <c r="A53" s="9"/>
      <c r="B53" s="15"/>
      <c r="C53" s="15" t="s">
        <v>14</v>
      </c>
      <c r="D53" s="15" t="s">
        <v>18</v>
      </c>
      <c r="E53" s="15" t="s">
        <v>24</v>
      </c>
      <c r="F53" s="15" t="s">
        <v>24</v>
      </c>
      <c r="G53" s="15" t="s">
        <v>25</v>
      </c>
      <c r="H53" s="15" t="s">
        <v>26</v>
      </c>
      <c r="I53" s="15" t="s">
        <v>26</v>
      </c>
      <c r="J53" s="15"/>
      <c r="K53" s="15" t="s">
        <v>17</v>
      </c>
      <c r="L53" s="15" t="s">
        <v>17</v>
      </c>
      <c r="M53" s="15" t="s">
        <v>16</v>
      </c>
      <c r="N53" s="15" t="s">
        <v>16</v>
      </c>
    </row>
    <row r="54" spans="1:14" ht="12.75">
      <c r="A54" s="17" t="s">
        <v>27</v>
      </c>
      <c r="B54" s="21" t="s">
        <v>28</v>
      </c>
      <c r="C54" s="21" t="s">
        <v>16</v>
      </c>
      <c r="D54" s="21" t="s">
        <v>17</v>
      </c>
      <c r="E54" s="21" t="s">
        <v>29</v>
      </c>
      <c r="F54" s="21" t="s">
        <v>15</v>
      </c>
      <c r="G54" s="21" t="s">
        <v>17</v>
      </c>
      <c r="H54" s="21" t="s">
        <v>30</v>
      </c>
      <c r="I54" s="21" t="s">
        <v>30</v>
      </c>
      <c r="J54" s="21" t="s">
        <v>24</v>
      </c>
      <c r="K54" s="21" t="s">
        <v>31</v>
      </c>
      <c r="L54" s="21" t="s">
        <v>32</v>
      </c>
      <c r="M54" s="21" t="s">
        <v>31</v>
      </c>
      <c r="N54" s="21" t="s">
        <v>32</v>
      </c>
    </row>
    <row r="55" spans="1:14" ht="12.75">
      <c r="A55" s="56"/>
      <c r="B55" s="57" t="s">
        <v>19</v>
      </c>
      <c r="C55" s="58"/>
      <c r="D55" s="58"/>
      <c r="E55" s="58"/>
      <c r="F55" s="59"/>
      <c r="G55" s="59"/>
      <c r="H55" s="60"/>
      <c r="I55" s="60"/>
      <c r="J55" s="60"/>
      <c r="K55" s="60"/>
      <c r="L55" s="60"/>
      <c r="M55" s="60"/>
      <c r="N55" s="60"/>
    </row>
    <row r="56" spans="1:14" ht="12.75">
      <c r="A56" s="83" t="s">
        <v>140</v>
      </c>
      <c r="B56" s="80" t="s">
        <v>255</v>
      </c>
      <c r="C56" s="112">
        <v>20997.88</v>
      </c>
      <c r="D56" s="112">
        <v>0</v>
      </c>
      <c r="E56" s="113">
        <f aca="true" t="shared" si="3" ref="E56:E69">C56-D56</f>
        <v>20997.88</v>
      </c>
      <c r="F56" s="35"/>
      <c r="G56" s="35">
        <f aca="true" t="shared" si="4" ref="G56:G77">D56/(D$33+D$79)</f>
        <v>0</v>
      </c>
      <c r="H56" s="34"/>
      <c r="I56" s="34"/>
      <c r="J56" s="43">
        <f>H56-I56</f>
        <v>0</v>
      </c>
      <c r="K56" s="121">
        <v>36892</v>
      </c>
      <c r="L56" s="121">
        <v>37226</v>
      </c>
      <c r="M56" s="121">
        <v>36982</v>
      </c>
      <c r="N56" s="52">
        <v>37226</v>
      </c>
    </row>
    <row r="57" spans="1:14" ht="12.75">
      <c r="A57" s="83" t="s">
        <v>141</v>
      </c>
      <c r="B57" s="80" t="s">
        <v>155</v>
      </c>
      <c r="C57" s="112">
        <v>756645.82</v>
      </c>
      <c r="D57" s="112">
        <v>666850</v>
      </c>
      <c r="E57" s="113">
        <f t="shared" si="3"/>
        <v>89795.81999999995</v>
      </c>
      <c r="F57" s="35">
        <f>C57/D57</f>
        <v>1.1346566994076628</v>
      </c>
      <c r="G57" s="35">
        <f t="shared" si="4"/>
        <v>0.042749609221068595</v>
      </c>
      <c r="H57" s="34">
        <v>1601091</v>
      </c>
      <c r="I57" s="34">
        <v>1500000</v>
      </c>
      <c r="J57" s="43">
        <f>H57-I57</f>
        <v>101091</v>
      </c>
      <c r="K57" s="121">
        <v>36951</v>
      </c>
      <c r="L57" s="121">
        <v>37956</v>
      </c>
      <c r="M57" s="121">
        <v>36923</v>
      </c>
      <c r="N57" s="52">
        <v>38200</v>
      </c>
    </row>
    <row r="58" spans="1:14" ht="12.75">
      <c r="A58" s="83" t="s">
        <v>142</v>
      </c>
      <c r="B58" s="80" t="s">
        <v>156</v>
      </c>
      <c r="C58" s="112">
        <v>80165.8</v>
      </c>
      <c r="D58" s="112">
        <v>70000</v>
      </c>
      <c r="E58" s="113">
        <f t="shared" si="3"/>
        <v>10165.800000000003</v>
      </c>
      <c r="F58" s="35">
        <f aca="true" t="shared" si="5" ref="F58:F69">C58/D58</f>
        <v>1.1452257142857143</v>
      </c>
      <c r="G58" s="35">
        <f t="shared" si="4"/>
        <v>0.004487474912611234</v>
      </c>
      <c r="H58" s="34"/>
      <c r="I58" s="34"/>
      <c r="J58" s="43">
        <f>H58-I58</f>
        <v>0</v>
      </c>
      <c r="K58" s="121">
        <v>36892</v>
      </c>
      <c r="L58" s="121">
        <v>37742</v>
      </c>
      <c r="M58" s="121">
        <v>37500</v>
      </c>
      <c r="N58" s="52">
        <v>38687</v>
      </c>
    </row>
    <row r="59" spans="1:14" ht="12.75">
      <c r="A59" s="82" t="s">
        <v>143</v>
      </c>
      <c r="B59" s="80" t="s">
        <v>56</v>
      </c>
      <c r="C59" s="112">
        <v>1545.88</v>
      </c>
      <c r="D59" s="112">
        <v>0</v>
      </c>
      <c r="E59" s="113">
        <f t="shared" si="3"/>
        <v>1545.88</v>
      </c>
      <c r="F59" s="35"/>
      <c r="G59" s="35">
        <f t="shared" si="4"/>
        <v>0</v>
      </c>
      <c r="H59" s="34"/>
      <c r="I59" s="34"/>
      <c r="J59" s="43">
        <f>H59-I59</f>
        <v>0</v>
      </c>
      <c r="K59" s="121">
        <v>36892</v>
      </c>
      <c r="L59" s="121">
        <v>37591</v>
      </c>
      <c r="M59" s="121">
        <v>36892</v>
      </c>
      <c r="N59" s="52">
        <v>37895</v>
      </c>
    </row>
    <row r="60" spans="1:14" ht="12.75">
      <c r="A60" s="83" t="s">
        <v>144</v>
      </c>
      <c r="B60" s="80" t="s">
        <v>157</v>
      </c>
      <c r="C60" s="112">
        <v>514517.92</v>
      </c>
      <c r="D60" s="112">
        <v>950000</v>
      </c>
      <c r="E60" s="113">
        <f t="shared" si="3"/>
        <v>-435482.08</v>
      </c>
      <c r="F60" s="35">
        <f t="shared" si="5"/>
        <v>0.5415978105263157</v>
      </c>
      <c r="G60" s="35">
        <f t="shared" si="4"/>
        <v>0.06090144524258104</v>
      </c>
      <c r="H60" s="34"/>
      <c r="I60" s="34"/>
      <c r="J60" s="43">
        <f aca="true" t="shared" si="6" ref="J60:J77">H60-I60</f>
        <v>0</v>
      </c>
      <c r="K60" s="121">
        <v>36892</v>
      </c>
      <c r="L60" s="121">
        <v>38322</v>
      </c>
      <c r="M60" s="121">
        <v>36923</v>
      </c>
      <c r="N60" s="52">
        <v>38687</v>
      </c>
    </row>
    <row r="61" spans="1:14" ht="12.75">
      <c r="A61" s="86" t="s">
        <v>149</v>
      </c>
      <c r="B61" s="85" t="s">
        <v>162</v>
      </c>
      <c r="C61" s="112">
        <v>6214.53</v>
      </c>
      <c r="D61" s="112">
        <v>0</v>
      </c>
      <c r="E61" s="113">
        <f t="shared" si="3"/>
        <v>6214.53</v>
      </c>
      <c r="F61" s="35"/>
      <c r="G61" s="55">
        <f t="shared" si="4"/>
        <v>0</v>
      </c>
      <c r="H61" s="34"/>
      <c r="I61" s="34"/>
      <c r="J61" s="43">
        <f t="shared" si="6"/>
        <v>0</v>
      </c>
      <c r="K61" s="121">
        <v>36951</v>
      </c>
      <c r="L61" s="121">
        <v>37500</v>
      </c>
      <c r="M61" s="121">
        <v>37104</v>
      </c>
      <c r="N61" s="52">
        <v>37773</v>
      </c>
    </row>
    <row r="62" spans="1:14" ht="12.75">
      <c r="A62" s="84" t="s">
        <v>150</v>
      </c>
      <c r="B62" s="85" t="s">
        <v>181</v>
      </c>
      <c r="C62" s="112">
        <v>98864.58</v>
      </c>
      <c r="D62" s="112">
        <v>150000</v>
      </c>
      <c r="E62" s="113">
        <f t="shared" si="3"/>
        <v>-51135.42</v>
      </c>
      <c r="F62" s="35">
        <f t="shared" si="5"/>
        <v>0.6590972</v>
      </c>
      <c r="G62" s="55">
        <f t="shared" si="4"/>
        <v>0.009616017669881216</v>
      </c>
      <c r="H62" s="34">
        <v>2132257</v>
      </c>
      <c r="I62" s="34">
        <v>1800000</v>
      </c>
      <c r="J62" s="43">
        <f t="shared" si="6"/>
        <v>332257</v>
      </c>
      <c r="K62" s="107">
        <v>37165</v>
      </c>
      <c r="L62" s="121">
        <v>37742</v>
      </c>
      <c r="M62" s="121">
        <v>37288</v>
      </c>
      <c r="N62" s="52">
        <v>38322</v>
      </c>
    </row>
    <row r="63" spans="1:14" ht="12.75">
      <c r="A63" s="92" t="s">
        <v>165</v>
      </c>
      <c r="B63" s="93" t="s">
        <v>173</v>
      </c>
      <c r="C63" s="112">
        <v>9248.8</v>
      </c>
      <c r="D63" s="112">
        <v>616000</v>
      </c>
      <c r="E63" s="113">
        <f t="shared" si="3"/>
        <v>-606751.2</v>
      </c>
      <c r="F63" s="35">
        <f t="shared" si="5"/>
        <v>0.015014285714285713</v>
      </c>
      <c r="G63" s="55">
        <f t="shared" si="4"/>
        <v>0.03948977923097886</v>
      </c>
      <c r="H63" s="34"/>
      <c r="I63" s="34"/>
      <c r="J63" s="43">
        <f t="shared" si="6"/>
        <v>0</v>
      </c>
      <c r="K63" s="107">
        <v>37347</v>
      </c>
      <c r="L63" s="121">
        <v>37956</v>
      </c>
      <c r="M63" s="121">
        <v>37316</v>
      </c>
      <c r="N63" s="52"/>
    </row>
    <row r="64" spans="1:14" ht="12.75">
      <c r="A64" s="98" t="s">
        <v>166</v>
      </c>
      <c r="B64" s="93" t="s">
        <v>187</v>
      </c>
      <c r="C64" s="112">
        <v>412.38</v>
      </c>
      <c r="D64" s="112">
        <v>0</v>
      </c>
      <c r="E64" s="113">
        <f t="shared" si="3"/>
        <v>412.38</v>
      </c>
      <c r="F64" s="35"/>
      <c r="G64" s="55">
        <f t="shared" si="4"/>
        <v>0</v>
      </c>
      <c r="H64" s="34"/>
      <c r="I64" s="34"/>
      <c r="J64" s="43">
        <f t="shared" si="6"/>
        <v>0</v>
      </c>
      <c r="K64" s="121">
        <v>37257</v>
      </c>
      <c r="L64" s="121">
        <v>37591</v>
      </c>
      <c r="M64" s="121">
        <v>37257</v>
      </c>
      <c r="N64" s="52">
        <v>37561</v>
      </c>
    </row>
    <row r="65" spans="1:14" ht="12.75">
      <c r="A65" s="92" t="s">
        <v>167</v>
      </c>
      <c r="B65" s="93" t="s">
        <v>182</v>
      </c>
      <c r="C65" s="112">
        <v>761059.67</v>
      </c>
      <c r="D65" s="112">
        <v>450000</v>
      </c>
      <c r="E65" s="113">
        <f t="shared" si="3"/>
        <v>311059.67000000004</v>
      </c>
      <c r="F65" s="35">
        <f t="shared" si="5"/>
        <v>1.6912437111111112</v>
      </c>
      <c r="G65" s="55">
        <f t="shared" si="4"/>
        <v>0.02884805300964365</v>
      </c>
      <c r="H65" s="34">
        <v>773246</v>
      </c>
      <c r="I65" s="34">
        <v>450000</v>
      </c>
      <c r="J65" s="43">
        <f t="shared" si="6"/>
        <v>323246</v>
      </c>
      <c r="K65" s="121">
        <v>37469</v>
      </c>
      <c r="L65" s="121">
        <v>37712</v>
      </c>
      <c r="M65" s="121">
        <v>37956</v>
      </c>
      <c r="N65" s="52">
        <v>38322</v>
      </c>
    </row>
    <row r="66" spans="1:14" ht="12.75">
      <c r="A66" s="92" t="s">
        <v>168</v>
      </c>
      <c r="B66" s="93" t="s">
        <v>183</v>
      </c>
      <c r="C66" s="112">
        <v>0</v>
      </c>
      <c r="D66" s="112">
        <v>241730</v>
      </c>
      <c r="E66" s="113">
        <f t="shared" si="3"/>
        <v>-241730</v>
      </c>
      <c r="F66" s="35">
        <f t="shared" si="5"/>
        <v>0</v>
      </c>
      <c r="G66" s="55">
        <f t="shared" si="4"/>
        <v>0.01549653300893591</v>
      </c>
      <c r="H66" s="34"/>
      <c r="I66" s="34"/>
      <c r="J66" s="43">
        <f t="shared" si="6"/>
        <v>0</v>
      </c>
      <c r="K66" s="107">
        <v>37347</v>
      </c>
      <c r="L66" s="121">
        <v>37956</v>
      </c>
      <c r="M66" s="121">
        <v>37043</v>
      </c>
      <c r="N66" s="52"/>
    </row>
    <row r="67" spans="1:14" ht="12.75">
      <c r="A67" s="92" t="s">
        <v>178</v>
      </c>
      <c r="B67" s="93" t="s">
        <v>184</v>
      </c>
      <c r="C67" s="112">
        <v>480216.23</v>
      </c>
      <c r="D67" s="112">
        <v>1100000</v>
      </c>
      <c r="E67" s="113">
        <f t="shared" si="3"/>
        <v>-619783.77</v>
      </c>
      <c r="F67" s="35">
        <f t="shared" si="5"/>
        <v>0.4365602090909091</v>
      </c>
      <c r="G67" s="55">
        <f t="shared" si="4"/>
        <v>0.07051746291246225</v>
      </c>
      <c r="H67" s="34"/>
      <c r="I67" s="34"/>
      <c r="J67" s="43">
        <f t="shared" si="6"/>
        <v>0</v>
      </c>
      <c r="K67" s="121">
        <v>37742</v>
      </c>
      <c r="L67" s="121">
        <v>38687</v>
      </c>
      <c r="M67" s="121">
        <v>37803</v>
      </c>
      <c r="N67" s="52">
        <v>38687</v>
      </c>
    </row>
    <row r="68" spans="1:14" ht="12.75">
      <c r="A68" s="92" t="s">
        <v>179</v>
      </c>
      <c r="B68" s="93" t="s">
        <v>159</v>
      </c>
      <c r="C68" s="112">
        <v>130942.64</v>
      </c>
      <c r="D68" s="112">
        <v>0</v>
      </c>
      <c r="E68" s="113">
        <f t="shared" si="3"/>
        <v>130942.64</v>
      </c>
      <c r="F68" s="35"/>
      <c r="G68" s="55">
        <f t="shared" si="4"/>
        <v>0</v>
      </c>
      <c r="H68" s="34"/>
      <c r="I68" s="34"/>
      <c r="J68" s="43">
        <f t="shared" si="6"/>
        <v>0</v>
      </c>
      <c r="K68" s="121">
        <v>37622</v>
      </c>
      <c r="L68" s="121">
        <v>37956</v>
      </c>
      <c r="M68" s="121">
        <v>37622</v>
      </c>
      <c r="N68" s="52">
        <v>37895</v>
      </c>
    </row>
    <row r="69" spans="1:14" ht="12.75">
      <c r="A69" s="92" t="s">
        <v>180</v>
      </c>
      <c r="B69" s="93" t="s">
        <v>185</v>
      </c>
      <c r="C69" s="112">
        <v>725151.48</v>
      </c>
      <c r="D69" s="112">
        <v>1010000</v>
      </c>
      <c r="E69" s="113">
        <f t="shared" si="3"/>
        <v>-284848.52</v>
      </c>
      <c r="F69" s="35">
        <f t="shared" si="5"/>
        <v>0.7179717623762376</v>
      </c>
      <c r="G69" s="55">
        <f t="shared" si="4"/>
        <v>0.06474785231053352</v>
      </c>
      <c r="H69" s="34"/>
      <c r="I69" s="34"/>
      <c r="J69" s="43">
        <f t="shared" si="6"/>
        <v>0</v>
      </c>
      <c r="K69" s="121">
        <v>37622</v>
      </c>
      <c r="L69" s="121">
        <v>38169</v>
      </c>
      <c r="M69" s="121">
        <v>37773</v>
      </c>
      <c r="N69" s="52">
        <v>38687</v>
      </c>
    </row>
    <row r="70" spans="1:14" ht="12.75">
      <c r="A70" s="98" t="s">
        <v>243</v>
      </c>
      <c r="B70" s="93" t="s">
        <v>159</v>
      </c>
      <c r="C70" s="112">
        <f>248862.27+318319.11</f>
        <v>567181.38</v>
      </c>
      <c r="D70" s="112">
        <v>400000</v>
      </c>
      <c r="E70" s="113">
        <f aca="true" t="shared" si="7" ref="E70:E77">C70-D70</f>
        <v>167181.38</v>
      </c>
      <c r="F70" s="35">
        <f>C70/D70</f>
        <v>1.41795345</v>
      </c>
      <c r="G70" s="55">
        <f t="shared" si="4"/>
        <v>0.02564271378634991</v>
      </c>
      <c r="H70" s="34"/>
      <c r="I70" s="34"/>
      <c r="J70" s="43">
        <f t="shared" si="6"/>
        <v>0</v>
      </c>
      <c r="K70" s="121">
        <v>37987</v>
      </c>
      <c r="L70" s="121" t="s">
        <v>284</v>
      </c>
      <c r="M70" s="121" t="s">
        <v>284</v>
      </c>
      <c r="N70" s="52" t="s">
        <v>284</v>
      </c>
    </row>
    <row r="71" spans="1:14" ht="12.75">
      <c r="A71" s="98" t="s">
        <v>244</v>
      </c>
      <c r="B71" s="93" t="s">
        <v>245</v>
      </c>
      <c r="C71" s="112">
        <v>0</v>
      </c>
      <c r="D71" s="112">
        <v>60000</v>
      </c>
      <c r="E71" s="113">
        <f t="shared" si="7"/>
        <v>-60000</v>
      </c>
      <c r="F71" s="35">
        <f>C71/D71</f>
        <v>0</v>
      </c>
      <c r="G71" s="55">
        <f t="shared" si="4"/>
        <v>0.0038464070679524866</v>
      </c>
      <c r="H71" s="34"/>
      <c r="I71" s="34"/>
      <c r="J71" s="43">
        <f t="shared" si="6"/>
        <v>0</v>
      </c>
      <c r="K71" s="121">
        <v>38261</v>
      </c>
      <c r="L71" s="121">
        <v>39417</v>
      </c>
      <c r="M71" s="121">
        <v>38261</v>
      </c>
      <c r="N71" s="52"/>
    </row>
    <row r="72" spans="1:14" ht="12.75">
      <c r="A72" s="98" t="s">
        <v>242</v>
      </c>
      <c r="B72" s="93" t="s">
        <v>241</v>
      </c>
      <c r="C72" s="112">
        <v>0</v>
      </c>
      <c r="D72" s="112">
        <v>1190593</v>
      </c>
      <c r="E72" s="113">
        <f t="shared" si="7"/>
        <v>-1190593</v>
      </c>
      <c r="F72" s="35">
        <f>C72/D72</f>
        <v>0</v>
      </c>
      <c r="G72" s="55">
        <f t="shared" si="4"/>
        <v>0.07632508883757924</v>
      </c>
      <c r="H72" s="34"/>
      <c r="I72" s="34"/>
      <c r="J72" s="43">
        <f t="shared" si="6"/>
        <v>0</v>
      </c>
      <c r="K72" s="45">
        <v>37987</v>
      </c>
      <c r="L72" s="45">
        <v>38322</v>
      </c>
      <c r="M72" s="121">
        <v>37987</v>
      </c>
      <c r="N72" s="52">
        <v>38718</v>
      </c>
    </row>
    <row r="73" spans="1:14" ht="12.75">
      <c r="A73" s="98" t="s">
        <v>256</v>
      </c>
      <c r="B73" s="116" t="s">
        <v>257</v>
      </c>
      <c r="C73" s="112">
        <v>274466.03</v>
      </c>
      <c r="D73" s="112">
        <v>0</v>
      </c>
      <c r="E73" s="112">
        <f t="shared" si="7"/>
        <v>274466.03</v>
      </c>
      <c r="F73" s="35"/>
      <c r="G73" s="115">
        <f t="shared" si="4"/>
        <v>0</v>
      </c>
      <c r="H73" s="34">
        <v>275760</v>
      </c>
      <c r="I73" s="34">
        <v>250000</v>
      </c>
      <c r="J73" s="43">
        <f t="shared" si="6"/>
        <v>25760</v>
      </c>
      <c r="K73" s="121">
        <v>38412</v>
      </c>
      <c r="L73" s="121">
        <v>38534</v>
      </c>
      <c r="M73" s="121">
        <v>38231</v>
      </c>
      <c r="N73" s="52">
        <v>38322</v>
      </c>
    </row>
    <row r="74" spans="1:14" ht="12.75">
      <c r="A74" s="79" t="s">
        <v>39</v>
      </c>
      <c r="B74" s="80" t="s">
        <v>124</v>
      </c>
      <c r="C74" s="112">
        <v>49109.11</v>
      </c>
      <c r="D74" s="112">
        <v>0</v>
      </c>
      <c r="E74" s="113">
        <f t="shared" si="7"/>
        <v>49109.11</v>
      </c>
      <c r="F74" s="35"/>
      <c r="G74" s="35">
        <f t="shared" si="4"/>
        <v>0</v>
      </c>
      <c r="H74" s="34"/>
      <c r="I74" s="34"/>
      <c r="J74" s="43">
        <f t="shared" si="6"/>
        <v>0</v>
      </c>
      <c r="K74" s="121">
        <v>33786</v>
      </c>
      <c r="L74" s="121">
        <v>35400</v>
      </c>
      <c r="M74" s="121">
        <v>33848</v>
      </c>
      <c r="N74" s="51"/>
    </row>
    <row r="75" spans="1:14" ht="12.75">
      <c r="A75" s="79" t="s">
        <v>48</v>
      </c>
      <c r="B75" s="80" t="s">
        <v>49</v>
      </c>
      <c r="C75" s="112">
        <v>45257.03</v>
      </c>
      <c r="D75" s="112">
        <v>0</v>
      </c>
      <c r="E75" s="113">
        <f t="shared" si="7"/>
        <v>45257.03</v>
      </c>
      <c r="F75" s="35"/>
      <c r="G75" s="35">
        <f t="shared" si="4"/>
        <v>0</v>
      </c>
      <c r="H75" s="34"/>
      <c r="I75" s="34"/>
      <c r="J75" s="43">
        <f t="shared" si="6"/>
        <v>0</v>
      </c>
      <c r="K75" s="121">
        <v>35400</v>
      </c>
      <c r="L75" s="121">
        <v>36312</v>
      </c>
      <c r="M75" s="121">
        <v>35370</v>
      </c>
      <c r="N75" s="52">
        <v>37956</v>
      </c>
    </row>
    <row r="76" spans="1:14" ht="12.75">
      <c r="A76" s="81" t="s">
        <v>60</v>
      </c>
      <c r="B76" s="80" t="s">
        <v>169</v>
      </c>
      <c r="C76" s="112">
        <v>30465</v>
      </c>
      <c r="D76" s="112">
        <v>0</v>
      </c>
      <c r="E76" s="113">
        <f t="shared" si="7"/>
        <v>30465</v>
      </c>
      <c r="F76" s="35"/>
      <c r="G76" s="35">
        <f t="shared" si="4"/>
        <v>0</v>
      </c>
      <c r="H76" s="34"/>
      <c r="I76" s="34"/>
      <c r="J76" s="43">
        <f t="shared" si="6"/>
        <v>0</v>
      </c>
      <c r="K76" s="121">
        <v>35827</v>
      </c>
      <c r="L76" s="121">
        <v>36404</v>
      </c>
      <c r="M76" s="121">
        <v>36192</v>
      </c>
      <c r="N76" s="52">
        <v>39052</v>
      </c>
    </row>
    <row r="77" spans="1:14" ht="12.75">
      <c r="A77" s="79" t="s">
        <v>65</v>
      </c>
      <c r="B77" s="80" t="s">
        <v>170</v>
      </c>
      <c r="C77" s="112">
        <v>1862.4</v>
      </c>
      <c r="D77" s="112">
        <v>0</v>
      </c>
      <c r="E77" s="113">
        <f t="shared" si="7"/>
        <v>1862.4</v>
      </c>
      <c r="F77" s="35"/>
      <c r="G77" s="35">
        <f t="shared" si="4"/>
        <v>0</v>
      </c>
      <c r="H77" s="34"/>
      <c r="I77" s="34"/>
      <c r="J77" s="43">
        <f t="shared" si="6"/>
        <v>0</v>
      </c>
      <c r="K77" s="121">
        <v>35886</v>
      </c>
      <c r="L77" s="121">
        <v>36465</v>
      </c>
      <c r="M77" s="121">
        <v>36008</v>
      </c>
      <c r="N77" s="52"/>
    </row>
    <row r="78" spans="1:14" ht="12.75">
      <c r="A78" s="94"/>
      <c r="B78" s="95"/>
      <c r="C78" s="114"/>
      <c r="D78" s="114"/>
      <c r="E78" s="112"/>
      <c r="F78" s="35"/>
      <c r="G78" s="38"/>
      <c r="H78" s="36"/>
      <c r="I78" s="36"/>
      <c r="J78" s="44"/>
      <c r="K78" s="49"/>
      <c r="L78" s="49"/>
      <c r="M78" s="49"/>
      <c r="N78" s="50"/>
    </row>
    <row r="79" spans="3:14" ht="12">
      <c r="C79" s="90">
        <f>SUM(C55:C78)</f>
        <v>4554324.560000001</v>
      </c>
      <c r="D79" s="39">
        <f>SUM(D55:D78)</f>
        <v>6905173</v>
      </c>
      <c r="E79" s="39">
        <f>SUM(E55:E78)</f>
        <v>-2350848.440000001</v>
      </c>
      <c r="F79" s="41">
        <f>C79/D79</f>
        <v>0.6595525644324917</v>
      </c>
      <c r="G79" s="40"/>
      <c r="H79" s="33"/>
      <c r="I79" s="33"/>
      <c r="J79" s="33"/>
      <c r="K79" s="33"/>
      <c r="L79" s="33"/>
      <c r="M79" s="33"/>
      <c r="N79" s="33"/>
    </row>
  </sheetData>
  <mergeCells count="6">
    <mergeCell ref="A42:N42"/>
    <mergeCell ref="A43:N43"/>
    <mergeCell ref="A1:N1"/>
    <mergeCell ref="A2:N2"/>
    <mergeCell ref="A3:N3"/>
    <mergeCell ref="A41:N41"/>
  </mergeCells>
  <printOptions horizontalCentered="1"/>
  <pageMargins left="0.25" right="0.25" top="0.27" bottom="0.25" header="0" footer="0"/>
  <pageSetup fitToHeight="2" fitToWidth="2" horizontalDpi="600" verticalDpi="600" orientation="landscape" scale="71" r:id="rId1"/>
  <rowBreaks count="1" manualBreakCount="1">
    <brk id="40" max="23" man="1"/>
  </rowBreaks>
  <colBreaks count="1" manualBreakCount="1">
    <brk id="14" max="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65"/>
  <sheetViews>
    <sheetView zoomScaleSheetLayoutView="85" workbookViewId="0" topLeftCell="C1">
      <selection activeCell="A1" sqref="A1:N1"/>
    </sheetView>
  </sheetViews>
  <sheetFormatPr defaultColWidth="9.83203125" defaultRowHeight="12"/>
  <cols>
    <col min="1" max="1" width="8.66015625" style="1" customWidth="1"/>
    <col min="2" max="2" width="60.66015625" style="1" customWidth="1"/>
    <col min="3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9.83203125" style="1" customWidth="1"/>
    <col min="16" max="16" width="7.83203125" style="1" customWidth="1"/>
    <col min="17" max="17" width="60.66015625" style="1" customWidth="1"/>
    <col min="18" max="18" width="82.66015625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186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 t="s">
        <v>0</v>
      </c>
    </row>
    <row r="2" spans="1:23" ht="12">
      <c r="A2" s="161" t="s">
        <v>321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1</v>
      </c>
    </row>
    <row r="3" spans="1:23" ht="12">
      <c r="A3" s="161" t="s">
        <v>209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305</v>
      </c>
    </row>
    <row r="4" spans="4:23" ht="12">
      <c r="D4" s="3" t="s">
        <v>2</v>
      </c>
      <c r="E4" s="130">
        <v>2003</v>
      </c>
      <c r="W4" s="2" t="s">
        <v>114</v>
      </c>
    </row>
    <row r="5" spans="1:12" ht="12">
      <c r="A5" s="2" t="s">
        <v>3</v>
      </c>
      <c r="L5" s="2" t="s">
        <v>208</v>
      </c>
    </row>
    <row r="6" spans="1:16" ht="15.75">
      <c r="A6" s="2" t="s">
        <v>4</v>
      </c>
      <c r="L6" s="2" t="s">
        <v>310</v>
      </c>
      <c r="P6" s="5" t="s">
        <v>164</v>
      </c>
    </row>
    <row r="7" spans="12:21" ht="19.5">
      <c r="L7" s="2" t="s">
        <v>5</v>
      </c>
      <c r="P7" s="6"/>
      <c r="U7" s="5" t="s">
        <v>123</v>
      </c>
    </row>
    <row r="8" spans="12:13" ht="12">
      <c r="L8" s="4" t="s">
        <v>6</v>
      </c>
      <c r="M8" s="4"/>
    </row>
    <row r="9" spans="17:24" ht="12.75">
      <c r="Q9" s="7"/>
      <c r="R9" s="7"/>
      <c r="S9" s="7"/>
      <c r="T9" s="8" t="s">
        <v>7</v>
      </c>
      <c r="U9" s="7"/>
      <c r="V9" s="7"/>
      <c r="W9" s="7"/>
      <c r="X9" s="7"/>
    </row>
    <row r="10" spans="17:24" ht="12.75">
      <c r="Q10" s="7"/>
      <c r="R10" s="7"/>
      <c r="S10" s="8" t="s">
        <v>8</v>
      </c>
      <c r="T10" s="9" t="s">
        <v>210</v>
      </c>
      <c r="U10" s="10" t="s">
        <v>9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10</v>
      </c>
      <c r="I11" s="12" t="s">
        <v>10</v>
      </c>
      <c r="J11" s="12"/>
      <c r="K11" s="12" t="s">
        <v>11</v>
      </c>
      <c r="L11" s="12" t="s">
        <v>11</v>
      </c>
      <c r="M11" s="12"/>
      <c r="N11" s="12"/>
      <c r="Q11" s="7"/>
      <c r="R11" s="7"/>
      <c r="S11" s="9" t="s">
        <v>12</v>
      </c>
      <c r="T11" s="9" t="s">
        <v>12</v>
      </c>
      <c r="U11" s="13" t="s">
        <v>13</v>
      </c>
      <c r="V11" s="14"/>
      <c r="W11" s="7"/>
      <c r="X11" s="7"/>
    </row>
    <row r="12" spans="1:24" ht="12.75">
      <c r="A12" s="9"/>
      <c r="B12" s="15"/>
      <c r="C12" s="15"/>
      <c r="D12" s="15" t="s">
        <v>14</v>
      </c>
      <c r="E12" s="15"/>
      <c r="F12" s="15"/>
      <c r="G12" s="15" t="s">
        <v>15</v>
      </c>
      <c r="H12" s="15" t="s">
        <v>16</v>
      </c>
      <c r="I12" s="15" t="s">
        <v>17</v>
      </c>
      <c r="J12" s="15"/>
      <c r="K12" s="15" t="s">
        <v>18</v>
      </c>
      <c r="L12" s="15" t="s">
        <v>18</v>
      </c>
      <c r="M12" s="15" t="s">
        <v>11</v>
      </c>
      <c r="N12" s="15" t="s">
        <v>11</v>
      </c>
      <c r="P12" s="4"/>
      <c r="Q12" s="16" t="s">
        <v>211</v>
      </c>
      <c r="R12" s="16" t="s">
        <v>20</v>
      </c>
      <c r="S12" s="17" t="s">
        <v>21</v>
      </c>
      <c r="T12" s="17" t="s">
        <v>21</v>
      </c>
      <c r="U12" s="16" t="s">
        <v>22</v>
      </c>
      <c r="V12" s="16" t="s">
        <v>23</v>
      </c>
      <c r="W12" s="16" t="s">
        <v>22</v>
      </c>
      <c r="X12" s="16" t="s">
        <v>23</v>
      </c>
    </row>
    <row r="13" spans="1:26" ht="12.75">
      <c r="A13" s="9"/>
      <c r="B13" s="15"/>
      <c r="C13" s="15" t="s">
        <v>14</v>
      </c>
      <c r="D13" s="15" t="s">
        <v>18</v>
      </c>
      <c r="E13" s="15" t="s">
        <v>24</v>
      </c>
      <c r="F13" s="15" t="s">
        <v>24</v>
      </c>
      <c r="G13" s="15" t="s">
        <v>25</v>
      </c>
      <c r="H13" s="15" t="s">
        <v>26</v>
      </c>
      <c r="I13" s="15" t="s">
        <v>26</v>
      </c>
      <c r="J13" s="15"/>
      <c r="K13" s="15" t="s">
        <v>17</v>
      </c>
      <c r="L13" s="15" t="s">
        <v>17</v>
      </c>
      <c r="M13" s="15" t="s">
        <v>16</v>
      </c>
      <c r="N13" s="15" t="s">
        <v>16</v>
      </c>
      <c r="P13" s="9" t="s">
        <v>48</v>
      </c>
      <c r="Q13" s="18" t="s">
        <v>206</v>
      </c>
      <c r="R13" s="19" t="s">
        <v>207</v>
      </c>
      <c r="S13" s="20">
        <v>3403518</v>
      </c>
      <c r="T13" s="20">
        <v>352200</v>
      </c>
      <c r="U13" s="53">
        <v>35400</v>
      </c>
      <c r="V13" s="53">
        <v>36312</v>
      </c>
      <c r="W13" s="53">
        <v>35370</v>
      </c>
      <c r="X13" s="53">
        <v>37956</v>
      </c>
      <c r="Y13" s="105"/>
      <c r="Z13" s="105"/>
    </row>
    <row r="14" spans="1:24" ht="12.75">
      <c r="A14" s="17" t="s">
        <v>27</v>
      </c>
      <c r="B14" s="21" t="s">
        <v>28</v>
      </c>
      <c r="C14" s="21" t="s">
        <v>16</v>
      </c>
      <c r="D14" s="21" t="s">
        <v>17</v>
      </c>
      <c r="E14" s="21" t="s">
        <v>29</v>
      </c>
      <c r="F14" s="21" t="s">
        <v>15</v>
      </c>
      <c r="G14" s="21" t="s">
        <v>17</v>
      </c>
      <c r="H14" s="21" t="s">
        <v>30</v>
      </c>
      <c r="I14" s="21" t="s">
        <v>30</v>
      </c>
      <c r="J14" s="21" t="s">
        <v>24</v>
      </c>
      <c r="K14" s="21" t="s">
        <v>31</v>
      </c>
      <c r="L14" s="21" t="s">
        <v>32</v>
      </c>
      <c r="M14" s="21" t="s">
        <v>31</v>
      </c>
      <c r="N14" s="21" t="s">
        <v>32</v>
      </c>
      <c r="P14" s="104" t="s">
        <v>143</v>
      </c>
      <c r="Q14" s="18" t="s">
        <v>56</v>
      </c>
      <c r="R14" s="22" t="s">
        <v>202</v>
      </c>
      <c r="S14" s="34">
        <v>2356593</v>
      </c>
      <c r="T14" s="34">
        <v>1500000</v>
      </c>
      <c r="U14" s="54">
        <v>36892</v>
      </c>
      <c r="V14" s="54">
        <v>37591</v>
      </c>
      <c r="W14" s="54">
        <v>36892</v>
      </c>
      <c r="X14" s="54">
        <v>37895</v>
      </c>
    </row>
    <row r="15" spans="1:24" ht="12.75">
      <c r="A15" s="9" t="s">
        <v>77</v>
      </c>
      <c r="B15" s="14" t="s">
        <v>81</v>
      </c>
      <c r="C15" s="30">
        <v>3711271</v>
      </c>
      <c r="D15" s="30">
        <v>4250000</v>
      </c>
      <c r="E15" s="30">
        <f aca="true" t="shared" si="0" ref="E15:E22">C15-D15</f>
        <v>-538729</v>
      </c>
      <c r="F15" s="31">
        <f aca="true" t="shared" si="1" ref="F15:F23">C15/D15</f>
        <v>0.8732402352941177</v>
      </c>
      <c r="G15" s="32">
        <f aca="true" t="shared" si="2" ref="G15:G22">D15/(D$23+D$65)</f>
        <v>0.3238477686888737</v>
      </c>
      <c r="H15" s="33"/>
      <c r="I15" s="33"/>
      <c r="J15" s="33"/>
      <c r="K15" s="33"/>
      <c r="L15" s="33"/>
      <c r="M15" s="33"/>
      <c r="N15" s="33"/>
      <c r="P15" s="102" t="s">
        <v>149</v>
      </c>
      <c r="Q15" s="18" t="s">
        <v>162</v>
      </c>
      <c r="R15" s="22" t="s">
        <v>203</v>
      </c>
      <c r="S15" s="20">
        <v>1651323</v>
      </c>
      <c r="T15" s="20">
        <v>1600000</v>
      </c>
      <c r="U15" s="54">
        <v>36951</v>
      </c>
      <c r="V15" s="54">
        <v>37500</v>
      </c>
      <c r="W15" s="54">
        <v>37104</v>
      </c>
      <c r="X15" s="54">
        <v>37773</v>
      </c>
    </row>
    <row r="16" spans="1:24" ht="12.75">
      <c r="A16" s="9" t="s">
        <v>78</v>
      </c>
      <c r="B16" s="14" t="s">
        <v>82</v>
      </c>
      <c r="C16" s="34">
        <v>1388765</v>
      </c>
      <c r="D16" s="34">
        <v>975000</v>
      </c>
      <c r="E16" s="34">
        <f t="shared" si="0"/>
        <v>413765</v>
      </c>
      <c r="F16" s="31">
        <f t="shared" si="1"/>
        <v>1.424374358974359</v>
      </c>
      <c r="G16" s="35">
        <f t="shared" si="2"/>
        <v>0.07429448811097691</v>
      </c>
      <c r="H16" s="33"/>
      <c r="I16" s="33"/>
      <c r="J16" s="33"/>
      <c r="K16" s="33"/>
      <c r="L16" s="33"/>
      <c r="M16" s="33"/>
      <c r="N16" s="33"/>
      <c r="P16" s="101" t="s">
        <v>179</v>
      </c>
      <c r="Q16" s="63" t="s">
        <v>204</v>
      </c>
      <c r="R16" s="64" t="s">
        <v>205</v>
      </c>
      <c r="S16" s="65">
        <v>503390</v>
      </c>
      <c r="T16" s="65">
        <v>700000</v>
      </c>
      <c r="U16" s="66">
        <v>37622</v>
      </c>
      <c r="V16" s="66">
        <v>37956</v>
      </c>
      <c r="W16" s="66">
        <v>37622</v>
      </c>
      <c r="X16" s="66">
        <v>37895</v>
      </c>
    </row>
    <row r="17" spans="1:24" ht="12.75">
      <c r="A17" s="9" t="s">
        <v>79</v>
      </c>
      <c r="B17" s="14" t="s">
        <v>34</v>
      </c>
      <c r="C17" s="34">
        <v>2040517</v>
      </c>
      <c r="D17" s="34">
        <v>1425000</v>
      </c>
      <c r="E17" s="34">
        <f t="shared" si="0"/>
        <v>615517</v>
      </c>
      <c r="F17" s="31">
        <f t="shared" si="1"/>
        <v>1.431941754385965</v>
      </c>
      <c r="G17" s="35">
        <f t="shared" si="2"/>
        <v>0.10858425185450472</v>
      </c>
      <c r="H17" s="33"/>
      <c r="I17" s="33"/>
      <c r="J17" s="33"/>
      <c r="K17" s="33"/>
      <c r="L17" s="33"/>
      <c r="M17" s="33"/>
      <c r="N17" s="33"/>
      <c r="P17" s="67"/>
      <c r="Q17" s="17" t="s">
        <v>35</v>
      </c>
      <c r="R17" s="61"/>
      <c r="S17" s="61">
        <f>SUM(S13:S16)</f>
        <v>7914824</v>
      </c>
      <c r="T17" s="61">
        <f>SUM(T13:T16)</f>
        <v>4152200</v>
      </c>
      <c r="U17" s="68"/>
      <c r="V17" s="68"/>
      <c r="W17" s="68"/>
      <c r="X17" s="68"/>
    </row>
    <row r="18" spans="1:24" ht="12.75">
      <c r="A18" s="9" t="s">
        <v>80</v>
      </c>
      <c r="B18" s="14" t="s">
        <v>83</v>
      </c>
      <c r="C18" s="34">
        <v>1739016</v>
      </c>
      <c r="D18" s="34">
        <v>1500000</v>
      </c>
      <c r="E18" s="34">
        <f t="shared" si="0"/>
        <v>239016</v>
      </c>
      <c r="F18" s="31">
        <f t="shared" si="1"/>
        <v>1.159344</v>
      </c>
      <c r="G18" s="35">
        <f t="shared" si="2"/>
        <v>0.11429921247842602</v>
      </c>
      <c r="H18" s="33"/>
      <c r="I18" s="33"/>
      <c r="J18" s="33"/>
      <c r="K18" s="33"/>
      <c r="L18" s="33"/>
      <c r="M18" s="33"/>
      <c r="N18" s="33"/>
      <c r="P18" s="67"/>
      <c r="U18" s="68"/>
      <c r="V18" s="68"/>
      <c r="W18" s="68"/>
      <c r="X18" s="68"/>
    </row>
    <row r="19" spans="1:24" ht="12.75">
      <c r="A19" s="9" t="s">
        <v>84</v>
      </c>
      <c r="B19" s="14" t="s">
        <v>88</v>
      </c>
      <c r="C19" s="34">
        <v>96018</v>
      </c>
      <c r="D19" s="34">
        <v>25000</v>
      </c>
      <c r="E19" s="34">
        <f t="shared" si="0"/>
        <v>71018</v>
      </c>
      <c r="F19" s="31">
        <f t="shared" si="1"/>
        <v>3.84072</v>
      </c>
      <c r="G19" s="35">
        <f t="shared" si="2"/>
        <v>0.0019049868746404337</v>
      </c>
      <c r="H19" s="33"/>
      <c r="I19" s="33"/>
      <c r="J19" s="33"/>
      <c r="K19" s="33"/>
      <c r="L19" s="33"/>
      <c r="M19" s="33"/>
      <c r="N19" s="33"/>
      <c r="P19" s="67"/>
      <c r="U19" s="68"/>
      <c r="V19" s="68"/>
      <c r="W19" s="68"/>
      <c r="X19" s="68"/>
    </row>
    <row r="20" spans="1:24" ht="12.75">
      <c r="A20" s="9" t="s">
        <v>85</v>
      </c>
      <c r="B20" s="14" t="s">
        <v>36</v>
      </c>
      <c r="C20" s="34">
        <v>22425</v>
      </c>
      <c r="D20" s="34">
        <v>0</v>
      </c>
      <c r="E20" s="34">
        <f t="shared" si="0"/>
        <v>22425</v>
      </c>
      <c r="F20" s="31"/>
      <c r="G20" s="35">
        <f t="shared" si="2"/>
        <v>0</v>
      </c>
      <c r="H20" s="33"/>
      <c r="I20" s="33"/>
      <c r="J20" s="33"/>
      <c r="K20" s="33"/>
      <c r="L20" s="33"/>
      <c r="M20" s="33"/>
      <c r="N20" s="33"/>
      <c r="P20" s="7"/>
      <c r="U20" s="7"/>
      <c r="V20" s="7"/>
      <c r="W20" s="7"/>
      <c r="X20" s="7"/>
    </row>
    <row r="21" spans="1:14" ht="12.75">
      <c r="A21" s="9" t="s">
        <v>86</v>
      </c>
      <c r="B21" s="14" t="s">
        <v>37</v>
      </c>
      <c r="C21" s="34">
        <v>253694</v>
      </c>
      <c r="D21" s="34">
        <v>357750</v>
      </c>
      <c r="E21" s="34">
        <f t="shared" si="0"/>
        <v>-104056</v>
      </c>
      <c r="F21" s="31">
        <f t="shared" si="1"/>
        <v>0.7091376659678547</v>
      </c>
      <c r="G21" s="35">
        <f t="shared" si="2"/>
        <v>0.027260362176104606</v>
      </c>
      <c r="H21" s="33"/>
      <c r="I21" s="33"/>
      <c r="J21" s="33"/>
      <c r="K21" s="33"/>
      <c r="L21" s="33"/>
      <c r="M21" s="33"/>
      <c r="N21" s="33"/>
    </row>
    <row r="22" spans="1:14" ht="12.75">
      <c r="A22" s="17" t="s">
        <v>87</v>
      </c>
      <c r="B22" s="25" t="s">
        <v>38</v>
      </c>
      <c r="C22" s="36">
        <v>390393</v>
      </c>
      <c r="D22" s="36">
        <v>163400</v>
      </c>
      <c r="E22" s="34">
        <f t="shared" si="0"/>
        <v>226993</v>
      </c>
      <c r="F22" s="37">
        <f t="shared" si="1"/>
        <v>2.389186046511628</v>
      </c>
      <c r="G22" s="72">
        <f t="shared" si="2"/>
        <v>0.012450994212649875</v>
      </c>
      <c r="H22" s="33"/>
      <c r="I22" s="33"/>
      <c r="J22" s="33"/>
      <c r="K22" s="33"/>
      <c r="L22" s="33"/>
      <c r="M22" s="33"/>
      <c r="N22" s="33"/>
    </row>
    <row r="23" spans="1:14" ht="12.75">
      <c r="A23" s="26"/>
      <c r="B23" s="27" t="s">
        <v>33</v>
      </c>
      <c r="C23" s="39">
        <f>SUM(C15:C22)</f>
        <v>9642099</v>
      </c>
      <c r="D23" s="39">
        <f>SUM(D15:D22)</f>
        <v>8696150</v>
      </c>
      <c r="E23" s="39">
        <f>SUM(E15:E22)</f>
        <v>945949</v>
      </c>
      <c r="F23" s="37">
        <f t="shared" si="1"/>
        <v>1.1087779074647977</v>
      </c>
      <c r="G23" s="40"/>
      <c r="H23" s="33"/>
      <c r="I23" s="33"/>
      <c r="J23" s="33"/>
      <c r="K23" s="33"/>
      <c r="L23" s="33"/>
      <c r="M23" s="33"/>
      <c r="N23" s="33"/>
    </row>
    <row r="24" spans="1:14" ht="12.75">
      <c r="A24" s="26"/>
      <c r="B24" s="27" t="s">
        <v>89</v>
      </c>
      <c r="C24" s="39">
        <f>C15</f>
        <v>3711271</v>
      </c>
      <c r="D24" s="39">
        <f>D15</f>
        <v>4250000</v>
      </c>
      <c r="E24" s="39">
        <f>E15</f>
        <v>-538729</v>
      </c>
      <c r="F24" s="40"/>
      <c r="G24" s="40"/>
      <c r="H24" s="33"/>
      <c r="I24" s="33"/>
      <c r="J24" s="33"/>
      <c r="K24" s="33"/>
      <c r="L24" s="33"/>
      <c r="M24" s="33"/>
      <c r="N24" s="33"/>
    </row>
    <row r="25" spans="1:14" ht="12.75">
      <c r="A25" s="26"/>
      <c r="B25" s="27" t="s">
        <v>139</v>
      </c>
      <c r="C25" s="39">
        <f>C23-C24</f>
        <v>5930828</v>
      </c>
      <c r="D25" s="39">
        <f>D23-D24</f>
        <v>4446150</v>
      </c>
      <c r="E25" s="39">
        <f>E23-E24</f>
        <v>1484678</v>
      </c>
      <c r="F25" s="41">
        <f>C25/D25</f>
        <v>1.3339244065090021</v>
      </c>
      <c r="G25" s="40"/>
      <c r="H25" s="33"/>
      <c r="I25" s="33"/>
      <c r="J25" s="33"/>
      <c r="K25" s="33"/>
      <c r="L25" s="33"/>
      <c r="M25" s="33"/>
      <c r="N25" s="33"/>
    </row>
    <row r="26" spans="1:14" ht="12.75">
      <c r="A26" s="26"/>
      <c r="B26" s="7"/>
      <c r="C26" s="42"/>
      <c r="D26" s="42"/>
      <c r="E26" s="42"/>
      <c r="F26" s="40"/>
      <c r="G26" s="40"/>
      <c r="H26" s="33"/>
      <c r="I26" s="33"/>
      <c r="J26" s="33"/>
      <c r="K26" s="33"/>
      <c r="L26" s="33"/>
      <c r="M26" s="33"/>
      <c r="N26" s="33"/>
    </row>
    <row r="27" spans="1:14" ht="12.75">
      <c r="A27" s="26"/>
      <c r="B27" s="7"/>
      <c r="C27" s="42"/>
      <c r="D27" s="42"/>
      <c r="E27" s="42"/>
      <c r="F27" s="40"/>
      <c r="G27" s="40"/>
      <c r="H27" s="33"/>
      <c r="I27" s="33"/>
      <c r="J27" s="33"/>
      <c r="K27" s="33"/>
      <c r="L27" s="33"/>
      <c r="M27" s="33"/>
      <c r="N27" s="33"/>
    </row>
    <row r="28" spans="1:14" ht="12.75">
      <c r="A28" s="26"/>
      <c r="B28" s="7"/>
      <c r="C28" s="42"/>
      <c r="D28" s="42"/>
      <c r="E28" s="42"/>
      <c r="F28" s="40"/>
      <c r="G28" s="40"/>
      <c r="H28" s="33"/>
      <c r="I28" s="33"/>
      <c r="J28" s="33"/>
      <c r="K28" s="33"/>
      <c r="L28" s="33"/>
      <c r="M28" s="33"/>
      <c r="N28" s="33"/>
    </row>
    <row r="29" spans="1:14" ht="12.75">
      <c r="A29" s="26"/>
      <c r="B29" s="7"/>
      <c r="C29" s="42"/>
      <c r="D29" s="42"/>
      <c r="E29" s="42"/>
      <c r="F29" s="40"/>
      <c r="G29" s="40"/>
      <c r="H29" s="33"/>
      <c r="I29" s="33"/>
      <c r="J29" s="33"/>
      <c r="K29" s="33"/>
      <c r="L29" s="33"/>
      <c r="M29" s="33"/>
      <c r="N29" s="33"/>
    </row>
    <row r="30" spans="1:14" ht="12">
      <c r="A30" s="161" t="s">
        <v>186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</row>
    <row r="31" spans="1:14" ht="12">
      <c r="A31" s="161" t="str">
        <f>+A2</f>
        <v>Case No. 2008-00427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</row>
    <row r="32" spans="1:14" ht="12">
      <c r="A32" s="161" t="s">
        <v>209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</row>
    <row r="33" spans="4:5" ht="12">
      <c r="D33" s="3" t="s">
        <v>2</v>
      </c>
      <c r="E33" s="130">
        <f>E4</f>
        <v>2003</v>
      </c>
    </row>
    <row r="34" spans="1:12" ht="12">
      <c r="A34" s="2" t="s">
        <v>3</v>
      </c>
      <c r="L34" s="2" t="s">
        <v>208</v>
      </c>
    </row>
    <row r="35" spans="1:12" ht="12">
      <c r="A35" s="2" t="s">
        <v>4</v>
      </c>
      <c r="L35" s="2" t="s">
        <v>311</v>
      </c>
    </row>
    <row r="36" ht="12">
      <c r="L36" s="2" t="s">
        <v>5</v>
      </c>
    </row>
    <row r="37" spans="12:13" ht="12">
      <c r="L37" s="4" t="s">
        <v>6</v>
      </c>
      <c r="M37" s="4"/>
    </row>
    <row r="40" spans="1:14" ht="12.75">
      <c r="A40" s="8"/>
      <c r="B40" s="12"/>
      <c r="C40" s="12"/>
      <c r="D40" s="12"/>
      <c r="E40" s="12"/>
      <c r="F40" s="12"/>
      <c r="G40" s="12"/>
      <c r="H40" s="12" t="s">
        <v>10</v>
      </c>
      <c r="I40" s="12" t="s">
        <v>10</v>
      </c>
      <c r="J40" s="12"/>
      <c r="K40" s="12" t="s">
        <v>11</v>
      </c>
      <c r="L40" s="12" t="s">
        <v>11</v>
      </c>
      <c r="M40" s="12"/>
      <c r="N40" s="12"/>
    </row>
    <row r="41" spans="1:14" ht="12.75">
      <c r="A41" s="9"/>
      <c r="B41" s="15"/>
      <c r="C41" s="15"/>
      <c r="D41" s="15" t="s">
        <v>14</v>
      </c>
      <c r="E41" s="15"/>
      <c r="F41" s="15"/>
      <c r="G41" s="15" t="s">
        <v>15</v>
      </c>
      <c r="H41" s="15" t="s">
        <v>16</v>
      </c>
      <c r="I41" s="15" t="s">
        <v>17</v>
      </c>
      <c r="J41" s="15"/>
      <c r="K41" s="15" t="s">
        <v>18</v>
      </c>
      <c r="L41" s="15" t="s">
        <v>18</v>
      </c>
      <c r="M41" s="15" t="s">
        <v>11</v>
      </c>
      <c r="N41" s="15" t="s">
        <v>11</v>
      </c>
    </row>
    <row r="42" spans="1:14" ht="12.75">
      <c r="A42" s="9"/>
      <c r="B42" s="15"/>
      <c r="C42" s="15" t="s">
        <v>14</v>
      </c>
      <c r="D42" s="15" t="s">
        <v>18</v>
      </c>
      <c r="E42" s="15" t="s">
        <v>24</v>
      </c>
      <c r="F42" s="15" t="s">
        <v>24</v>
      </c>
      <c r="G42" s="15" t="s">
        <v>25</v>
      </c>
      <c r="H42" s="15" t="s">
        <v>26</v>
      </c>
      <c r="I42" s="15" t="s">
        <v>26</v>
      </c>
      <c r="J42" s="15"/>
      <c r="K42" s="15" t="s">
        <v>17</v>
      </c>
      <c r="L42" s="15" t="s">
        <v>17</v>
      </c>
      <c r="M42" s="15" t="s">
        <v>16</v>
      </c>
      <c r="N42" s="15" t="s">
        <v>16</v>
      </c>
    </row>
    <row r="43" spans="1:14" ht="12.75">
      <c r="A43" s="17" t="s">
        <v>27</v>
      </c>
      <c r="B43" s="21" t="s">
        <v>28</v>
      </c>
      <c r="C43" s="21" t="s">
        <v>16</v>
      </c>
      <c r="D43" s="21" t="s">
        <v>17</v>
      </c>
      <c r="E43" s="21" t="s">
        <v>29</v>
      </c>
      <c r="F43" s="21" t="s">
        <v>15</v>
      </c>
      <c r="G43" s="21" t="s">
        <v>17</v>
      </c>
      <c r="H43" s="21" t="s">
        <v>30</v>
      </c>
      <c r="I43" s="21" t="s">
        <v>30</v>
      </c>
      <c r="J43" s="21" t="s">
        <v>24</v>
      </c>
      <c r="K43" s="21" t="s">
        <v>31</v>
      </c>
      <c r="L43" s="21" t="s">
        <v>32</v>
      </c>
      <c r="M43" s="21" t="s">
        <v>31</v>
      </c>
      <c r="N43" s="21" t="s">
        <v>32</v>
      </c>
    </row>
    <row r="44" spans="1:14" ht="12.75">
      <c r="A44" s="56"/>
      <c r="B44" s="57" t="s">
        <v>19</v>
      </c>
      <c r="C44" s="58"/>
      <c r="D44" s="58"/>
      <c r="E44" s="58"/>
      <c r="F44" s="59"/>
      <c r="G44" s="59"/>
      <c r="H44" s="60"/>
      <c r="I44" s="60"/>
      <c r="J44" s="60"/>
      <c r="K44" s="60"/>
      <c r="L44" s="60"/>
      <c r="M44" s="60"/>
      <c r="N44" s="60"/>
    </row>
    <row r="45" spans="1:14" ht="12.75">
      <c r="A45" s="77" t="s">
        <v>39</v>
      </c>
      <c r="B45" s="78" t="s">
        <v>124</v>
      </c>
      <c r="C45" s="34">
        <v>61504</v>
      </c>
      <c r="D45" s="34">
        <v>0</v>
      </c>
      <c r="E45" s="43">
        <f aca="true" t="shared" si="3" ref="E45:E63">C45-D45</f>
        <v>61504</v>
      </c>
      <c r="F45" s="35"/>
      <c r="G45" s="35">
        <f aca="true" t="shared" si="4" ref="G45:G64">D45/(D$23+D$65)</f>
        <v>0</v>
      </c>
      <c r="H45" s="34"/>
      <c r="I45" s="34"/>
      <c r="J45" s="43"/>
      <c r="K45" s="45">
        <v>33786</v>
      </c>
      <c r="L45" s="45">
        <v>35400</v>
      </c>
      <c r="M45" s="45">
        <v>33848</v>
      </c>
      <c r="N45" s="46"/>
    </row>
    <row r="46" spans="1:14" ht="12.75">
      <c r="A46" s="79" t="s">
        <v>48</v>
      </c>
      <c r="B46" s="80" t="s">
        <v>49</v>
      </c>
      <c r="C46" s="34">
        <v>720918</v>
      </c>
      <c r="D46" s="34">
        <v>0</v>
      </c>
      <c r="E46" s="43">
        <f t="shared" si="3"/>
        <v>720918</v>
      </c>
      <c r="F46" s="35"/>
      <c r="G46" s="35">
        <f t="shared" si="4"/>
        <v>0</v>
      </c>
      <c r="H46" s="34">
        <v>3403518</v>
      </c>
      <c r="I46" s="34">
        <v>352200</v>
      </c>
      <c r="J46" s="43">
        <f>H46-I46</f>
        <v>3051318</v>
      </c>
      <c r="K46" s="45">
        <v>35400</v>
      </c>
      <c r="L46" s="45">
        <v>36312</v>
      </c>
      <c r="M46" s="45">
        <v>35370</v>
      </c>
      <c r="N46" s="52">
        <v>37956</v>
      </c>
    </row>
    <row r="47" spans="1:14" ht="12.75">
      <c r="A47" s="81" t="s">
        <v>60</v>
      </c>
      <c r="B47" s="80" t="s">
        <v>169</v>
      </c>
      <c r="C47" s="34">
        <v>56613</v>
      </c>
      <c r="D47" s="34">
        <v>0</v>
      </c>
      <c r="E47" s="43">
        <f t="shared" si="3"/>
        <v>56613</v>
      </c>
      <c r="F47" s="35"/>
      <c r="G47" s="35">
        <f t="shared" si="4"/>
        <v>0</v>
      </c>
      <c r="H47" s="34"/>
      <c r="I47" s="34"/>
      <c r="J47" s="43"/>
      <c r="K47" s="45">
        <v>35827</v>
      </c>
      <c r="L47" s="45">
        <v>36404</v>
      </c>
      <c r="M47" s="45">
        <v>36192</v>
      </c>
      <c r="N47" s="52"/>
    </row>
    <row r="48" spans="1:14" ht="12.75">
      <c r="A48" s="79" t="s">
        <v>65</v>
      </c>
      <c r="B48" s="80" t="s">
        <v>170</v>
      </c>
      <c r="C48" s="34">
        <v>1693</v>
      </c>
      <c r="D48" s="34">
        <v>0</v>
      </c>
      <c r="E48" s="43">
        <f t="shared" si="3"/>
        <v>1693</v>
      </c>
      <c r="F48" s="35"/>
      <c r="G48" s="35">
        <f t="shared" si="4"/>
        <v>0</v>
      </c>
      <c r="H48" s="34"/>
      <c r="I48" s="34"/>
      <c r="J48" s="43"/>
      <c r="K48" s="45">
        <v>35886</v>
      </c>
      <c r="L48" s="45">
        <v>36465</v>
      </c>
      <c r="M48" s="45">
        <v>36008</v>
      </c>
      <c r="N48" s="52"/>
    </row>
    <row r="49" spans="1:14" ht="12.75">
      <c r="A49" s="79" t="s">
        <v>66</v>
      </c>
      <c r="B49" s="80" t="s">
        <v>176</v>
      </c>
      <c r="C49" s="34">
        <v>140</v>
      </c>
      <c r="D49" s="34">
        <v>0</v>
      </c>
      <c r="E49" s="43">
        <f t="shared" si="3"/>
        <v>140</v>
      </c>
      <c r="F49" s="35"/>
      <c r="G49" s="35">
        <f t="shared" si="4"/>
        <v>0</v>
      </c>
      <c r="H49" s="34"/>
      <c r="I49" s="34"/>
      <c r="J49" s="43"/>
      <c r="K49" s="45">
        <v>35827</v>
      </c>
      <c r="L49" s="45">
        <v>36100</v>
      </c>
      <c r="M49" s="45">
        <v>36008</v>
      </c>
      <c r="N49" s="52"/>
    </row>
    <row r="50" spans="1:14" ht="12.75">
      <c r="A50" s="83" t="s">
        <v>141</v>
      </c>
      <c r="B50" s="80" t="s">
        <v>155</v>
      </c>
      <c r="C50" s="34">
        <v>774799</v>
      </c>
      <c r="D50" s="34">
        <v>500000</v>
      </c>
      <c r="E50" s="43">
        <f t="shared" si="3"/>
        <v>274799</v>
      </c>
      <c r="F50" s="35">
        <f>C50/D50</f>
        <v>1.549598</v>
      </c>
      <c r="G50" s="35">
        <f t="shared" si="4"/>
        <v>0.03809973749280868</v>
      </c>
      <c r="H50" s="34"/>
      <c r="I50" s="34"/>
      <c r="J50" s="43"/>
      <c r="K50" s="45">
        <v>36951</v>
      </c>
      <c r="L50" s="45">
        <v>37956</v>
      </c>
      <c r="M50" s="45">
        <v>36923</v>
      </c>
      <c r="N50" s="48"/>
    </row>
    <row r="51" spans="1:14" ht="12.75">
      <c r="A51" s="83" t="s">
        <v>142</v>
      </c>
      <c r="B51" s="80" t="s">
        <v>156</v>
      </c>
      <c r="C51" s="34">
        <v>352624</v>
      </c>
      <c r="D51" s="34">
        <v>500000</v>
      </c>
      <c r="E51" s="43">
        <f t="shared" si="3"/>
        <v>-147376</v>
      </c>
      <c r="F51" s="35">
        <f aca="true" t="shared" si="5" ref="F51:F63">C51/D51</f>
        <v>0.705248</v>
      </c>
      <c r="G51" s="35">
        <f t="shared" si="4"/>
        <v>0.03809973749280868</v>
      </c>
      <c r="H51" s="34"/>
      <c r="I51" s="34"/>
      <c r="J51" s="43"/>
      <c r="K51" s="45">
        <v>36892</v>
      </c>
      <c r="L51" s="45">
        <v>37742</v>
      </c>
      <c r="M51" s="45">
        <v>37500</v>
      </c>
      <c r="N51" s="52"/>
    </row>
    <row r="52" spans="1:14" ht="12.75">
      <c r="A52" s="82" t="s">
        <v>143</v>
      </c>
      <c r="B52" s="80" t="s">
        <v>56</v>
      </c>
      <c r="C52" s="34">
        <v>487100</v>
      </c>
      <c r="D52" s="34">
        <v>600000</v>
      </c>
      <c r="E52" s="43">
        <f t="shared" si="3"/>
        <v>-112900</v>
      </c>
      <c r="F52" s="35">
        <f t="shared" si="5"/>
        <v>0.8118333333333333</v>
      </c>
      <c r="G52" s="35">
        <f t="shared" si="4"/>
        <v>0.04571968499137041</v>
      </c>
      <c r="H52" s="34">
        <v>2356593</v>
      </c>
      <c r="I52" s="34">
        <v>1500000</v>
      </c>
      <c r="J52" s="43">
        <f>H52-I52</f>
        <v>856593</v>
      </c>
      <c r="K52" s="45">
        <v>36892</v>
      </c>
      <c r="L52" s="45">
        <v>37591</v>
      </c>
      <c r="M52" s="45">
        <v>36892</v>
      </c>
      <c r="N52" s="52">
        <v>37895</v>
      </c>
    </row>
    <row r="53" spans="1:14" ht="12.75">
      <c r="A53" s="83" t="s">
        <v>144</v>
      </c>
      <c r="B53" s="80" t="s">
        <v>157</v>
      </c>
      <c r="C53" s="34">
        <v>37380</v>
      </c>
      <c r="D53" s="34">
        <v>150000</v>
      </c>
      <c r="E53" s="43">
        <f t="shared" si="3"/>
        <v>-112620</v>
      </c>
      <c r="F53" s="35">
        <f t="shared" si="5"/>
        <v>0.2492</v>
      </c>
      <c r="G53" s="35">
        <f t="shared" si="4"/>
        <v>0.011429921247842603</v>
      </c>
      <c r="H53" s="34"/>
      <c r="I53" s="34"/>
      <c r="J53" s="43"/>
      <c r="K53" s="45">
        <v>36892</v>
      </c>
      <c r="L53" s="45">
        <v>38322</v>
      </c>
      <c r="M53" s="45">
        <v>36923</v>
      </c>
      <c r="N53" s="48"/>
    </row>
    <row r="54" spans="1:14" ht="12.75">
      <c r="A54" s="83" t="s">
        <v>146</v>
      </c>
      <c r="B54" s="85" t="s">
        <v>159</v>
      </c>
      <c r="C54" s="34">
        <v>-5551</v>
      </c>
      <c r="D54" s="34">
        <v>0</v>
      </c>
      <c r="E54" s="43">
        <f t="shared" si="3"/>
        <v>-5551</v>
      </c>
      <c r="F54" s="35"/>
      <c r="G54" s="35">
        <f t="shared" si="4"/>
        <v>0</v>
      </c>
      <c r="H54" s="34"/>
      <c r="I54" s="34"/>
      <c r="J54" s="43"/>
      <c r="K54" s="45">
        <v>36892</v>
      </c>
      <c r="L54" s="45">
        <v>37226</v>
      </c>
      <c r="M54" s="45">
        <v>36892</v>
      </c>
      <c r="N54" s="52">
        <v>37316</v>
      </c>
    </row>
    <row r="55" spans="1:14" ht="12.75">
      <c r="A55" s="86" t="s">
        <v>149</v>
      </c>
      <c r="B55" s="85" t="s">
        <v>162</v>
      </c>
      <c r="C55" s="34">
        <v>504665</v>
      </c>
      <c r="D55" s="34">
        <v>450000</v>
      </c>
      <c r="E55" s="43">
        <f t="shared" si="3"/>
        <v>54665</v>
      </c>
      <c r="F55" s="35">
        <f t="shared" si="5"/>
        <v>1.1214777777777778</v>
      </c>
      <c r="G55" s="55">
        <f t="shared" si="4"/>
        <v>0.03428976374352781</v>
      </c>
      <c r="H55" s="34">
        <v>1651323</v>
      </c>
      <c r="I55" s="34">
        <v>1600000</v>
      </c>
      <c r="J55" s="43">
        <f>H55-I55</f>
        <v>51323</v>
      </c>
      <c r="K55" s="45">
        <v>36951</v>
      </c>
      <c r="L55" s="45">
        <v>37500</v>
      </c>
      <c r="M55" s="45">
        <v>37104</v>
      </c>
      <c r="N55" s="52">
        <v>37773</v>
      </c>
    </row>
    <row r="56" spans="1:14" ht="12.75">
      <c r="A56" s="84" t="s">
        <v>150</v>
      </c>
      <c r="B56" s="85" t="s">
        <v>181</v>
      </c>
      <c r="C56" s="34">
        <v>1387929</v>
      </c>
      <c r="D56" s="34">
        <v>770000</v>
      </c>
      <c r="E56" s="43">
        <f t="shared" si="3"/>
        <v>617929</v>
      </c>
      <c r="F56" s="35">
        <f t="shared" si="5"/>
        <v>1.8025051948051949</v>
      </c>
      <c r="G56" s="55">
        <f t="shared" si="4"/>
        <v>0.05867359573892536</v>
      </c>
      <c r="H56" s="34"/>
      <c r="I56" s="34"/>
      <c r="J56" s="43"/>
      <c r="K56" s="47">
        <v>37165</v>
      </c>
      <c r="L56" s="45">
        <v>37742</v>
      </c>
      <c r="M56" s="45">
        <v>37288</v>
      </c>
      <c r="N56" s="52"/>
    </row>
    <row r="57" spans="1:14" ht="12.75">
      <c r="A57" s="92" t="s">
        <v>165</v>
      </c>
      <c r="B57" s="93" t="s">
        <v>173</v>
      </c>
      <c r="C57" s="34">
        <v>31644</v>
      </c>
      <c r="D57" s="34">
        <v>0</v>
      </c>
      <c r="E57" s="43">
        <f t="shared" si="3"/>
        <v>31644</v>
      </c>
      <c r="F57" s="35"/>
      <c r="G57" s="55">
        <f t="shared" si="4"/>
        <v>0</v>
      </c>
      <c r="H57" s="34"/>
      <c r="I57" s="34"/>
      <c r="J57" s="43"/>
      <c r="K57" s="47">
        <v>37347</v>
      </c>
      <c r="L57" s="45">
        <v>37956</v>
      </c>
      <c r="M57" s="45">
        <v>37316</v>
      </c>
      <c r="N57" s="52"/>
    </row>
    <row r="58" spans="1:14" ht="12.75">
      <c r="A58" s="98" t="s">
        <v>166</v>
      </c>
      <c r="B58" s="93" t="s">
        <v>187</v>
      </c>
      <c r="C58" s="34">
        <v>182535</v>
      </c>
      <c r="D58" s="34">
        <v>0</v>
      </c>
      <c r="E58" s="43">
        <f t="shared" si="3"/>
        <v>182535</v>
      </c>
      <c r="F58" s="35"/>
      <c r="G58" s="55">
        <f t="shared" si="4"/>
        <v>0</v>
      </c>
      <c r="H58" s="34"/>
      <c r="I58" s="34"/>
      <c r="J58" s="43"/>
      <c r="K58" s="45">
        <v>37257</v>
      </c>
      <c r="L58" s="45">
        <v>37591</v>
      </c>
      <c r="M58" s="45">
        <v>37257</v>
      </c>
      <c r="N58" s="52">
        <v>37561</v>
      </c>
    </row>
    <row r="59" spans="1:14" ht="12.75">
      <c r="A59" s="92" t="s">
        <v>167</v>
      </c>
      <c r="B59" s="93" t="s">
        <v>182</v>
      </c>
      <c r="C59" s="34">
        <v>207</v>
      </c>
      <c r="D59" s="34">
        <v>0</v>
      </c>
      <c r="E59" s="43">
        <f t="shared" si="3"/>
        <v>207</v>
      </c>
      <c r="F59" s="35"/>
      <c r="G59" s="55">
        <f t="shared" si="4"/>
        <v>0</v>
      </c>
      <c r="H59" s="34"/>
      <c r="I59" s="34"/>
      <c r="J59" s="43"/>
      <c r="K59" s="45">
        <v>37469</v>
      </c>
      <c r="L59" s="45">
        <v>37712</v>
      </c>
      <c r="M59" s="45">
        <v>37956</v>
      </c>
      <c r="N59" s="48"/>
    </row>
    <row r="60" spans="1:14" ht="12.75">
      <c r="A60" s="92" t="s">
        <v>168</v>
      </c>
      <c r="B60" s="93" t="s">
        <v>183</v>
      </c>
      <c r="C60" s="34">
        <v>0</v>
      </c>
      <c r="D60" s="34">
        <v>207300</v>
      </c>
      <c r="E60" s="43">
        <f t="shared" si="3"/>
        <v>-207300</v>
      </c>
      <c r="F60" s="35">
        <f t="shared" si="5"/>
        <v>0</v>
      </c>
      <c r="G60" s="55">
        <f t="shared" si="4"/>
        <v>0.015796151164518477</v>
      </c>
      <c r="H60" s="34"/>
      <c r="I60" s="34"/>
      <c r="J60" s="43"/>
      <c r="K60" s="47">
        <v>37347</v>
      </c>
      <c r="L60" s="45">
        <v>37956</v>
      </c>
      <c r="M60" s="45">
        <v>37043</v>
      </c>
      <c r="N60" s="52"/>
    </row>
    <row r="61" spans="1:14" ht="12.75">
      <c r="A61" s="92" t="s">
        <v>178</v>
      </c>
      <c r="B61" s="93" t="s">
        <v>184</v>
      </c>
      <c r="C61" s="34">
        <v>0</v>
      </c>
      <c r="D61" s="34">
        <v>150000</v>
      </c>
      <c r="E61" s="43">
        <f t="shared" si="3"/>
        <v>-150000</v>
      </c>
      <c r="F61" s="35">
        <f t="shared" si="5"/>
        <v>0</v>
      </c>
      <c r="G61" s="55">
        <f t="shared" si="4"/>
        <v>0.011429921247842603</v>
      </c>
      <c r="H61" s="34"/>
      <c r="I61" s="34"/>
      <c r="J61" s="43"/>
      <c r="K61" s="45">
        <v>37742</v>
      </c>
      <c r="L61" s="45">
        <v>38687</v>
      </c>
      <c r="M61" s="45">
        <v>37803</v>
      </c>
      <c r="N61" s="48"/>
    </row>
    <row r="62" spans="1:14" ht="12.75">
      <c r="A62" s="92" t="s">
        <v>179</v>
      </c>
      <c r="B62" s="93" t="s">
        <v>159</v>
      </c>
      <c r="C62" s="34">
        <v>503390</v>
      </c>
      <c r="D62" s="34">
        <v>700000</v>
      </c>
      <c r="E62" s="43">
        <f t="shared" si="3"/>
        <v>-196610</v>
      </c>
      <c r="F62" s="35">
        <f t="shared" si="5"/>
        <v>0.7191285714285715</v>
      </c>
      <c r="G62" s="55">
        <f t="shared" si="4"/>
        <v>0.05333963248993214</v>
      </c>
      <c r="H62" s="34">
        <v>503390</v>
      </c>
      <c r="I62" s="34">
        <v>700000</v>
      </c>
      <c r="J62" s="43">
        <f>H62-I62</f>
        <v>-196610</v>
      </c>
      <c r="K62" s="45">
        <v>37622</v>
      </c>
      <c r="L62" s="45">
        <v>37956</v>
      </c>
      <c r="M62" s="45">
        <v>37622</v>
      </c>
      <c r="N62" s="52">
        <v>37895</v>
      </c>
    </row>
    <row r="63" spans="1:14" ht="12.75">
      <c r="A63" s="92" t="s">
        <v>180</v>
      </c>
      <c r="B63" s="93" t="s">
        <v>185</v>
      </c>
      <c r="C63" s="34">
        <v>7229</v>
      </c>
      <c r="D63" s="34">
        <v>400000</v>
      </c>
      <c r="E63" s="43">
        <f t="shared" si="3"/>
        <v>-392771</v>
      </c>
      <c r="F63" s="35">
        <f t="shared" si="5"/>
        <v>0.0180725</v>
      </c>
      <c r="G63" s="55">
        <f t="shared" si="4"/>
        <v>0.03047978999424694</v>
      </c>
      <c r="H63" s="34"/>
      <c r="I63" s="34"/>
      <c r="J63" s="43"/>
      <c r="K63" s="45">
        <v>37622</v>
      </c>
      <c r="L63" s="45">
        <v>38169</v>
      </c>
      <c r="M63" s="45">
        <v>37773</v>
      </c>
      <c r="N63" s="52"/>
    </row>
    <row r="64" spans="1:14" ht="12.75">
      <c r="A64" s="94"/>
      <c r="B64" s="95"/>
      <c r="C64" s="36"/>
      <c r="D64" s="36">
        <v>0</v>
      </c>
      <c r="E64" s="34">
        <f>C64-D64</f>
        <v>0</v>
      </c>
      <c r="F64" s="35"/>
      <c r="G64" s="38">
        <f t="shared" si="4"/>
        <v>0</v>
      </c>
      <c r="H64" s="36"/>
      <c r="I64" s="36"/>
      <c r="J64" s="44"/>
      <c r="K64" s="49"/>
      <c r="L64" s="49"/>
      <c r="M64" s="49"/>
      <c r="N64" s="50"/>
    </row>
    <row r="65" spans="3:14" ht="12">
      <c r="C65" s="90">
        <f>SUM(C44:C64)</f>
        <v>5104819</v>
      </c>
      <c r="D65" s="39">
        <f>SUM(D44:D64)</f>
        <v>4427300</v>
      </c>
      <c r="E65" s="39">
        <f>SUM(E44:E64)</f>
        <v>677519</v>
      </c>
      <c r="F65" s="41">
        <f>C65/D65</f>
        <v>1.1530320963115217</v>
      </c>
      <c r="G65" s="40"/>
      <c r="H65" s="33"/>
      <c r="I65" s="33"/>
      <c r="J65" s="33"/>
      <c r="K65" s="33"/>
      <c r="L65" s="33"/>
      <c r="M65" s="33"/>
      <c r="N65" s="33"/>
    </row>
  </sheetData>
  <mergeCells count="6">
    <mergeCell ref="A31:N31"/>
    <mergeCell ref="A32:N32"/>
    <mergeCell ref="A3:N3"/>
    <mergeCell ref="A1:N1"/>
    <mergeCell ref="A2:N2"/>
    <mergeCell ref="A30:N30"/>
  </mergeCells>
  <printOptions horizontalCentered="1"/>
  <pageMargins left="0.25" right="0.25" top="1" bottom="0.25" header="0" footer="0"/>
  <pageSetup horizontalDpi="600" verticalDpi="600" orientation="landscape" scale="70" r:id="rId1"/>
  <rowBreaks count="1" manualBreakCount="1">
    <brk id="29" max="255" man="1"/>
  </rowBreaks>
  <colBreaks count="1" manualBreakCount="1">
    <brk id="15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66"/>
  <sheetViews>
    <sheetView zoomScaleSheetLayoutView="85" workbookViewId="0" topLeftCell="F1">
      <selection activeCell="A1" sqref="A1:N1"/>
    </sheetView>
  </sheetViews>
  <sheetFormatPr defaultColWidth="9.83203125" defaultRowHeight="12"/>
  <cols>
    <col min="1" max="1" width="8.66015625" style="1" customWidth="1"/>
    <col min="2" max="2" width="60.66015625" style="1" customWidth="1"/>
    <col min="3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9.83203125" style="1" customWidth="1"/>
    <col min="16" max="16" width="7.83203125" style="1" customWidth="1"/>
    <col min="17" max="17" width="60.66015625" style="1" customWidth="1"/>
    <col min="18" max="18" width="82.66015625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186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 t="s">
        <v>0</v>
      </c>
    </row>
    <row r="2" spans="1:23" ht="12">
      <c r="A2" s="161" t="s">
        <v>321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1</v>
      </c>
    </row>
    <row r="3" spans="1:23" ht="12">
      <c r="A3" s="161" t="s">
        <v>209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305</v>
      </c>
    </row>
    <row r="4" spans="4:23" ht="12">
      <c r="D4" s="3" t="s">
        <v>2</v>
      </c>
      <c r="E4" s="130">
        <v>2002</v>
      </c>
      <c r="W4" s="2" t="s">
        <v>116</v>
      </c>
    </row>
    <row r="5" spans="1:12" ht="12">
      <c r="A5" s="2" t="s">
        <v>3</v>
      </c>
      <c r="L5" s="2" t="s">
        <v>208</v>
      </c>
    </row>
    <row r="6" spans="1:16" ht="15.75">
      <c r="A6" s="2" t="s">
        <v>4</v>
      </c>
      <c r="L6" s="2" t="s">
        <v>312</v>
      </c>
      <c r="P6" s="5" t="s">
        <v>164</v>
      </c>
    </row>
    <row r="7" spans="12:21" ht="19.5">
      <c r="L7" s="2" t="s">
        <v>5</v>
      </c>
      <c r="P7" s="6"/>
      <c r="U7" s="5" t="s">
        <v>122</v>
      </c>
    </row>
    <row r="8" spans="12:13" ht="12">
      <c r="L8" s="4" t="s">
        <v>6</v>
      </c>
      <c r="M8" s="4"/>
    </row>
    <row r="9" spans="17:24" ht="12.75">
      <c r="Q9" s="7"/>
      <c r="R9" s="7"/>
      <c r="S9" s="7"/>
      <c r="T9" s="8" t="s">
        <v>7</v>
      </c>
      <c r="U9" s="7"/>
      <c r="V9" s="7"/>
      <c r="W9" s="7"/>
      <c r="X9" s="7"/>
    </row>
    <row r="10" spans="17:24" ht="12.75">
      <c r="Q10" s="7"/>
      <c r="R10" s="7"/>
      <c r="S10" s="8" t="s">
        <v>8</v>
      </c>
      <c r="T10" s="9" t="s">
        <v>210</v>
      </c>
      <c r="U10" s="10" t="s">
        <v>9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10</v>
      </c>
      <c r="I11" s="12" t="s">
        <v>10</v>
      </c>
      <c r="J11" s="12"/>
      <c r="K11" s="12" t="s">
        <v>11</v>
      </c>
      <c r="L11" s="12" t="s">
        <v>11</v>
      </c>
      <c r="M11" s="12"/>
      <c r="N11" s="12"/>
      <c r="Q11" s="7"/>
      <c r="R11" s="7"/>
      <c r="S11" s="9" t="s">
        <v>12</v>
      </c>
      <c r="T11" s="9" t="s">
        <v>12</v>
      </c>
      <c r="U11" s="13" t="s">
        <v>13</v>
      </c>
      <c r="V11" s="14"/>
      <c r="W11" s="7"/>
      <c r="X11" s="7"/>
    </row>
    <row r="12" spans="1:24" ht="12.75">
      <c r="A12" s="9"/>
      <c r="B12" s="15"/>
      <c r="C12" s="15"/>
      <c r="D12" s="15" t="s">
        <v>14</v>
      </c>
      <c r="E12" s="15"/>
      <c r="F12" s="15"/>
      <c r="G12" s="15" t="s">
        <v>15</v>
      </c>
      <c r="H12" s="15" t="s">
        <v>16</v>
      </c>
      <c r="I12" s="15" t="s">
        <v>17</v>
      </c>
      <c r="J12" s="15"/>
      <c r="K12" s="15" t="s">
        <v>18</v>
      </c>
      <c r="L12" s="15" t="s">
        <v>18</v>
      </c>
      <c r="M12" s="15" t="s">
        <v>11</v>
      </c>
      <c r="N12" s="15" t="s">
        <v>11</v>
      </c>
      <c r="P12" s="4"/>
      <c r="Q12" s="16" t="s">
        <v>211</v>
      </c>
      <c r="R12" s="16" t="s">
        <v>20</v>
      </c>
      <c r="S12" s="17" t="s">
        <v>21</v>
      </c>
      <c r="T12" s="17" t="s">
        <v>21</v>
      </c>
      <c r="U12" s="16" t="s">
        <v>22</v>
      </c>
      <c r="V12" s="16" t="s">
        <v>23</v>
      </c>
      <c r="W12" s="16" t="s">
        <v>22</v>
      </c>
      <c r="X12" s="16" t="s">
        <v>23</v>
      </c>
    </row>
    <row r="13" spans="1:24" ht="12.75">
      <c r="A13" s="9"/>
      <c r="B13" s="15"/>
      <c r="C13" s="15" t="s">
        <v>14</v>
      </c>
      <c r="D13" s="15" t="s">
        <v>18</v>
      </c>
      <c r="E13" s="15" t="s">
        <v>24</v>
      </c>
      <c r="F13" s="15" t="s">
        <v>24</v>
      </c>
      <c r="G13" s="15" t="s">
        <v>25</v>
      </c>
      <c r="H13" s="15" t="s">
        <v>26</v>
      </c>
      <c r="I13" s="15" t="s">
        <v>26</v>
      </c>
      <c r="J13" s="15"/>
      <c r="K13" s="15" t="s">
        <v>17</v>
      </c>
      <c r="L13" s="15" t="s">
        <v>17</v>
      </c>
      <c r="M13" s="15" t="s">
        <v>16</v>
      </c>
      <c r="N13" s="15" t="s">
        <v>16</v>
      </c>
      <c r="P13" s="9" t="s">
        <v>130</v>
      </c>
      <c r="Q13" s="18" t="s">
        <v>192</v>
      </c>
      <c r="R13" s="22" t="s">
        <v>107</v>
      </c>
      <c r="S13" s="34">
        <v>65990</v>
      </c>
      <c r="T13" s="34">
        <v>50000</v>
      </c>
      <c r="U13" s="54">
        <v>36586</v>
      </c>
      <c r="V13" s="54">
        <v>36861</v>
      </c>
      <c r="W13" s="54">
        <v>36586</v>
      </c>
      <c r="X13" s="54">
        <v>37530</v>
      </c>
    </row>
    <row r="14" spans="1:24" ht="12.75">
      <c r="A14" s="17" t="s">
        <v>27</v>
      </c>
      <c r="B14" s="21" t="s">
        <v>28</v>
      </c>
      <c r="C14" s="21" t="s">
        <v>16</v>
      </c>
      <c r="D14" s="21" t="s">
        <v>17</v>
      </c>
      <c r="E14" s="21" t="s">
        <v>29</v>
      </c>
      <c r="F14" s="21" t="s">
        <v>15</v>
      </c>
      <c r="G14" s="21" t="s">
        <v>17</v>
      </c>
      <c r="H14" s="21" t="s">
        <v>30</v>
      </c>
      <c r="I14" s="21" t="s">
        <v>30</v>
      </c>
      <c r="J14" s="21" t="s">
        <v>24</v>
      </c>
      <c r="K14" s="21" t="s">
        <v>31</v>
      </c>
      <c r="L14" s="21" t="s">
        <v>32</v>
      </c>
      <c r="M14" s="21" t="s">
        <v>31</v>
      </c>
      <c r="N14" s="21" t="s">
        <v>32</v>
      </c>
      <c r="P14" s="9" t="s">
        <v>132</v>
      </c>
      <c r="Q14" s="18" t="s">
        <v>133</v>
      </c>
      <c r="R14" s="70" t="s">
        <v>50</v>
      </c>
      <c r="S14" s="34">
        <v>69803</v>
      </c>
      <c r="T14" s="34">
        <v>100000</v>
      </c>
      <c r="U14" s="54">
        <v>36557</v>
      </c>
      <c r="V14" s="54">
        <v>36770</v>
      </c>
      <c r="W14" s="54" t="s">
        <v>212</v>
      </c>
      <c r="X14" s="54">
        <v>37591</v>
      </c>
    </row>
    <row r="15" spans="1:24" ht="12.75">
      <c r="A15" s="9" t="s">
        <v>77</v>
      </c>
      <c r="B15" s="14" t="s">
        <v>81</v>
      </c>
      <c r="C15" s="30">
        <v>2758068</v>
      </c>
      <c r="D15" s="30">
        <v>4250000</v>
      </c>
      <c r="E15" s="30">
        <f aca="true" t="shared" si="0" ref="E15:E22">C15-D15</f>
        <v>-1491932</v>
      </c>
      <c r="F15" s="31">
        <f>C15/D15</f>
        <v>0.6489571764705883</v>
      </c>
      <c r="G15" s="32">
        <f aca="true" t="shared" si="1" ref="G15:G22">D15/(D$23+D$65)</f>
        <v>0.25551153409125066</v>
      </c>
      <c r="H15" s="33"/>
      <c r="I15" s="33"/>
      <c r="J15" s="33"/>
      <c r="K15" s="33"/>
      <c r="L15" s="33"/>
      <c r="M15" s="33"/>
      <c r="N15" s="33"/>
      <c r="P15" s="23" t="s">
        <v>134</v>
      </c>
      <c r="Q15" s="18" t="s">
        <v>135</v>
      </c>
      <c r="R15" s="64" t="s">
        <v>196</v>
      </c>
      <c r="S15" s="34">
        <v>121461</v>
      </c>
      <c r="T15" s="34">
        <v>94000</v>
      </c>
      <c r="U15" s="54">
        <v>36586</v>
      </c>
      <c r="V15" s="54">
        <v>36831</v>
      </c>
      <c r="W15" s="54" t="s">
        <v>213</v>
      </c>
      <c r="X15" s="54">
        <v>37561</v>
      </c>
    </row>
    <row r="16" spans="1:24" ht="12.75">
      <c r="A16" s="9" t="s">
        <v>78</v>
      </c>
      <c r="B16" s="14" t="s">
        <v>82</v>
      </c>
      <c r="C16" s="34">
        <v>793184</v>
      </c>
      <c r="D16" s="34">
        <v>1152600</v>
      </c>
      <c r="E16" s="34">
        <f t="shared" si="0"/>
        <v>-359416</v>
      </c>
      <c r="F16" s="31">
        <f aca="true" t="shared" si="2" ref="F16:F23">C16/D16</f>
        <v>0.6881693562380704</v>
      </c>
      <c r="G16" s="35">
        <f t="shared" si="1"/>
        <v>0.06929472804554719</v>
      </c>
      <c r="H16" s="33"/>
      <c r="I16" s="33"/>
      <c r="J16" s="33"/>
      <c r="K16" s="33"/>
      <c r="L16" s="33"/>
      <c r="M16" s="33"/>
      <c r="N16" s="33"/>
      <c r="P16" s="73" t="s">
        <v>145</v>
      </c>
      <c r="Q16" s="18" t="s">
        <v>199</v>
      </c>
      <c r="R16" s="22" t="s">
        <v>59</v>
      </c>
      <c r="S16" s="34">
        <v>248960</v>
      </c>
      <c r="T16" s="34">
        <v>250000</v>
      </c>
      <c r="U16" s="54">
        <v>37104</v>
      </c>
      <c r="V16" s="54">
        <v>37377</v>
      </c>
      <c r="W16" s="54">
        <v>37104</v>
      </c>
      <c r="X16" s="54">
        <v>37377</v>
      </c>
    </row>
    <row r="17" spans="1:24" ht="12.75">
      <c r="A17" s="9" t="s">
        <v>79</v>
      </c>
      <c r="B17" s="14" t="s">
        <v>34</v>
      </c>
      <c r="C17" s="34">
        <v>1634330</v>
      </c>
      <c r="D17" s="34">
        <v>1123200</v>
      </c>
      <c r="E17" s="34">
        <f t="shared" si="0"/>
        <v>511130</v>
      </c>
      <c r="F17" s="31">
        <f t="shared" si="2"/>
        <v>1.4550658831908831</v>
      </c>
      <c r="G17" s="35">
        <f t="shared" si="1"/>
        <v>0.06752718943324536</v>
      </c>
      <c r="H17" s="33"/>
      <c r="I17" s="33"/>
      <c r="J17" s="33"/>
      <c r="K17" s="33"/>
      <c r="L17" s="33"/>
      <c r="M17" s="33"/>
      <c r="N17" s="33"/>
      <c r="P17" s="102" t="s">
        <v>146</v>
      </c>
      <c r="Q17" s="18" t="s">
        <v>200</v>
      </c>
      <c r="R17" s="22" t="s">
        <v>201</v>
      </c>
      <c r="S17" s="34">
        <v>1221929</v>
      </c>
      <c r="T17" s="34">
        <v>1050000</v>
      </c>
      <c r="U17" s="54">
        <v>36892</v>
      </c>
      <c r="V17" s="54">
        <v>37226</v>
      </c>
      <c r="W17" s="54">
        <v>36892</v>
      </c>
      <c r="X17" s="54">
        <v>37316</v>
      </c>
    </row>
    <row r="18" spans="1:24" ht="12.75">
      <c r="A18" s="9" t="s">
        <v>80</v>
      </c>
      <c r="B18" s="14" t="s">
        <v>83</v>
      </c>
      <c r="C18" s="34">
        <v>1351800</v>
      </c>
      <c r="D18" s="34">
        <v>1281700</v>
      </c>
      <c r="E18" s="34">
        <f t="shared" si="0"/>
        <v>70100</v>
      </c>
      <c r="F18" s="31">
        <f t="shared" si="2"/>
        <v>1.0546929858781307</v>
      </c>
      <c r="G18" s="35">
        <f t="shared" si="1"/>
        <v>0.07705626664582495</v>
      </c>
      <c r="H18" s="33"/>
      <c r="I18" s="33"/>
      <c r="J18" s="33"/>
      <c r="K18" s="33"/>
      <c r="L18" s="33"/>
      <c r="M18" s="33"/>
      <c r="N18" s="33"/>
      <c r="P18" s="102" t="s">
        <v>147</v>
      </c>
      <c r="Q18" s="18" t="s">
        <v>198</v>
      </c>
      <c r="R18" s="70" t="s">
        <v>59</v>
      </c>
      <c r="S18" s="34">
        <v>1849283</v>
      </c>
      <c r="T18" s="34">
        <v>1860000</v>
      </c>
      <c r="U18" s="54">
        <v>36739</v>
      </c>
      <c r="V18" s="54">
        <v>36739</v>
      </c>
      <c r="W18" s="54">
        <v>37073</v>
      </c>
      <c r="X18" s="54">
        <v>37591</v>
      </c>
    </row>
    <row r="19" spans="1:24" ht="12.75">
      <c r="A19" s="9" t="s">
        <v>84</v>
      </c>
      <c r="B19" s="14" t="s">
        <v>88</v>
      </c>
      <c r="C19" s="34">
        <v>114535</v>
      </c>
      <c r="D19" s="34">
        <v>305900</v>
      </c>
      <c r="E19" s="34">
        <f t="shared" si="0"/>
        <v>-191365</v>
      </c>
      <c r="F19" s="31">
        <f t="shared" si="2"/>
        <v>0.3744197450147107</v>
      </c>
      <c r="G19" s="35">
        <f t="shared" si="1"/>
        <v>0.018390818418473783</v>
      </c>
      <c r="H19" s="33"/>
      <c r="I19" s="33"/>
      <c r="J19" s="33"/>
      <c r="K19" s="33"/>
      <c r="L19" s="33"/>
      <c r="M19" s="33"/>
      <c r="N19" s="33"/>
      <c r="P19" s="103" t="s">
        <v>166</v>
      </c>
      <c r="Q19" s="63" t="s">
        <v>187</v>
      </c>
      <c r="R19" s="64" t="s">
        <v>196</v>
      </c>
      <c r="S19" s="71">
        <v>3369864</v>
      </c>
      <c r="T19" s="100">
        <v>2000000</v>
      </c>
      <c r="U19" s="66">
        <v>36739</v>
      </c>
      <c r="V19" s="66">
        <v>36739</v>
      </c>
      <c r="W19" s="66">
        <v>37257</v>
      </c>
      <c r="X19" s="66">
        <v>37561</v>
      </c>
    </row>
    <row r="20" spans="1:24" ht="12.75">
      <c r="A20" s="9" t="s">
        <v>85</v>
      </c>
      <c r="B20" s="14" t="s">
        <v>36</v>
      </c>
      <c r="C20" s="34">
        <v>143962</v>
      </c>
      <c r="D20" s="34">
        <v>145000</v>
      </c>
      <c r="E20" s="34">
        <f t="shared" si="0"/>
        <v>-1038</v>
      </c>
      <c r="F20" s="31">
        <f t="shared" si="2"/>
        <v>0.9928413793103448</v>
      </c>
      <c r="G20" s="35">
        <f t="shared" si="1"/>
        <v>0.008717452339583848</v>
      </c>
      <c r="H20" s="33"/>
      <c r="I20" s="33"/>
      <c r="J20" s="33"/>
      <c r="K20" s="33"/>
      <c r="L20" s="33"/>
      <c r="M20" s="33"/>
      <c r="N20" s="33"/>
      <c r="P20" s="67"/>
      <c r="Q20" s="17" t="s">
        <v>215</v>
      </c>
      <c r="R20" s="61"/>
      <c r="S20" s="61">
        <f>SUM(S13:S19)</f>
        <v>6947290</v>
      </c>
      <c r="T20" s="61">
        <f>SUM(T13:T19)</f>
        <v>5404000</v>
      </c>
      <c r="U20" s="68"/>
      <c r="V20" s="68"/>
      <c r="W20" s="68"/>
      <c r="X20" s="68"/>
    </row>
    <row r="21" spans="1:24" ht="12.75">
      <c r="A21" s="9" t="s">
        <v>86</v>
      </c>
      <c r="B21" s="14" t="s">
        <v>37</v>
      </c>
      <c r="C21" s="34">
        <v>96772</v>
      </c>
      <c r="D21" s="34">
        <v>256700</v>
      </c>
      <c r="E21" s="34">
        <f t="shared" si="0"/>
        <v>-159928</v>
      </c>
      <c r="F21" s="31">
        <f t="shared" si="2"/>
        <v>0.3769848071679003</v>
      </c>
      <c r="G21" s="35">
        <f t="shared" si="1"/>
        <v>0.015432896659111541</v>
      </c>
      <c r="H21" s="33"/>
      <c r="I21" s="33"/>
      <c r="J21" s="33"/>
      <c r="K21" s="33"/>
      <c r="L21" s="33"/>
      <c r="M21" s="33"/>
      <c r="N21" s="33"/>
      <c r="P21" s="67"/>
      <c r="U21" s="68"/>
      <c r="V21" s="68"/>
      <c r="W21" s="68"/>
      <c r="X21" s="68"/>
    </row>
    <row r="22" spans="1:24" ht="12.75">
      <c r="A22" s="17" t="s">
        <v>87</v>
      </c>
      <c r="B22" s="25" t="s">
        <v>38</v>
      </c>
      <c r="C22" s="36">
        <v>276445</v>
      </c>
      <c r="D22" s="36">
        <v>370700</v>
      </c>
      <c r="E22" s="34">
        <f t="shared" si="0"/>
        <v>-94255</v>
      </c>
      <c r="F22" s="37">
        <f t="shared" si="2"/>
        <v>0.7457377933639061</v>
      </c>
      <c r="G22" s="38">
        <f t="shared" si="1"/>
        <v>0.022286617808853323</v>
      </c>
      <c r="H22" s="33"/>
      <c r="I22" s="33"/>
      <c r="J22" s="33"/>
      <c r="K22" s="33"/>
      <c r="L22" s="33"/>
      <c r="M22" s="33"/>
      <c r="N22" s="33"/>
      <c r="P22" s="67"/>
      <c r="U22" s="68"/>
      <c r="V22" s="68"/>
      <c r="W22" s="68"/>
      <c r="X22" s="68"/>
    </row>
    <row r="23" spans="1:24" ht="12.75">
      <c r="A23" s="26"/>
      <c r="B23" s="27" t="s">
        <v>33</v>
      </c>
      <c r="C23" s="39">
        <f>SUM(C15:C22)</f>
        <v>7169096</v>
      </c>
      <c r="D23" s="39">
        <f>SUM(D15:D22)</f>
        <v>8885800</v>
      </c>
      <c r="E23" s="39">
        <f>SUM(E15:E22)</f>
        <v>-1716704</v>
      </c>
      <c r="F23" s="37">
        <f t="shared" si="2"/>
        <v>0.8068036642733349</v>
      </c>
      <c r="G23" s="40"/>
      <c r="H23" s="33"/>
      <c r="I23" s="33"/>
      <c r="J23" s="33"/>
      <c r="K23" s="33"/>
      <c r="L23" s="33"/>
      <c r="M23" s="33"/>
      <c r="N23" s="33"/>
      <c r="P23" s="7"/>
      <c r="U23" s="7"/>
      <c r="V23" s="7"/>
      <c r="W23" s="7"/>
      <c r="X23" s="7"/>
    </row>
    <row r="24" spans="1:14" ht="12.75">
      <c r="A24" s="26"/>
      <c r="B24" s="27" t="s">
        <v>89</v>
      </c>
      <c r="C24" s="39">
        <f>C15</f>
        <v>2758068</v>
      </c>
      <c r="D24" s="39">
        <f>D15</f>
        <v>4250000</v>
      </c>
      <c r="E24" s="39">
        <f>E15</f>
        <v>-1491932</v>
      </c>
      <c r="F24" s="40"/>
      <c r="G24" s="40"/>
      <c r="H24" s="33"/>
      <c r="I24" s="33"/>
      <c r="J24" s="33"/>
      <c r="K24" s="33"/>
      <c r="L24" s="33"/>
      <c r="M24" s="33"/>
      <c r="N24" s="33"/>
    </row>
    <row r="25" spans="1:14" ht="12.75">
      <c r="A25" s="26"/>
      <c r="B25" s="27" t="s">
        <v>139</v>
      </c>
      <c r="C25" s="39">
        <f>C23-C24</f>
        <v>4411028</v>
      </c>
      <c r="D25" s="39">
        <f>D23-D24</f>
        <v>4635800</v>
      </c>
      <c r="E25" s="39">
        <f>E23-E24</f>
        <v>-224772</v>
      </c>
      <c r="F25" s="41">
        <f>C25/D25</f>
        <v>0.951513870313646</v>
      </c>
      <c r="G25" s="40"/>
      <c r="H25" s="33"/>
      <c r="I25" s="33"/>
      <c r="J25" s="33"/>
      <c r="K25" s="33"/>
      <c r="L25" s="33"/>
      <c r="M25" s="33"/>
      <c r="N25" s="33"/>
    </row>
    <row r="26" spans="1:14" ht="12.75">
      <c r="A26" s="26"/>
      <c r="B26" s="7"/>
      <c r="C26" s="42"/>
      <c r="D26" s="42"/>
      <c r="E26" s="42"/>
      <c r="F26" s="40"/>
      <c r="G26" s="40"/>
      <c r="H26" s="33"/>
      <c r="I26" s="33"/>
      <c r="J26" s="33"/>
      <c r="K26" s="33"/>
      <c r="L26" s="33"/>
      <c r="M26" s="33"/>
      <c r="N26" s="33"/>
    </row>
    <row r="27" spans="1:14" ht="12.75">
      <c r="A27" s="26"/>
      <c r="B27" s="7"/>
      <c r="C27" s="42"/>
      <c r="D27" s="42"/>
      <c r="E27" s="42"/>
      <c r="F27" s="40"/>
      <c r="G27" s="40"/>
      <c r="H27" s="33"/>
      <c r="I27" s="33"/>
      <c r="J27" s="33"/>
      <c r="K27" s="33"/>
      <c r="L27" s="33"/>
      <c r="M27" s="33"/>
      <c r="N27" s="33"/>
    </row>
    <row r="28" spans="1:14" ht="12">
      <c r="A28" s="161" t="s">
        <v>186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</row>
    <row r="29" spans="1:14" ht="12">
      <c r="A29" s="161" t="str">
        <f>+A2</f>
        <v>Case No. 2008-00427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</row>
    <row r="30" spans="1:14" ht="12">
      <c r="A30" s="161" t="s">
        <v>209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</row>
    <row r="31" spans="4:5" ht="12">
      <c r="D31" s="3" t="s">
        <v>2</v>
      </c>
      <c r="E31" s="130">
        <v>2002</v>
      </c>
    </row>
    <row r="32" spans="1:12" ht="12">
      <c r="A32" s="2" t="s">
        <v>3</v>
      </c>
      <c r="L32" s="2" t="s">
        <v>208</v>
      </c>
    </row>
    <row r="33" spans="1:12" ht="12">
      <c r="A33" s="2" t="s">
        <v>4</v>
      </c>
      <c r="L33" s="2" t="s">
        <v>313</v>
      </c>
    </row>
    <row r="34" ht="12">
      <c r="L34" s="2" t="s">
        <v>5</v>
      </c>
    </row>
    <row r="35" spans="12:13" ht="12">
      <c r="L35" s="4" t="s">
        <v>6</v>
      </c>
      <c r="M35" s="4"/>
    </row>
    <row r="38" spans="1:14" ht="12.75">
      <c r="A38" s="8"/>
      <c r="B38" s="12"/>
      <c r="C38" s="12"/>
      <c r="D38" s="12"/>
      <c r="E38" s="12"/>
      <c r="F38" s="12"/>
      <c r="G38" s="12"/>
      <c r="H38" s="12" t="s">
        <v>10</v>
      </c>
      <c r="I38" s="12" t="s">
        <v>10</v>
      </c>
      <c r="J38" s="12"/>
      <c r="K38" s="12" t="s">
        <v>11</v>
      </c>
      <c r="L38" s="12" t="s">
        <v>11</v>
      </c>
      <c r="M38" s="12"/>
      <c r="N38" s="12"/>
    </row>
    <row r="39" spans="1:14" ht="12.75">
      <c r="A39" s="9"/>
      <c r="B39" s="15"/>
      <c r="C39" s="15"/>
      <c r="D39" s="15" t="s">
        <v>14</v>
      </c>
      <c r="E39" s="15"/>
      <c r="F39" s="15"/>
      <c r="G39" s="15" t="s">
        <v>15</v>
      </c>
      <c r="H39" s="15" t="s">
        <v>16</v>
      </c>
      <c r="I39" s="15" t="s">
        <v>17</v>
      </c>
      <c r="J39" s="15"/>
      <c r="K39" s="15" t="s">
        <v>18</v>
      </c>
      <c r="L39" s="15" t="s">
        <v>18</v>
      </c>
      <c r="M39" s="15" t="s">
        <v>11</v>
      </c>
      <c r="N39" s="15" t="s">
        <v>11</v>
      </c>
    </row>
    <row r="40" spans="1:14" ht="12.75">
      <c r="A40" s="9"/>
      <c r="B40" s="15"/>
      <c r="C40" s="15" t="s">
        <v>14</v>
      </c>
      <c r="D40" s="15" t="s">
        <v>18</v>
      </c>
      <c r="E40" s="15" t="s">
        <v>24</v>
      </c>
      <c r="F40" s="15" t="s">
        <v>24</v>
      </c>
      <c r="G40" s="15" t="s">
        <v>25</v>
      </c>
      <c r="H40" s="15" t="s">
        <v>26</v>
      </c>
      <c r="I40" s="15" t="s">
        <v>26</v>
      </c>
      <c r="J40" s="15"/>
      <c r="K40" s="15" t="s">
        <v>17</v>
      </c>
      <c r="L40" s="15" t="s">
        <v>17</v>
      </c>
      <c r="M40" s="15" t="s">
        <v>16</v>
      </c>
      <c r="N40" s="15" t="s">
        <v>16</v>
      </c>
    </row>
    <row r="41" spans="1:14" ht="12.75">
      <c r="A41" s="17"/>
      <c r="B41" s="21" t="s">
        <v>28</v>
      </c>
      <c r="C41" s="21" t="s">
        <v>16</v>
      </c>
      <c r="D41" s="21" t="s">
        <v>17</v>
      </c>
      <c r="E41" s="21" t="s">
        <v>29</v>
      </c>
      <c r="F41" s="21" t="s">
        <v>15</v>
      </c>
      <c r="G41" s="21" t="s">
        <v>17</v>
      </c>
      <c r="H41" s="21" t="s">
        <v>30</v>
      </c>
      <c r="I41" s="21" t="s">
        <v>30</v>
      </c>
      <c r="J41" s="21" t="s">
        <v>24</v>
      </c>
      <c r="K41" s="21" t="s">
        <v>31</v>
      </c>
      <c r="L41" s="21" t="s">
        <v>32</v>
      </c>
      <c r="M41" s="21" t="s">
        <v>31</v>
      </c>
      <c r="N41" s="21" t="s">
        <v>32</v>
      </c>
    </row>
    <row r="42" spans="1:14" ht="12.75">
      <c r="A42" s="56"/>
      <c r="B42" s="57" t="s">
        <v>214</v>
      </c>
      <c r="C42" s="58"/>
      <c r="D42" s="58"/>
      <c r="E42" s="58"/>
      <c r="F42" s="59"/>
      <c r="G42" s="59"/>
      <c r="H42" s="60"/>
      <c r="I42" s="60"/>
      <c r="J42" s="60"/>
      <c r="K42" s="60"/>
      <c r="L42" s="60"/>
      <c r="M42" s="60"/>
      <c r="N42" s="60"/>
    </row>
    <row r="43" spans="1:16" ht="12.75">
      <c r="A43" s="77" t="s">
        <v>39</v>
      </c>
      <c r="B43" s="78" t="s">
        <v>124</v>
      </c>
      <c r="C43" s="89">
        <f>-2197928+2283202</f>
        <v>85274</v>
      </c>
      <c r="D43" s="34">
        <v>0</v>
      </c>
      <c r="E43" s="43">
        <f aca="true" t="shared" si="3" ref="E43:E63">C43-D43</f>
        <v>85274</v>
      </c>
      <c r="F43" s="35"/>
      <c r="G43" s="35">
        <f aca="true" t="shared" si="4" ref="G43:G64">D43/(D$23+D$65)</f>
        <v>0</v>
      </c>
      <c r="H43" s="34"/>
      <c r="I43" s="34"/>
      <c r="J43" s="43"/>
      <c r="K43" s="45">
        <v>33786</v>
      </c>
      <c r="L43" s="45">
        <v>35400</v>
      </c>
      <c r="M43" s="45">
        <v>33848</v>
      </c>
      <c r="N43" s="46"/>
      <c r="O43" s="97"/>
      <c r="P43" s="96"/>
    </row>
    <row r="44" spans="1:16" ht="12.75">
      <c r="A44" s="79" t="s">
        <v>48</v>
      </c>
      <c r="B44" s="80" t="s">
        <v>49</v>
      </c>
      <c r="C44" s="34">
        <v>644452</v>
      </c>
      <c r="D44" s="34">
        <v>902300</v>
      </c>
      <c r="E44" s="43">
        <f t="shared" si="3"/>
        <v>-257848</v>
      </c>
      <c r="F44" s="35">
        <f>C44/D44</f>
        <v>0.7142325169012523</v>
      </c>
      <c r="G44" s="35">
        <f t="shared" si="4"/>
        <v>0.054246601696596584</v>
      </c>
      <c r="H44" s="34"/>
      <c r="I44" s="34"/>
      <c r="J44" s="43"/>
      <c r="K44" s="45">
        <v>35400</v>
      </c>
      <c r="L44" s="45">
        <v>36312</v>
      </c>
      <c r="M44" s="45">
        <v>35370</v>
      </c>
      <c r="N44" s="52">
        <v>37956</v>
      </c>
      <c r="O44" s="97"/>
      <c r="P44" s="96"/>
    </row>
    <row r="45" spans="1:16" ht="12.75">
      <c r="A45" s="81" t="s">
        <v>60</v>
      </c>
      <c r="B45" s="80" t="s">
        <v>169</v>
      </c>
      <c r="C45" s="34">
        <v>67945</v>
      </c>
      <c r="D45" s="34">
        <v>0</v>
      </c>
      <c r="E45" s="43">
        <f t="shared" si="3"/>
        <v>67945</v>
      </c>
      <c r="F45" s="35"/>
      <c r="G45" s="35">
        <f t="shared" si="4"/>
        <v>0</v>
      </c>
      <c r="H45" s="34"/>
      <c r="I45" s="34"/>
      <c r="J45" s="43"/>
      <c r="K45" s="45">
        <v>35827</v>
      </c>
      <c r="L45" s="45">
        <v>36404</v>
      </c>
      <c r="M45" s="45">
        <v>36192</v>
      </c>
      <c r="N45" s="52"/>
      <c r="O45" s="97"/>
      <c r="P45" s="96"/>
    </row>
    <row r="46" spans="1:16" ht="12.75">
      <c r="A46" s="79" t="s">
        <v>65</v>
      </c>
      <c r="B46" s="80" t="s">
        <v>170</v>
      </c>
      <c r="C46" s="34">
        <v>1221</v>
      </c>
      <c r="D46" s="34">
        <v>0</v>
      </c>
      <c r="E46" s="43">
        <f t="shared" si="3"/>
        <v>1221</v>
      </c>
      <c r="F46" s="35"/>
      <c r="G46" s="35">
        <f t="shared" si="4"/>
        <v>0</v>
      </c>
      <c r="H46" s="34"/>
      <c r="I46" s="34"/>
      <c r="J46" s="43"/>
      <c r="K46" s="45">
        <v>35886</v>
      </c>
      <c r="L46" s="45">
        <v>36465</v>
      </c>
      <c r="M46" s="45">
        <v>36008</v>
      </c>
      <c r="N46" s="52"/>
      <c r="O46" s="97"/>
      <c r="P46" s="96"/>
    </row>
    <row r="47" spans="1:14" ht="12.75">
      <c r="A47" s="79" t="s">
        <v>66</v>
      </c>
      <c r="B47" s="80" t="s">
        <v>176</v>
      </c>
      <c r="C47" s="34">
        <v>90822</v>
      </c>
      <c r="D47" s="34">
        <v>0</v>
      </c>
      <c r="E47" s="43">
        <f t="shared" si="3"/>
        <v>90822</v>
      </c>
      <c r="F47" s="35"/>
      <c r="G47" s="35">
        <f t="shared" si="4"/>
        <v>0</v>
      </c>
      <c r="H47" s="34"/>
      <c r="I47" s="34"/>
      <c r="J47" s="43"/>
      <c r="K47" s="45">
        <v>35827</v>
      </c>
      <c r="L47" s="45">
        <v>36100</v>
      </c>
      <c r="M47" s="45">
        <v>36008</v>
      </c>
      <c r="N47" s="52"/>
    </row>
    <row r="48" spans="1:14" ht="12.75">
      <c r="A48" s="79" t="s">
        <v>130</v>
      </c>
      <c r="B48" s="80" t="s">
        <v>151</v>
      </c>
      <c r="C48" s="34">
        <v>-385583</v>
      </c>
      <c r="D48" s="34">
        <v>0</v>
      </c>
      <c r="E48" s="43">
        <f t="shared" si="3"/>
        <v>-385583</v>
      </c>
      <c r="F48" s="35"/>
      <c r="G48" s="35">
        <f t="shared" si="4"/>
        <v>0</v>
      </c>
      <c r="H48" s="34">
        <v>65990</v>
      </c>
      <c r="I48" s="34">
        <v>50000</v>
      </c>
      <c r="J48" s="43">
        <f>H48-I48</f>
        <v>15990</v>
      </c>
      <c r="K48" s="45">
        <v>36586</v>
      </c>
      <c r="L48" s="45">
        <v>36861</v>
      </c>
      <c r="M48" s="107">
        <v>36586</v>
      </c>
      <c r="N48" s="45">
        <v>37530</v>
      </c>
    </row>
    <row r="49" spans="1:14" ht="12.75">
      <c r="A49" s="79" t="s">
        <v>132</v>
      </c>
      <c r="B49" s="80" t="s">
        <v>171</v>
      </c>
      <c r="C49" s="34">
        <v>-47505</v>
      </c>
      <c r="D49" s="34">
        <v>0</v>
      </c>
      <c r="E49" s="43">
        <f t="shared" si="3"/>
        <v>-47505</v>
      </c>
      <c r="F49" s="35"/>
      <c r="G49" s="35">
        <f t="shared" si="4"/>
        <v>0</v>
      </c>
      <c r="H49" s="34">
        <v>69803</v>
      </c>
      <c r="I49" s="34">
        <v>100000</v>
      </c>
      <c r="J49" s="43">
        <f>H49-I49</f>
        <v>-30197</v>
      </c>
      <c r="K49" s="45">
        <v>36557</v>
      </c>
      <c r="L49" s="45">
        <v>36770</v>
      </c>
      <c r="M49" s="107">
        <v>36526</v>
      </c>
      <c r="N49" s="45">
        <v>37591</v>
      </c>
    </row>
    <row r="50" spans="1:14" ht="12.75">
      <c r="A50" s="81" t="s">
        <v>134</v>
      </c>
      <c r="B50" s="80" t="s">
        <v>153</v>
      </c>
      <c r="C50" s="34">
        <v>-774</v>
      </c>
      <c r="D50" s="34">
        <v>0</v>
      </c>
      <c r="E50" s="43">
        <f t="shared" si="3"/>
        <v>-774</v>
      </c>
      <c r="F50" s="35"/>
      <c r="G50" s="35">
        <f t="shared" si="4"/>
        <v>0</v>
      </c>
      <c r="H50" s="34">
        <v>121461</v>
      </c>
      <c r="I50" s="34">
        <v>94000</v>
      </c>
      <c r="J50" s="43">
        <f>H50-I50</f>
        <v>27461</v>
      </c>
      <c r="K50" s="45">
        <v>36586</v>
      </c>
      <c r="L50" s="45">
        <v>36831</v>
      </c>
      <c r="M50" s="107">
        <v>36586</v>
      </c>
      <c r="N50" s="45">
        <v>37561</v>
      </c>
    </row>
    <row r="51" spans="1:14" ht="12.75">
      <c r="A51" s="82" t="s">
        <v>140</v>
      </c>
      <c r="B51" s="80" t="s">
        <v>154</v>
      </c>
      <c r="C51" s="34">
        <v>59287</v>
      </c>
      <c r="D51" s="34">
        <v>0</v>
      </c>
      <c r="E51" s="43">
        <f t="shared" si="3"/>
        <v>59287</v>
      </c>
      <c r="F51" s="35"/>
      <c r="G51" s="35">
        <f t="shared" si="4"/>
        <v>0</v>
      </c>
      <c r="H51" s="34"/>
      <c r="I51" s="34"/>
      <c r="J51" s="43"/>
      <c r="K51" s="45">
        <v>36892</v>
      </c>
      <c r="L51" s="45">
        <v>37226</v>
      </c>
      <c r="M51" s="107">
        <v>36982</v>
      </c>
      <c r="N51" s="45">
        <v>37226</v>
      </c>
    </row>
    <row r="52" spans="1:14" ht="12.75">
      <c r="A52" s="83" t="s">
        <v>141</v>
      </c>
      <c r="B52" s="80" t="s">
        <v>155</v>
      </c>
      <c r="C52" s="34">
        <v>6464</v>
      </c>
      <c r="D52" s="34">
        <v>100000</v>
      </c>
      <c r="E52" s="43">
        <f t="shared" si="3"/>
        <v>-93536</v>
      </c>
      <c r="F52" s="35">
        <f aca="true" t="shared" si="5" ref="F52:F63">C52/D52</f>
        <v>0.06464</v>
      </c>
      <c r="G52" s="55">
        <f t="shared" si="4"/>
        <v>0.006012036096264722</v>
      </c>
      <c r="H52" s="34"/>
      <c r="I52" s="34"/>
      <c r="J52" s="43"/>
      <c r="K52" s="45">
        <v>36951</v>
      </c>
      <c r="L52" s="45">
        <v>37956</v>
      </c>
      <c r="M52" s="45">
        <v>36923</v>
      </c>
      <c r="N52" s="48"/>
    </row>
    <row r="53" spans="1:14" ht="12.75">
      <c r="A53" s="83" t="s">
        <v>142</v>
      </c>
      <c r="B53" s="80" t="s">
        <v>156</v>
      </c>
      <c r="C53" s="34">
        <v>165614</v>
      </c>
      <c r="D53" s="34">
        <v>100000</v>
      </c>
      <c r="E53" s="43">
        <f t="shared" si="3"/>
        <v>65614</v>
      </c>
      <c r="F53" s="35">
        <f t="shared" si="5"/>
        <v>1.65614</v>
      </c>
      <c r="G53" s="55">
        <f t="shared" si="4"/>
        <v>0.006012036096264722</v>
      </c>
      <c r="H53" s="34"/>
      <c r="I53" s="34"/>
      <c r="J53" s="43"/>
      <c r="K53" s="45">
        <v>36892</v>
      </c>
      <c r="L53" s="45">
        <v>37742</v>
      </c>
      <c r="M53" s="45">
        <v>37500</v>
      </c>
      <c r="N53" s="52"/>
    </row>
    <row r="54" spans="1:14" ht="12.75">
      <c r="A54" s="82" t="s">
        <v>143</v>
      </c>
      <c r="B54" s="80" t="s">
        <v>56</v>
      </c>
      <c r="C54" s="34">
        <v>764887</v>
      </c>
      <c r="D54" s="34">
        <v>750000</v>
      </c>
      <c r="E54" s="43">
        <f t="shared" si="3"/>
        <v>14887</v>
      </c>
      <c r="F54" s="35">
        <f>C54/D54</f>
        <v>1.0198493333333334</v>
      </c>
      <c r="G54" s="55">
        <f t="shared" si="4"/>
        <v>0.04509027072198542</v>
      </c>
      <c r="H54" s="34"/>
      <c r="I54" s="34"/>
      <c r="J54" s="43"/>
      <c r="K54" s="45">
        <v>36892</v>
      </c>
      <c r="L54" s="45">
        <v>37591</v>
      </c>
      <c r="M54" s="45">
        <v>36892</v>
      </c>
      <c r="N54" s="52">
        <v>37895</v>
      </c>
    </row>
    <row r="55" spans="1:14" ht="12.75">
      <c r="A55" s="83" t="s">
        <v>144</v>
      </c>
      <c r="B55" s="80" t="s">
        <v>157</v>
      </c>
      <c r="C55" s="34">
        <v>10317</v>
      </c>
      <c r="D55" s="34">
        <v>50000</v>
      </c>
      <c r="E55" s="43">
        <f t="shared" si="3"/>
        <v>-39683</v>
      </c>
      <c r="F55" s="35">
        <f t="shared" si="5"/>
        <v>0.20634</v>
      </c>
      <c r="G55" s="55">
        <f t="shared" si="4"/>
        <v>0.003006018048132361</v>
      </c>
      <c r="H55" s="34"/>
      <c r="I55" s="34"/>
      <c r="J55" s="43"/>
      <c r="K55" s="45">
        <v>36892</v>
      </c>
      <c r="L55" s="45">
        <v>38322</v>
      </c>
      <c r="M55" s="45">
        <v>36923</v>
      </c>
      <c r="N55" s="48"/>
    </row>
    <row r="56" spans="1:14" ht="12.75">
      <c r="A56" s="83" t="s">
        <v>145</v>
      </c>
      <c r="B56" s="80" t="s">
        <v>158</v>
      </c>
      <c r="C56" s="34">
        <v>8686</v>
      </c>
      <c r="D56" s="34">
        <v>100000</v>
      </c>
      <c r="E56" s="43">
        <f t="shared" si="3"/>
        <v>-91314</v>
      </c>
      <c r="F56" s="35">
        <f>C56/D56</f>
        <v>0.08686</v>
      </c>
      <c r="G56" s="55">
        <f t="shared" si="4"/>
        <v>0.006012036096264722</v>
      </c>
      <c r="H56" s="34">
        <v>248960</v>
      </c>
      <c r="I56" s="34">
        <v>250000</v>
      </c>
      <c r="J56" s="43">
        <f>H56-I56</f>
        <v>-1040</v>
      </c>
      <c r="K56" s="45">
        <v>37104</v>
      </c>
      <c r="L56" s="45">
        <v>37377</v>
      </c>
      <c r="M56" s="45">
        <v>37104</v>
      </c>
      <c r="N56" s="52">
        <v>37377</v>
      </c>
    </row>
    <row r="57" spans="1:14" ht="12.75">
      <c r="A57" s="84" t="s">
        <v>146</v>
      </c>
      <c r="B57" s="85" t="s">
        <v>159</v>
      </c>
      <c r="C57" s="34">
        <v>230799</v>
      </c>
      <c r="D57" s="34">
        <v>0</v>
      </c>
      <c r="E57" s="43">
        <f t="shared" si="3"/>
        <v>230799</v>
      </c>
      <c r="F57" s="35"/>
      <c r="G57" s="55">
        <f t="shared" si="4"/>
        <v>0</v>
      </c>
      <c r="H57" s="34">
        <f>1227480-5551</f>
        <v>1221929</v>
      </c>
      <c r="I57" s="34">
        <v>1050000</v>
      </c>
      <c r="J57" s="43">
        <f>H57-I57</f>
        <v>171929</v>
      </c>
      <c r="K57" s="45">
        <v>36892</v>
      </c>
      <c r="L57" s="45">
        <v>37226</v>
      </c>
      <c r="M57" s="45">
        <v>36892</v>
      </c>
      <c r="N57" s="52">
        <v>37316</v>
      </c>
    </row>
    <row r="58" spans="1:14" ht="12.75">
      <c r="A58" s="83" t="s">
        <v>147</v>
      </c>
      <c r="B58" s="80" t="s">
        <v>172</v>
      </c>
      <c r="C58" s="34">
        <v>970</v>
      </c>
      <c r="D58" s="34">
        <v>0</v>
      </c>
      <c r="E58" s="43">
        <f t="shared" si="3"/>
        <v>970</v>
      </c>
      <c r="F58" s="35"/>
      <c r="G58" s="55">
        <f t="shared" si="4"/>
        <v>0</v>
      </c>
      <c r="H58" s="43">
        <f>1830291+18992</f>
        <v>1849283</v>
      </c>
      <c r="I58" s="34">
        <v>1860000</v>
      </c>
      <c r="J58" s="43">
        <f>H58-I58</f>
        <v>-10717</v>
      </c>
      <c r="K58" s="45">
        <v>36739</v>
      </c>
      <c r="L58" s="45">
        <v>36739</v>
      </c>
      <c r="M58" s="45">
        <v>37073</v>
      </c>
      <c r="N58" s="52">
        <v>37591</v>
      </c>
    </row>
    <row r="59" spans="1:14" ht="12.75">
      <c r="A59" s="86" t="s">
        <v>149</v>
      </c>
      <c r="B59" s="85" t="s">
        <v>162</v>
      </c>
      <c r="C59" s="34">
        <v>1033926</v>
      </c>
      <c r="D59" s="34">
        <v>1490200</v>
      </c>
      <c r="E59" s="43">
        <f t="shared" si="3"/>
        <v>-456274</v>
      </c>
      <c r="F59" s="35">
        <f t="shared" si="5"/>
        <v>0.6938169373238492</v>
      </c>
      <c r="G59" s="55">
        <f t="shared" si="4"/>
        <v>0.08959136190653688</v>
      </c>
      <c r="H59" s="34"/>
      <c r="I59" s="34"/>
      <c r="J59" s="43"/>
      <c r="K59" s="45">
        <v>36951</v>
      </c>
      <c r="L59" s="45">
        <v>37500</v>
      </c>
      <c r="M59" s="45">
        <v>37104</v>
      </c>
      <c r="N59" s="52">
        <v>37773</v>
      </c>
    </row>
    <row r="60" spans="1:14" ht="12.75">
      <c r="A60" s="86" t="s">
        <v>150</v>
      </c>
      <c r="B60" s="85" t="s">
        <v>163</v>
      </c>
      <c r="C60" s="34">
        <v>959924</v>
      </c>
      <c r="D60" s="34">
        <v>1355000</v>
      </c>
      <c r="E60" s="43">
        <f t="shared" si="3"/>
        <v>-395076</v>
      </c>
      <c r="F60" s="35">
        <f t="shared" si="5"/>
        <v>0.7084309963099631</v>
      </c>
      <c r="G60" s="55">
        <f t="shared" si="4"/>
        <v>0.08146308910438699</v>
      </c>
      <c r="H60" s="34"/>
      <c r="I60" s="34"/>
      <c r="J60" s="43"/>
      <c r="K60" s="47">
        <v>37165</v>
      </c>
      <c r="L60" s="45">
        <v>37742</v>
      </c>
      <c r="M60" s="45">
        <v>37288</v>
      </c>
      <c r="N60" s="48"/>
    </row>
    <row r="61" spans="1:14" ht="12.75">
      <c r="A61" s="87" t="s">
        <v>165</v>
      </c>
      <c r="B61" s="85" t="s">
        <v>173</v>
      </c>
      <c r="C61" s="34">
        <v>74945</v>
      </c>
      <c r="D61" s="34">
        <v>700000</v>
      </c>
      <c r="E61" s="43">
        <f t="shared" si="3"/>
        <v>-625055</v>
      </c>
      <c r="F61" s="35">
        <f t="shared" si="5"/>
        <v>0.10706428571428571</v>
      </c>
      <c r="G61" s="55">
        <f t="shared" si="4"/>
        <v>0.04208425267385305</v>
      </c>
      <c r="H61" s="34"/>
      <c r="I61" s="34"/>
      <c r="J61" s="43"/>
      <c r="K61" s="47">
        <v>37347</v>
      </c>
      <c r="L61" s="45">
        <v>37956</v>
      </c>
      <c r="M61" s="45">
        <v>37316</v>
      </c>
      <c r="N61" s="52"/>
    </row>
    <row r="62" spans="1:14" ht="12.75">
      <c r="A62" s="87" t="s">
        <v>166</v>
      </c>
      <c r="B62" s="85" t="s">
        <v>159</v>
      </c>
      <c r="C62" s="34">
        <v>3047715</v>
      </c>
      <c r="D62" s="34">
        <v>2000000</v>
      </c>
      <c r="E62" s="43">
        <f t="shared" si="3"/>
        <v>1047715</v>
      </c>
      <c r="F62" s="35">
        <f t="shared" si="5"/>
        <v>1.5238575</v>
      </c>
      <c r="G62" s="55">
        <f t="shared" si="4"/>
        <v>0.12024072192529443</v>
      </c>
      <c r="H62" s="34">
        <v>3369864</v>
      </c>
      <c r="I62" s="34">
        <v>2000000</v>
      </c>
      <c r="J62" s="43">
        <f>H62-I62</f>
        <v>1369864</v>
      </c>
      <c r="K62" s="45">
        <v>37257</v>
      </c>
      <c r="L62" s="45">
        <v>37591</v>
      </c>
      <c r="M62" s="45">
        <v>37257</v>
      </c>
      <c r="N62" s="52">
        <v>37561</v>
      </c>
    </row>
    <row r="63" spans="1:14" ht="12.75">
      <c r="A63" s="87" t="s">
        <v>167</v>
      </c>
      <c r="B63" s="85" t="s">
        <v>174</v>
      </c>
      <c r="C63" s="34">
        <v>0</v>
      </c>
      <c r="D63" s="34">
        <v>200000</v>
      </c>
      <c r="E63" s="43">
        <f t="shared" si="3"/>
        <v>-200000</v>
      </c>
      <c r="F63" s="35">
        <f t="shared" si="5"/>
        <v>0</v>
      </c>
      <c r="G63" s="55">
        <f t="shared" si="4"/>
        <v>0.012024072192529444</v>
      </c>
      <c r="H63" s="34"/>
      <c r="I63" s="34"/>
      <c r="J63" s="43"/>
      <c r="K63" s="45">
        <v>37469</v>
      </c>
      <c r="L63" s="45">
        <v>37712</v>
      </c>
      <c r="M63" s="45">
        <v>37956</v>
      </c>
      <c r="N63" s="48"/>
    </row>
    <row r="64" spans="1:14" ht="12.75">
      <c r="A64" s="75" t="s">
        <v>168</v>
      </c>
      <c r="B64" s="88" t="s">
        <v>175</v>
      </c>
      <c r="C64" s="36">
        <v>0</v>
      </c>
      <c r="D64" s="36">
        <v>0</v>
      </c>
      <c r="E64" s="34">
        <f>C64-D64</f>
        <v>0</v>
      </c>
      <c r="F64" s="35"/>
      <c r="G64" s="38">
        <f t="shared" si="4"/>
        <v>0</v>
      </c>
      <c r="H64" s="36"/>
      <c r="I64" s="36"/>
      <c r="J64" s="44"/>
      <c r="K64" s="49">
        <v>37347</v>
      </c>
      <c r="L64" s="49">
        <v>37956</v>
      </c>
      <c r="M64" s="49">
        <v>37043</v>
      </c>
      <c r="N64" s="50"/>
    </row>
    <row r="65" spans="1:14" ht="12.75">
      <c r="A65" s="76"/>
      <c r="B65" s="91" t="s">
        <v>177</v>
      </c>
      <c r="C65" s="90">
        <f>SUM(C42:C64)</f>
        <v>6819386</v>
      </c>
      <c r="D65" s="39">
        <f>SUM(D42:D64)</f>
        <v>7747500</v>
      </c>
      <c r="E65" s="39">
        <f>SUM(E42:E64)</f>
        <v>-928114</v>
      </c>
      <c r="F65" s="41">
        <f>C65/D65</f>
        <v>0.8802047111971604</v>
      </c>
      <c r="G65" s="40"/>
      <c r="H65" s="33"/>
      <c r="I65" s="33"/>
      <c r="J65" s="33"/>
      <c r="K65" s="33"/>
      <c r="L65" s="33"/>
      <c r="M65" s="106"/>
      <c r="N65" s="33"/>
    </row>
    <row r="66" spans="1:13" ht="12">
      <c r="A66" s="76"/>
      <c r="M66" s="105"/>
    </row>
  </sheetData>
  <mergeCells count="6">
    <mergeCell ref="A29:N29"/>
    <mergeCell ref="A30:N30"/>
    <mergeCell ref="A1:N1"/>
    <mergeCell ref="A3:N3"/>
    <mergeCell ref="A2:N2"/>
    <mergeCell ref="A28:N28"/>
  </mergeCells>
  <printOptions horizontalCentered="1"/>
  <pageMargins left="0.25" right="0.25" top="1" bottom="0.5" header="0" footer="0"/>
  <pageSetup fitToWidth="2" horizontalDpi="600" verticalDpi="600" orientation="landscape" scale="70" r:id="rId1"/>
  <rowBreaks count="1" manualBreakCount="1">
    <brk id="27" max="255" man="1"/>
  </rowBreaks>
  <colBreaks count="1" manualBreakCount="1">
    <brk id="15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68"/>
  <sheetViews>
    <sheetView zoomScaleSheetLayoutView="85" workbookViewId="0" topLeftCell="B1">
      <selection activeCell="A1" sqref="A1:N1"/>
    </sheetView>
  </sheetViews>
  <sheetFormatPr defaultColWidth="9.83203125" defaultRowHeight="12"/>
  <cols>
    <col min="1" max="1" width="8.66015625" style="1" customWidth="1"/>
    <col min="2" max="2" width="60.66015625" style="1" customWidth="1"/>
    <col min="3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9.83203125" style="1" customWidth="1"/>
    <col min="16" max="16" width="7.83203125" style="1" customWidth="1"/>
    <col min="17" max="17" width="60.66015625" style="1" customWidth="1"/>
    <col min="18" max="18" width="82.66015625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186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 t="s">
        <v>0</v>
      </c>
    </row>
    <row r="2" spans="1:23" ht="12">
      <c r="A2" s="161" t="s">
        <v>321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1</v>
      </c>
    </row>
    <row r="3" spans="1:23" ht="12">
      <c r="A3" s="161" t="s">
        <v>209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305</v>
      </c>
    </row>
    <row r="4" spans="4:23" ht="12">
      <c r="D4" s="3" t="s">
        <v>2</v>
      </c>
      <c r="E4" s="130">
        <v>2001</v>
      </c>
      <c r="W4" s="2" t="s">
        <v>117</v>
      </c>
    </row>
    <row r="5" spans="1:12" ht="12">
      <c r="A5" s="2" t="s">
        <v>3</v>
      </c>
      <c r="L5" s="2" t="s">
        <v>208</v>
      </c>
    </row>
    <row r="6" spans="1:16" ht="15.75">
      <c r="A6" s="2" t="s">
        <v>4</v>
      </c>
      <c r="L6" s="2" t="s">
        <v>314</v>
      </c>
      <c r="P6" s="5" t="s">
        <v>164</v>
      </c>
    </row>
    <row r="7" spans="12:21" ht="19.5">
      <c r="L7" s="2" t="s">
        <v>5</v>
      </c>
      <c r="P7" s="6"/>
      <c r="U7" s="5" t="s">
        <v>121</v>
      </c>
    </row>
    <row r="8" spans="12:13" ht="12">
      <c r="L8" s="4" t="s">
        <v>6</v>
      </c>
      <c r="M8" s="4"/>
    </row>
    <row r="9" spans="17:24" ht="12.75">
      <c r="Q9" s="7"/>
      <c r="R9" s="7"/>
      <c r="S9" s="7"/>
      <c r="T9" s="8" t="s">
        <v>7</v>
      </c>
      <c r="U9" s="7"/>
      <c r="V9" s="7"/>
      <c r="W9" s="7"/>
      <c r="X9" s="7"/>
    </row>
    <row r="10" spans="17:24" ht="12.75">
      <c r="Q10" s="7"/>
      <c r="R10" s="7"/>
      <c r="S10" s="8" t="s">
        <v>8</v>
      </c>
      <c r="T10" s="9" t="s">
        <v>210</v>
      </c>
      <c r="U10" s="10" t="s">
        <v>9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10</v>
      </c>
      <c r="I11" s="12" t="s">
        <v>10</v>
      </c>
      <c r="J11" s="12"/>
      <c r="K11" s="12" t="s">
        <v>11</v>
      </c>
      <c r="L11" s="12" t="s">
        <v>11</v>
      </c>
      <c r="M11" s="12"/>
      <c r="N11" s="12"/>
      <c r="Q11" s="7"/>
      <c r="R11" s="7"/>
      <c r="S11" s="9" t="s">
        <v>12</v>
      </c>
      <c r="T11" s="9" t="s">
        <v>12</v>
      </c>
      <c r="U11" s="13" t="s">
        <v>13</v>
      </c>
      <c r="V11" s="14"/>
      <c r="W11" s="7"/>
      <c r="X11" s="7"/>
    </row>
    <row r="12" spans="1:24" ht="12.75">
      <c r="A12" s="9"/>
      <c r="B12" s="15"/>
      <c r="C12" s="15"/>
      <c r="D12" s="15" t="s">
        <v>14</v>
      </c>
      <c r="E12" s="15"/>
      <c r="F12" s="15"/>
      <c r="G12" s="15" t="s">
        <v>15</v>
      </c>
      <c r="H12" s="15" t="s">
        <v>16</v>
      </c>
      <c r="I12" s="15" t="s">
        <v>17</v>
      </c>
      <c r="J12" s="15"/>
      <c r="K12" s="15" t="s">
        <v>18</v>
      </c>
      <c r="L12" s="15" t="s">
        <v>18</v>
      </c>
      <c r="M12" s="15" t="s">
        <v>11</v>
      </c>
      <c r="N12" s="15" t="s">
        <v>11</v>
      </c>
      <c r="P12" s="4"/>
      <c r="Q12" s="16" t="s">
        <v>211</v>
      </c>
      <c r="R12" s="16" t="s">
        <v>20</v>
      </c>
      <c r="S12" s="17" t="s">
        <v>21</v>
      </c>
      <c r="T12" s="17" t="s">
        <v>21</v>
      </c>
      <c r="U12" s="16" t="s">
        <v>22</v>
      </c>
      <c r="V12" s="16" t="s">
        <v>23</v>
      </c>
      <c r="W12" s="16" t="s">
        <v>22</v>
      </c>
      <c r="X12" s="16" t="s">
        <v>23</v>
      </c>
    </row>
    <row r="13" spans="1:24" ht="12.75">
      <c r="A13" s="9"/>
      <c r="B13" s="15"/>
      <c r="C13" s="15" t="s">
        <v>14</v>
      </c>
      <c r="D13" s="15" t="s">
        <v>18</v>
      </c>
      <c r="E13" s="15" t="s">
        <v>24</v>
      </c>
      <c r="F13" s="15" t="s">
        <v>24</v>
      </c>
      <c r="G13" s="15" t="s">
        <v>25</v>
      </c>
      <c r="H13" s="15" t="s">
        <v>26</v>
      </c>
      <c r="I13" s="15" t="s">
        <v>26</v>
      </c>
      <c r="J13" s="15"/>
      <c r="K13" s="15" t="s">
        <v>17</v>
      </c>
      <c r="L13" s="15" t="s">
        <v>17</v>
      </c>
      <c r="M13" s="15" t="s">
        <v>16</v>
      </c>
      <c r="N13" s="15" t="s">
        <v>16</v>
      </c>
      <c r="P13" s="9" t="s">
        <v>54</v>
      </c>
      <c r="Q13" s="18" t="s">
        <v>57</v>
      </c>
      <c r="R13" s="19" t="s">
        <v>193</v>
      </c>
      <c r="S13" s="34">
        <v>1546550</v>
      </c>
      <c r="T13" s="34">
        <v>600000</v>
      </c>
      <c r="U13" s="53">
        <v>35490</v>
      </c>
      <c r="V13" s="53">
        <v>36434</v>
      </c>
      <c r="W13" s="53">
        <v>35551</v>
      </c>
      <c r="X13" s="53">
        <v>37073</v>
      </c>
    </row>
    <row r="14" spans="1:24" ht="12.75">
      <c r="A14" s="17" t="s">
        <v>27</v>
      </c>
      <c r="B14" s="21" t="s">
        <v>28</v>
      </c>
      <c r="C14" s="21" t="s">
        <v>16</v>
      </c>
      <c r="D14" s="21" t="s">
        <v>17</v>
      </c>
      <c r="E14" s="21" t="s">
        <v>29</v>
      </c>
      <c r="F14" s="21" t="s">
        <v>15</v>
      </c>
      <c r="G14" s="21" t="s">
        <v>17</v>
      </c>
      <c r="H14" s="21" t="s">
        <v>30</v>
      </c>
      <c r="I14" s="21" t="s">
        <v>30</v>
      </c>
      <c r="J14" s="21" t="s">
        <v>24</v>
      </c>
      <c r="K14" s="21" t="s">
        <v>31</v>
      </c>
      <c r="L14" s="21" t="s">
        <v>32</v>
      </c>
      <c r="M14" s="21" t="s">
        <v>31</v>
      </c>
      <c r="N14" s="21" t="s">
        <v>32</v>
      </c>
      <c r="P14" s="9" t="s">
        <v>63</v>
      </c>
      <c r="Q14" s="18" t="s">
        <v>72</v>
      </c>
      <c r="R14" s="22" t="s">
        <v>205</v>
      </c>
      <c r="S14" s="34">
        <v>280500</v>
      </c>
      <c r="T14" s="34">
        <v>320000</v>
      </c>
      <c r="U14" s="54">
        <v>35827</v>
      </c>
      <c r="V14" s="54">
        <v>36069</v>
      </c>
      <c r="W14" s="54">
        <v>36161</v>
      </c>
      <c r="X14" s="54">
        <v>37073</v>
      </c>
    </row>
    <row r="15" spans="1:24" ht="12.75">
      <c r="A15" s="9" t="s">
        <v>77</v>
      </c>
      <c r="B15" s="14" t="s">
        <v>81</v>
      </c>
      <c r="C15" s="30">
        <v>3243917</v>
      </c>
      <c r="D15" s="30">
        <v>4250000</v>
      </c>
      <c r="E15" s="30">
        <f aca="true" t="shared" si="0" ref="E15:E22">C15-D15</f>
        <v>-1006083</v>
      </c>
      <c r="F15" s="31">
        <f>C15/D15</f>
        <v>0.7632745882352941</v>
      </c>
      <c r="G15" s="32">
        <f aca="true" t="shared" si="1" ref="G15:G22">D15/(D$23+D$68)</f>
        <v>0.2608611055784687</v>
      </c>
      <c r="H15" s="33"/>
      <c r="I15" s="33"/>
      <c r="J15" s="33"/>
      <c r="K15" s="33"/>
      <c r="L15" s="33"/>
      <c r="M15" s="33"/>
      <c r="N15" s="33"/>
      <c r="P15" s="9" t="s">
        <v>68</v>
      </c>
      <c r="Q15" s="18" t="s">
        <v>76</v>
      </c>
      <c r="R15" s="22" t="s">
        <v>194</v>
      </c>
      <c r="S15" s="34">
        <v>1159682</v>
      </c>
      <c r="T15" s="34">
        <v>2000000</v>
      </c>
      <c r="U15" s="54">
        <v>35582</v>
      </c>
      <c r="V15" s="54">
        <v>35735</v>
      </c>
      <c r="W15" s="54">
        <v>36008</v>
      </c>
      <c r="X15" s="54">
        <v>37226</v>
      </c>
    </row>
    <row r="16" spans="1:24" ht="12.75">
      <c r="A16" s="9" t="s">
        <v>78</v>
      </c>
      <c r="B16" s="14" t="s">
        <v>82</v>
      </c>
      <c r="C16" s="34">
        <v>993755</v>
      </c>
      <c r="D16" s="34">
        <v>1130000</v>
      </c>
      <c r="E16" s="34">
        <f t="shared" si="0"/>
        <v>-136245</v>
      </c>
      <c r="F16" s="31">
        <f aca="true" t="shared" si="2" ref="F16:F23">C16/D16</f>
        <v>0.879429203539823</v>
      </c>
      <c r="G16" s="35">
        <f t="shared" si="1"/>
        <v>0.06935836454203992</v>
      </c>
      <c r="H16" s="33"/>
      <c r="I16" s="33"/>
      <c r="J16" s="33"/>
      <c r="K16" s="33"/>
      <c r="L16" s="33"/>
      <c r="M16" s="33"/>
      <c r="N16" s="33"/>
      <c r="P16" s="23" t="s">
        <v>96</v>
      </c>
      <c r="Q16" s="18" t="s">
        <v>102</v>
      </c>
      <c r="R16" s="22" t="s">
        <v>195</v>
      </c>
      <c r="S16" s="34">
        <v>935228</v>
      </c>
      <c r="T16" s="34">
        <v>916000</v>
      </c>
      <c r="U16" s="54">
        <v>36373</v>
      </c>
      <c r="V16" s="54">
        <v>36739</v>
      </c>
      <c r="W16" s="54">
        <v>36373</v>
      </c>
      <c r="X16" s="54">
        <v>37165</v>
      </c>
    </row>
    <row r="17" spans="1:24" ht="12.75">
      <c r="A17" s="9" t="s">
        <v>79</v>
      </c>
      <c r="B17" s="14" t="s">
        <v>34</v>
      </c>
      <c r="C17" s="34">
        <v>1709200</v>
      </c>
      <c r="D17" s="34">
        <v>1101211</v>
      </c>
      <c r="E17" s="34">
        <f t="shared" si="0"/>
        <v>607989</v>
      </c>
      <c r="F17" s="31">
        <f t="shared" si="2"/>
        <v>1.552109450414135</v>
      </c>
      <c r="G17" s="35">
        <f t="shared" si="1"/>
        <v>0.0675913221023932</v>
      </c>
      <c r="H17" s="33"/>
      <c r="I17" s="33"/>
      <c r="J17" s="33"/>
      <c r="K17" s="33"/>
      <c r="L17" s="33"/>
      <c r="M17" s="33"/>
      <c r="N17" s="33"/>
      <c r="P17" s="23" t="s">
        <v>97</v>
      </c>
      <c r="Q17" s="18" t="s">
        <v>103</v>
      </c>
      <c r="R17" s="22" t="s">
        <v>59</v>
      </c>
      <c r="S17" s="34">
        <v>1792597</v>
      </c>
      <c r="T17" s="34">
        <v>1800000</v>
      </c>
      <c r="U17" s="54">
        <v>36373</v>
      </c>
      <c r="V17" s="54">
        <v>36861</v>
      </c>
      <c r="W17" s="54">
        <v>36373</v>
      </c>
      <c r="X17" s="54">
        <v>37226</v>
      </c>
    </row>
    <row r="18" spans="1:24" ht="12.75">
      <c r="A18" s="9" t="s">
        <v>80</v>
      </c>
      <c r="B18" s="14" t="s">
        <v>83</v>
      </c>
      <c r="C18" s="34">
        <v>1484500</v>
      </c>
      <c r="D18" s="34">
        <v>1256564</v>
      </c>
      <c r="E18" s="34">
        <f t="shared" si="0"/>
        <v>227936</v>
      </c>
      <c r="F18" s="31">
        <f t="shared" si="2"/>
        <v>1.1813962520014898</v>
      </c>
      <c r="G18" s="35">
        <f t="shared" si="1"/>
        <v>0.07712674688708304</v>
      </c>
      <c r="H18" s="33"/>
      <c r="I18" s="33"/>
      <c r="J18" s="33"/>
      <c r="K18" s="33"/>
      <c r="L18" s="33"/>
      <c r="M18" s="33"/>
      <c r="N18" s="33"/>
      <c r="P18" s="23" t="s">
        <v>136</v>
      </c>
      <c r="Q18" s="18" t="s">
        <v>137</v>
      </c>
      <c r="R18" s="64" t="s">
        <v>197</v>
      </c>
      <c r="S18" s="34">
        <v>157970</v>
      </c>
      <c r="T18" s="34">
        <v>120000</v>
      </c>
      <c r="U18" s="54">
        <v>36831</v>
      </c>
      <c r="V18" s="54">
        <v>36861</v>
      </c>
      <c r="W18" s="54">
        <v>36831</v>
      </c>
      <c r="X18" s="54">
        <v>37135</v>
      </c>
    </row>
    <row r="19" spans="1:24" ht="12.75">
      <c r="A19" s="9" t="s">
        <v>84</v>
      </c>
      <c r="B19" s="14" t="s">
        <v>88</v>
      </c>
      <c r="C19" s="34">
        <v>213344</v>
      </c>
      <c r="D19" s="34">
        <v>328000</v>
      </c>
      <c r="E19" s="34">
        <f t="shared" si="0"/>
        <v>-114656</v>
      </c>
      <c r="F19" s="31">
        <f t="shared" si="2"/>
        <v>0.6504390243902439</v>
      </c>
      <c r="G19" s="35">
        <f t="shared" si="1"/>
        <v>0.02013233944229123</v>
      </c>
      <c r="H19" s="33"/>
      <c r="I19" s="33"/>
      <c r="J19" s="33"/>
      <c r="K19" s="33"/>
      <c r="L19" s="33"/>
      <c r="M19" s="33"/>
      <c r="N19" s="33"/>
      <c r="P19" s="102" t="s">
        <v>140</v>
      </c>
      <c r="Q19" s="18" t="s">
        <v>154</v>
      </c>
      <c r="R19" s="64" t="s">
        <v>216</v>
      </c>
      <c r="S19" s="34">
        <v>659244</v>
      </c>
      <c r="T19" s="34">
        <v>350000</v>
      </c>
      <c r="U19" s="54">
        <v>36892</v>
      </c>
      <c r="V19" s="54">
        <v>37226</v>
      </c>
      <c r="W19" s="54">
        <v>36982</v>
      </c>
      <c r="X19" s="54">
        <v>37226</v>
      </c>
    </row>
    <row r="20" spans="1:24" ht="12.75">
      <c r="A20" s="9" t="s">
        <v>85</v>
      </c>
      <c r="B20" s="14" t="s">
        <v>36</v>
      </c>
      <c r="C20" s="34">
        <v>281543</v>
      </c>
      <c r="D20" s="34">
        <v>250000</v>
      </c>
      <c r="E20" s="34">
        <f t="shared" si="0"/>
        <v>31543</v>
      </c>
      <c r="F20" s="31">
        <f t="shared" si="2"/>
        <v>1.126172</v>
      </c>
      <c r="G20" s="35">
        <f t="shared" si="1"/>
        <v>0.015344770916380512</v>
      </c>
      <c r="H20" s="33"/>
      <c r="I20" s="33"/>
      <c r="J20" s="33"/>
      <c r="K20" s="33"/>
      <c r="L20" s="33"/>
      <c r="M20" s="33"/>
      <c r="N20" s="33"/>
      <c r="P20" s="101" t="s">
        <v>148</v>
      </c>
      <c r="Q20" s="63" t="s">
        <v>161</v>
      </c>
      <c r="R20" s="64" t="s">
        <v>217</v>
      </c>
      <c r="S20" s="71">
        <v>0</v>
      </c>
      <c r="T20" s="100">
        <v>1550000</v>
      </c>
      <c r="U20" s="66">
        <v>36892</v>
      </c>
      <c r="V20" s="66">
        <v>37073</v>
      </c>
      <c r="W20" s="66"/>
      <c r="X20" s="66"/>
    </row>
    <row r="21" spans="1:24" ht="12.75">
      <c r="A21" s="9" t="s">
        <v>86</v>
      </c>
      <c r="B21" s="14" t="s">
        <v>37</v>
      </c>
      <c r="C21" s="34">
        <v>283674</v>
      </c>
      <c r="D21" s="34">
        <v>257200</v>
      </c>
      <c r="E21" s="34">
        <f t="shared" si="0"/>
        <v>26474</v>
      </c>
      <c r="F21" s="31">
        <f t="shared" si="2"/>
        <v>1.1029315707620528</v>
      </c>
      <c r="G21" s="35">
        <f t="shared" si="1"/>
        <v>0.01578670031877227</v>
      </c>
      <c r="H21" s="33"/>
      <c r="I21" s="33"/>
      <c r="J21" s="33"/>
      <c r="K21" s="33"/>
      <c r="L21" s="33"/>
      <c r="M21" s="33"/>
      <c r="N21" s="33"/>
      <c r="P21" s="67"/>
      <c r="Q21" s="17" t="s">
        <v>215</v>
      </c>
      <c r="R21" s="61"/>
      <c r="S21" s="61">
        <f>SUM(S13:S20)</f>
        <v>6531771</v>
      </c>
      <c r="T21" s="61">
        <f>SUM(T13:T20)</f>
        <v>7656000</v>
      </c>
      <c r="U21" s="68"/>
      <c r="V21" s="68"/>
      <c r="W21" s="68"/>
      <c r="X21" s="68"/>
    </row>
    <row r="22" spans="1:24" ht="12.75">
      <c r="A22" s="17" t="s">
        <v>87</v>
      </c>
      <c r="B22" s="25" t="s">
        <v>38</v>
      </c>
      <c r="C22" s="36">
        <v>301394</v>
      </c>
      <c r="D22" s="36">
        <v>222000</v>
      </c>
      <c r="E22" s="34">
        <f t="shared" si="0"/>
        <v>79394</v>
      </c>
      <c r="F22" s="37">
        <f t="shared" si="2"/>
        <v>1.3576306306306307</v>
      </c>
      <c r="G22" s="38">
        <f t="shared" si="1"/>
        <v>0.013626156573745895</v>
      </c>
      <c r="H22" s="33"/>
      <c r="I22" s="33"/>
      <c r="J22" s="33"/>
      <c r="K22" s="33"/>
      <c r="L22" s="33"/>
      <c r="M22" s="33"/>
      <c r="N22" s="33"/>
      <c r="P22" s="67"/>
      <c r="U22" s="68"/>
      <c r="V22" s="68"/>
      <c r="W22" s="68"/>
      <c r="X22" s="68"/>
    </row>
    <row r="23" spans="1:24" ht="12.75">
      <c r="A23" s="26"/>
      <c r="B23" s="27" t="s">
        <v>33</v>
      </c>
      <c r="C23" s="39">
        <f>SUM(C15:C22)</f>
        <v>8511327</v>
      </c>
      <c r="D23" s="39">
        <f>SUM(D15:D22)</f>
        <v>8794975</v>
      </c>
      <c r="E23" s="39">
        <f>SUM(E15:E22)</f>
        <v>-283648</v>
      </c>
      <c r="F23" s="37">
        <f t="shared" si="2"/>
        <v>0.9677488565914059</v>
      </c>
      <c r="G23" s="40"/>
      <c r="H23" s="33"/>
      <c r="I23" s="33"/>
      <c r="J23" s="33"/>
      <c r="K23" s="33"/>
      <c r="L23" s="33"/>
      <c r="M23" s="33"/>
      <c r="N23" s="33"/>
      <c r="P23" s="67"/>
      <c r="U23" s="68"/>
      <c r="V23" s="68"/>
      <c r="W23" s="68"/>
      <c r="X23" s="68"/>
    </row>
    <row r="24" spans="1:24" ht="12.75">
      <c r="A24" s="26"/>
      <c r="B24" s="27" t="s">
        <v>89</v>
      </c>
      <c r="C24" s="39">
        <f>C15</f>
        <v>3243917</v>
      </c>
      <c r="D24" s="39">
        <f>D15</f>
        <v>4250000</v>
      </c>
      <c r="E24" s="39">
        <f>E15</f>
        <v>-1006083</v>
      </c>
      <c r="F24" s="40"/>
      <c r="G24" s="40"/>
      <c r="H24" s="33"/>
      <c r="I24" s="33"/>
      <c r="J24" s="33"/>
      <c r="K24" s="33"/>
      <c r="L24" s="33"/>
      <c r="M24" s="33"/>
      <c r="N24" s="33"/>
      <c r="P24" s="7"/>
      <c r="U24" s="7"/>
      <c r="V24" s="7"/>
      <c r="W24" s="7"/>
      <c r="X24" s="7"/>
    </row>
    <row r="25" spans="1:14" ht="12.75">
      <c r="A25" s="26"/>
      <c r="B25" s="27" t="s">
        <v>139</v>
      </c>
      <c r="C25" s="39">
        <f>C23-C24</f>
        <v>5267410</v>
      </c>
      <c r="D25" s="39">
        <f>D23-D24</f>
        <v>4544975</v>
      </c>
      <c r="E25" s="39">
        <f>E23-E24</f>
        <v>722435</v>
      </c>
      <c r="F25" s="41">
        <f>C25/D25</f>
        <v>1.1589524694855307</v>
      </c>
      <c r="G25" s="40"/>
      <c r="H25" s="33"/>
      <c r="I25" s="33"/>
      <c r="J25" s="33"/>
      <c r="K25" s="33"/>
      <c r="L25" s="33"/>
      <c r="M25" s="33"/>
      <c r="N25" s="33"/>
    </row>
    <row r="26" spans="1:14" ht="12.75">
      <c r="A26" s="26"/>
      <c r="B26" s="7"/>
      <c r="C26" s="42"/>
      <c r="D26" s="42"/>
      <c r="E26" s="42"/>
      <c r="F26" s="40"/>
      <c r="G26" s="40"/>
      <c r="H26" s="33"/>
      <c r="I26" s="33"/>
      <c r="J26" s="33"/>
      <c r="K26" s="33"/>
      <c r="L26" s="33"/>
      <c r="M26" s="33"/>
      <c r="N26" s="33"/>
    </row>
    <row r="27" spans="1:14" ht="12.75">
      <c r="A27" s="26"/>
      <c r="B27" s="7"/>
      <c r="C27" s="42"/>
      <c r="D27" s="42"/>
      <c r="E27" s="42"/>
      <c r="F27" s="40"/>
      <c r="G27" s="40"/>
      <c r="H27" s="33"/>
      <c r="I27" s="33"/>
      <c r="J27" s="33"/>
      <c r="K27" s="33"/>
      <c r="L27" s="33"/>
      <c r="M27" s="33"/>
      <c r="N27" s="33"/>
    </row>
    <row r="28" spans="1:14" ht="12">
      <c r="A28" s="161" t="s">
        <v>186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</row>
    <row r="29" spans="1:14" ht="12">
      <c r="A29" s="161" t="str">
        <f>+A2</f>
        <v>Case No. 2008-00427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</row>
    <row r="30" spans="1:14" ht="12">
      <c r="A30" s="161" t="s">
        <v>209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</row>
    <row r="31" spans="4:5" ht="12">
      <c r="D31" s="3" t="s">
        <v>2</v>
      </c>
      <c r="E31" s="130">
        <v>2001</v>
      </c>
    </row>
    <row r="32" spans="1:12" ht="12">
      <c r="A32" s="2" t="s">
        <v>3</v>
      </c>
      <c r="L32" s="2" t="s">
        <v>208</v>
      </c>
    </row>
    <row r="33" spans="1:12" ht="12">
      <c r="A33" s="2" t="s">
        <v>4</v>
      </c>
      <c r="L33" s="2" t="s">
        <v>315</v>
      </c>
    </row>
    <row r="34" ht="12">
      <c r="L34" s="2" t="s">
        <v>5</v>
      </c>
    </row>
    <row r="35" spans="12:13" ht="12">
      <c r="L35" s="4" t="s">
        <v>6</v>
      </c>
      <c r="M35" s="4"/>
    </row>
    <row r="38" spans="1:14" ht="12.75">
      <c r="A38" s="8"/>
      <c r="B38" s="12"/>
      <c r="C38" s="12"/>
      <c r="D38" s="12"/>
      <c r="E38" s="12"/>
      <c r="F38" s="12"/>
      <c r="G38" s="12"/>
      <c r="H38" s="12" t="s">
        <v>10</v>
      </c>
      <c r="I38" s="12" t="s">
        <v>10</v>
      </c>
      <c r="J38" s="12"/>
      <c r="K38" s="12" t="s">
        <v>11</v>
      </c>
      <c r="L38" s="12" t="s">
        <v>11</v>
      </c>
      <c r="M38" s="12"/>
      <c r="N38" s="12"/>
    </row>
    <row r="39" spans="1:14" ht="12.75">
      <c r="A39" s="9"/>
      <c r="B39" s="15"/>
      <c r="C39" s="15"/>
      <c r="D39" s="15" t="s">
        <v>14</v>
      </c>
      <c r="E39" s="15"/>
      <c r="F39" s="15"/>
      <c r="G39" s="15" t="s">
        <v>15</v>
      </c>
      <c r="H39" s="15" t="s">
        <v>16</v>
      </c>
      <c r="I39" s="15" t="s">
        <v>17</v>
      </c>
      <c r="J39" s="15"/>
      <c r="K39" s="15" t="s">
        <v>18</v>
      </c>
      <c r="L39" s="15" t="s">
        <v>18</v>
      </c>
      <c r="M39" s="15" t="s">
        <v>11</v>
      </c>
      <c r="N39" s="15" t="s">
        <v>11</v>
      </c>
    </row>
    <row r="40" spans="1:14" ht="12.75">
      <c r="A40" s="9"/>
      <c r="B40" s="15"/>
      <c r="C40" s="15" t="s">
        <v>14</v>
      </c>
      <c r="D40" s="15" t="s">
        <v>18</v>
      </c>
      <c r="E40" s="15" t="s">
        <v>24</v>
      </c>
      <c r="F40" s="15" t="s">
        <v>24</v>
      </c>
      <c r="G40" s="15" t="s">
        <v>25</v>
      </c>
      <c r="H40" s="15" t="s">
        <v>26</v>
      </c>
      <c r="I40" s="15" t="s">
        <v>26</v>
      </c>
      <c r="J40" s="15"/>
      <c r="K40" s="15" t="s">
        <v>17</v>
      </c>
      <c r="L40" s="15" t="s">
        <v>17</v>
      </c>
      <c r="M40" s="15" t="s">
        <v>16</v>
      </c>
      <c r="N40" s="15" t="s">
        <v>16</v>
      </c>
    </row>
    <row r="41" spans="1:14" ht="12.75">
      <c r="A41" s="17"/>
      <c r="B41" s="21" t="s">
        <v>28</v>
      </c>
      <c r="C41" s="21" t="s">
        <v>16</v>
      </c>
      <c r="D41" s="21" t="s">
        <v>17</v>
      </c>
      <c r="E41" s="21" t="s">
        <v>29</v>
      </c>
      <c r="F41" s="21" t="s">
        <v>15</v>
      </c>
      <c r="G41" s="21" t="s">
        <v>17</v>
      </c>
      <c r="H41" s="21" t="s">
        <v>30</v>
      </c>
      <c r="I41" s="21" t="s">
        <v>30</v>
      </c>
      <c r="J41" s="21" t="s">
        <v>24</v>
      </c>
      <c r="K41" s="21" t="s">
        <v>31</v>
      </c>
      <c r="L41" s="21" t="s">
        <v>32</v>
      </c>
      <c r="M41" s="21" t="s">
        <v>31</v>
      </c>
      <c r="N41" s="21" t="s">
        <v>32</v>
      </c>
    </row>
    <row r="42" spans="1:14" ht="12.75">
      <c r="A42" s="56"/>
      <c r="B42" s="57" t="s">
        <v>211</v>
      </c>
      <c r="C42" s="58"/>
      <c r="D42" s="58"/>
      <c r="E42" s="58"/>
      <c r="F42" s="59"/>
      <c r="G42" s="59"/>
      <c r="H42" s="60"/>
      <c r="I42" s="60"/>
      <c r="J42" s="60"/>
      <c r="K42" s="60"/>
      <c r="L42" s="60"/>
      <c r="M42" s="60"/>
      <c r="N42" s="60"/>
    </row>
    <row r="43" spans="1:14" ht="12.75">
      <c r="A43" s="9" t="s">
        <v>39</v>
      </c>
      <c r="B43" s="14" t="s">
        <v>124</v>
      </c>
      <c r="C43" s="34">
        <v>225705</v>
      </c>
      <c r="D43" s="34">
        <v>212100</v>
      </c>
      <c r="E43" s="43">
        <f aca="true" t="shared" si="3" ref="E43:E66">C43-D43</f>
        <v>13605</v>
      </c>
      <c r="F43" s="35">
        <f>C43/D43</f>
        <v>1.0641442715700142</v>
      </c>
      <c r="G43" s="35">
        <f aca="true" t="shared" si="4" ref="G43:G67">D43/(D$23+D$68)</f>
        <v>0.013018503645457227</v>
      </c>
      <c r="H43" s="34"/>
      <c r="I43" s="34"/>
      <c r="J43" s="43"/>
      <c r="K43" s="45">
        <v>33786</v>
      </c>
      <c r="L43" s="45">
        <v>35400</v>
      </c>
      <c r="M43" s="45">
        <v>33848</v>
      </c>
      <c r="N43" s="46"/>
    </row>
    <row r="44" spans="1:14" ht="12.75">
      <c r="A44" s="23" t="s">
        <v>48</v>
      </c>
      <c r="B44" s="29" t="s">
        <v>49</v>
      </c>
      <c r="C44" s="34">
        <v>870876</v>
      </c>
      <c r="D44" s="34">
        <v>479820</v>
      </c>
      <c r="E44" s="43">
        <f t="shared" si="3"/>
        <v>391056</v>
      </c>
      <c r="F44" s="35">
        <f>C44/D44</f>
        <v>1.8150056271101662</v>
      </c>
      <c r="G44" s="35">
        <f t="shared" si="4"/>
        <v>0.02945091192439079</v>
      </c>
      <c r="H44" s="34"/>
      <c r="I44" s="34"/>
      <c r="J44" s="43"/>
      <c r="K44" s="45">
        <v>35400</v>
      </c>
      <c r="L44" s="45">
        <v>36312</v>
      </c>
      <c r="M44" s="45">
        <v>35370</v>
      </c>
      <c r="N44" s="52">
        <v>37956</v>
      </c>
    </row>
    <row r="45" spans="1:14" ht="12.75">
      <c r="A45" s="23" t="s">
        <v>54</v>
      </c>
      <c r="B45" s="29" t="s">
        <v>57</v>
      </c>
      <c r="C45" s="34">
        <v>136110</v>
      </c>
      <c r="D45" s="34">
        <v>0</v>
      </c>
      <c r="E45" s="43">
        <f t="shared" si="3"/>
        <v>136110</v>
      </c>
      <c r="F45" s="35"/>
      <c r="G45" s="35">
        <f t="shared" si="4"/>
        <v>0</v>
      </c>
      <c r="H45" s="34">
        <v>1546550</v>
      </c>
      <c r="I45" s="34">
        <v>600000</v>
      </c>
      <c r="J45" s="43">
        <f>I45-H45</f>
        <v>-946550</v>
      </c>
      <c r="K45" s="45">
        <v>35490</v>
      </c>
      <c r="L45" s="45">
        <v>36434</v>
      </c>
      <c r="M45" s="45">
        <v>35551</v>
      </c>
      <c r="N45" s="52">
        <v>37073</v>
      </c>
    </row>
    <row r="46" spans="1:14" ht="12.75">
      <c r="A46" s="23" t="s">
        <v>60</v>
      </c>
      <c r="B46" s="29" t="s">
        <v>69</v>
      </c>
      <c r="C46" s="34">
        <v>100998</v>
      </c>
      <c r="D46" s="34">
        <v>0</v>
      </c>
      <c r="E46" s="43">
        <f t="shared" si="3"/>
        <v>100998</v>
      </c>
      <c r="F46" s="35"/>
      <c r="G46" s="55">
        <f t="shared" si="4"/>
        <v>0</v>
      </c>
      <c r="H46" s="34"/>
      <c r="I46" s="34"/>
      <c r="J46" s="43"/>
      <c r="K46" s="45">
        <v>35827</v>
      </c>
      <c r="L46" s="45">
        <v>36404</v>
      </c>
      <c r="M46" s="45">
        <v>36192</v>
      </c>
      <c r="N46" s="48"/>
    </row>
    <row r="47" spans="1:14" ht="12.75">
      <c r="A47" s="23" t="s">
        <v>63</v>
      </c>
      <c r="B47" s="29" t="s">
        <v>72</v>
      </c>
      <c r="C47" s="34">
        <v>94489</v>
      </c>
      <c r="D47" s="34">
        <v>0</v>
      </c>
      <c r="E47" s="43">
        <f t="shared" si="3"/>
        <v>94489</v>
      </c>
      <c r="F47" s="35"/>
      <c r="G47" s="55">
        <f t="shared" si="4"/>
        <v>0</v>
      </c>
      <c r="H47" s="34">
        <v>280500</v>
      </c>
      <c r="I47" s="34">
        <v>320000</v>
      </c>
      <c r="J47" s="43">
        <f>I47-H47</f>
        <v>39500</v>
      </c>
      <c r="K47" s="45">
        <v>35827</v>
      </c>
      <c r="L47" s="45">
        <v>36069</v>
      </c>
      <c r="M47" s="45">
        <v>36161</v>
      </c>
      <c r="N47" s="52">
        <v>37073</v>
      </c>
    </row>
    <row r="48" spans="1:14" ht="12.75">
      <c r="A48" s="23" t="s">
        <v>65</v>
      </c>
      <c r="B48" s="29" t="s">
        <v>74</v>
      </c>
      <c r="C48" s="34">
        <v>17087</v>
      </c>
      <c r="D48" s="34">
        <v>0</v>
      </c>
      <c r="E48" s="43">
        <f t="shared" si="3"/>
        <v>17087</v>
      </c>
      <c r="F48" s="35"/>
      <c r="G48" s="55">
        <f t="shared" si="4"/>
        <v>0</v>
      </c>
      <c r="H48" s="34"/>
      <c r="I48" s="34"/>
      <c r="J48" s="43"/>
      <c r="K48" s="45">
        <v>35886</v>
      </c>
      <c r="L48" s="45">
        <v>36465</v>
      </c>
      <c r="M48" s="45">
        <v>36008</v>
      </c>
      <c r="N48" s="48"/>
    </row>
    <row r="49" spans="1:14" ht="12.75">
      <c r="A49" s="23" t="s">
        <v>66</v>
      </c>
      <c r="B49" s="29" t="s">
        <v>75</v>
      </c>
      <c r="C49" s="34">
        <v>1254</v>
      </c>
      <c r="D49" s="34">
        <v>0</v>
      </c>
      <c r="E49" s="43">
        <f t="shared" si="3"/>
        <v>1254</v>
      </c>
      <c r="F49" s="35"/>
      <c r="G49" s="55">
        <f t="shared" si="4"/>
        <v>0</v>
      </c>
      <c r="H49" s="34"/>
      <c r="I49" s="34"/>
      <c r="J49" s="43"/>
      <c r="K49" s="45">
        <v>35827</v>
      </c>
      <c r="L49" s="45">
        <v>36100</v>
      </c>
      <c r="M49" s="45">
        <v>36008</v>
      </c>
      <c r="N49" s="48"/>
    </row>
    <row r="50" spans="1:14" ht="12.75">
      <c r="A50" s="23" t="s">
        <v>68</v>
      </c>
      <c r="B50" s="29" t="s">
        <v>76</v>
      </c>
      <c r="C50" s="34">
        <v>61650</v>
      </c>
      <c r="D50" s="34">
        <v>700000</v>
      </c>
      <c r="E50" s="43">
        <f t="shared" si="3"/>
        <v>-638350</v>
      </c>
      <c r="F50" s="35">
        <f>C50/D50</f>
        <v>0.08807142857142858</v>
      </c>
      <c r="G50" s="55">
        <f t="shared" si="4"/>
        <v>0.04296535856586543</v>
      </c>
      <c r="H50" s="34">
        <v>1159682</v>
      </c>
      <c r="I50" s="34">
        <v>2000000</v>
      </c>
      <c r="J50" s="43">
        <f aca="true" t="shared" si="5" ref="J50:J57">H50-I50</f>
        <v>-840318</v>
      </c>
      <c r="K50" s="45">
        <v>35582</v>
      </c>
      <c r="L50" s="45">
        <v>35735</v>
      </c>
      <c r="M50" s="45">
        <v>36008</v>
      </c>
      <c r="N50" s="52">
        <v>37226</v>
      </c>
    </row>
    <row r="51" spans="1:14" ht="12.75">
      <c r="A51" s="23" t="s">
        <v>96</v>
      </c>
      <c r="B51" s="29" t="s">
        <v>102</v>
      </c>
      <c r="C51" s="34">
        <v>27079</v>
      </c>
      <c r="D51" s="34">
        <v>0</v>
      </c>
      <c r="E51" s="43">
        <f t="shared" si="3"/>
        <v>27079</v>
      </c>
      <c r="F51" s="35"/>
      <c r="G51" s="35">
        <f t="shared" si="4"/>
        <v>0</v>
      </c>
      <c r="H51" s="34">
        <v>935228</v>
      </c>
      <c r="I51" s="34">
        <v>916000</v>
      </c>
      <c r="J51" s="43">
        <f t="shared" si="5"/>
        <v>19228</v>
      </c>
      <c r="K51" s="45">
        <v>36373</v>
      </c>
      <c r="L51" s="45">
        <v>36739</v>
      </c>
      <c r="M51" s="45">
        <v>36373</v>
      </c>
      <c r="N51" s="52">
        <v>37165</v>
      </c>
    </row>
    <row r="52" spans="1:14" ht="12.75">
      <c r="A52" s="23" t="s">
        <v>97</v>
      </c>
      <c r="B52" s="29" t="s">
        <v>103</v>
      </c>
      <c r="C52" s="34">
        <v>11126</v>
      </c>
      <c r="D52" s="34">
        <v>0</v>
      </c>
      <c r="E52" s="34">
        <f t="shared" si="3"/>
        <v>11126</v>
      </c>
      <c r="F52" s="35"/>
      <c r="G52" s="35">
        <f t="shared" si="4"/>
        <v>0</v>
      </c>
      <c r="H52" s="34">
        <v>1792597</v>
      </c>
      <c r="I52" s="34">
        <v>1800000</v>
      </c>
      <c r="J52" s="43">
        <f t="shared" si="5"/>
        <v>-7403</v>
      </c>
      <c r="K52" s="45">
        <v>36373</v>
      </c>
      <c r="L52" s="45">
        <v>36861</v>
      </c>
      <c r="M52" s="45">
        <v>36373</v>
      </c>
      <c r="N52" s="52">
        <v>37226</v>
      </c>
    </row>
    <row r="53" spans="1:14" ht="12.75">
      <c r="A53" s="23" t="s">
        <v>130</v>
      </c>
      <c r="B53" s="29" t="s">
        <v>151</v>
      </c>
      <c r="C53" s="34">
        <v>377404</v>
      </c>
      <c r="D53" s="34">
        <v>0</v>
      </c>
      <c r="E53" s="34">
        <f t="shared" si="3"/>
        <v>377404</v>
      </c>
      <c r="F53" s="35"/>
      <c r="G53" s="35">
        <f t="shared" si="4"/>
        <v>0</v>
      </c>
      <c r="H53" s="34"/>
      <c r="I53" s="34"/>
      <c r="J53" s="43"/>
      <c r="K53" s="45">
        <v>36586</v>
      </c>
      <c r="L53" s="45">
        <v>36861</v>
      </c>
      <c r="M53" s="45">
        <v>36586</v>
      </c>
      <c r="N53" s="52">
        <v>37530</v>
      </c>
    </row>
    <row r="54" spans="1:14" ht="12.75">
      <c r="A54" s="23" t="s">
        <v>132</v>
      </c>
      <c r="B54" s="29" t="s">
        <v>152</v>
      </c>
      <c r="C54" s="34">
        <v>13273</v>
      </c>
      <c r="D54" s="34">
        <v>0</v>
      </c>
      <c r="E54" s="34">
        <f t="shared" si="3"/>
        <v>13273</v>
      </c>
      <c r="F54" s="35"/>
      <c r="G54" s="35">
        <f t="shared" si="4"/>
        <v>0</v>
      </c>
      <c r="H54" s="34"/>
      <c r="I54" s="34"/>
      <c r="J54" s="43"/>
      <c r="K54" s="45">
        <v>36557</v>
      </c>
      <c r="L54" s="45">
        <v>36770</v>
      </c>
      <c r="M54" s="45">
        <v>36831</v>
      </c>
      <c r="N54" s="52">
        <v>37591</v>
      </c>
    </row>
    <row r="55" spans="1:14" ht="12.75">
      <c r="A55" s="23" t="s">
        <v>134</v>
      </c>
      <c r="B55" s="29" t="s">
        <v>153</v>
      </c>
      <c r="C55" s="34">
        <v>18737</v>
      </c>
      <c r="D55" s="34">
        <v>0</v>
      </c>
      <c r="E55" s="34">
        <f t="shared" si="3"/>
        <v>18737</v>
      </c>
      <c r="F55" s="35"/>
      <c r="G55" s="35">
        <f t="shared" si="4"/>
        <v>0</v>
      </c>
      <c r="H55" s="34"/>
      <c r="I55" s="34"/>
      <c r="J55" s="43"/>
      <c r="K55" s="45">
        <v>36586</v>
      </c>
      <c r="L55" s="45">
        <v>36831</v>
      </c>
      <c r="M55" s="45">
        <v>36586</v>
      </c>
      <c r="N55" s="52">
        <v>37561</v>
      </c>
    </row>
    <row r="56" spans="1:14" ht="12.75">
      <c r="A56" s="23" t="s">
        <v>136</v>
      </c>
      <c r="B56" s="29" t="s">
        <v>137</v>
      </c>
      <c r="C56" s="34">
        <v>87139</v>
      </c>
      <c r="D56" s="34">
        <v>0</v>
      </c>
      <c r="E56" s="34">
        <f t="shared" si="3"/>
        <v>87139</v>
      </c>
      <c r="F56" s="35"/>
      <c r="G56" s="35">
        <f t="shared" si="4"/>
        <v>0</v>
      </c>
      <c r="H56" s="34">
        <v>157970</v>
      </c>
      <c r="I56" s="34">
        <v>120000</v>
      </c>
      <c r="J56" s="43">
        <f t="shared" si="5"/>
        <v>37970</v>
      </c>
      <c r="K56" s="45">
        <v>36831</v>
      </c>
      <c r="L56" s="45">
        <v>36861</v>
      </c>
      <c r="M56" s="45">
        <v>36831</v>
      </c>
      <c r="N56" s="52">
        <v>37135</v>
      </c>
    </row>
    <row r="57" spans="1:14" ht="12.75">
      <c r="A57" s="73" t="s">
        <v>140</v>
      </c>
      <c r="B57" s="29" t="s">
        <v>154</v>
      </c>
      <c r="C57" s="34">
        <v>656430</v>
      </c>
      <c r="D57" s="34">
        <v>350000</v>
      </c>
      <c r="E57" s="34">
        <f t="shared" si="3"/>
        <v>306430</v>
      </c>
      <c r="F57" s="35">
        <f aca="true" t="shared" si="6" ref="F57:F65">C57/D57</f>
        <v>1.8755142857142857</v>
      </c>
      <c r="G57" s="35">
        <f t="shared" si="4"/>
        <v>0.021482679282932717</v>
      </c>
      <c r="H57" s="34">
        <v>659244</v>
      </c>
      <c r="I57" s="34">
        <v>350000</v>
      </c>
      <c r="J57" s="43">
        <f t="shared" si="5"/>
        <v>309244</v>
      </c>
      <c r="K57" s="45">
        <v>36892</v>
      </c>
      <c r="L57" s="45">
        <v>37226</v>
      </c>
      <c r="M57" s="45">
        <v>36982</v>
      </c>
      <c r="N57" s="52">
        <v>37226</v>
      </c>
    </row>
    <row r="58" spans="1:14" ht="12.75">
      <c r="A58" s="73" t="s">
        <v>141</v>
      </c>
      <c r="B58" s="29" t="s">
        <v>155</v>
      </c>
      <c r="C58" s="34">
        <v>51844</v>
      </c>
      <c r="D58" s="34">
        <v>100000</v>
      </c>
      <c r="E58" s="34">
        <f t="shared" si="3"/>
        <v>-48156</v>
      </c>
      <c r="F58" s="35">
        <f t="shared" si="6"/>
        <v>0.51844</v>
      </c>
      <c r="G58" s="35">
        <f t="shared" si="4"/>
        <v>0.006137908366552205</v>
      </c>
      <c r="H58" s="34"/>
      <c r="I58" s="34"/>
      <c r="J58" s="43"/>
      <c r="K58" s="45">
        <v>36951</v>
      </c>
      <c r="L58" s="45">
        <v>37956</v>
      </c>
      <c r="M58" s="45">
        <v>36923</v>
      </c>
      <c r="N58" s="48"/>
    </row>
    <row r="59" spans="1:14" ht="12.75">
      <c r="A59" s="73" t="s">
        <v>142</v>
      </c>
      <c r="B59" s="29" t="s">
        <v>156</v>
      </c>
      <c r="C59" s="34">
        <v>58572</v>
      </c>
      <c r="D59" s="34">
        <v>94000</v>
      </c>
      <c r="E59" s="34">
        <f t="shared" si="3"/>
        <v>-35428</v>
      </c>
      <c r="F59" s="35">
        <f t="shared" si="6"/>
        <v>0.6231063829787234</v>
      </c>
      <c r="G59" s="35">
        <f t="shared" si="4"/>
        <v>0.0057696338645590725</v>
      </c>
      <c r="H59" s="34"/>
      <c r="I59" s="34"/>
      <c r="J59" s="43"/>
      <c r="K59" s="45">
        <v>36892</v>
      </c>
      <c r="L59" s="45">
        <v>37742</v>
      </c>
      <c r="M59" s="45">
        <v>37500</v>
      </c>
      <c r="N59" s="48"/>
    </row>
    <row r="60" spans="1:14" ht="12.75">
      <c r="A60" s="73" t="s">
        <v>143</v>
      </c>
      <c r="B60" s="29" t="s">
        <v>56</v>
      </c>
      <c r="C60" s="34">
        <v>1036651</v>
      </c>
      <c r="D60" s="34">
        <v>750000</v>
      </c>
      <c r="E60" s="34">
        <f t="shared" si="3"/>
        <v>286651</v>
      </c>
      <c r="F60" s="35">
        <f t="shared" si="6"/>
        <v>1.3822013333333334</v>
      </c>
      <c r="G60" s="35">
        <f t="shared" si="4"/>
        <v>0.046034312749141534</v>
      </c>
      <c r="H60" s="34"/>
      <c r="I60" s="34"/>
      <c r="J60" s="43"/>
      <c r="K60" s="45">
        <v>36892</v>
      </c>
      <c r="L60" s="45">
        <v>37591</v>
      </c>
      <c r="M60" s="45">
        <v>36892</v>
      </c>
      <c r="N60" s="52">
        <v>37895</v>
      </c>
    </row>
    <row r="61" spans="1:14" ht="12.75">
      <c r="A61" s="73" t="s">
        <v>144</v>
      </c>
      <c r="B61" s="29" t="s">
        <v>157</v>
      </c>
      <c r="C61" s="34">
        <v>8222</v>
      </c>
      <c r="D61" s="34">
        <v>150000</v>
      </c>
      <c r="E61" s="34">
        <f t="shared" si="3"/>
        <v>-141778</v>
      </c>
      <c r="F61" s="35">
        <f t="shared" si="6"/>
        <v>0.05481333333333333</v>
      </c>
      <c r="G61" s="35">
        <f t="shared" si="4"/>
        <v>0.009206862549828308</v>
      </c>
      <c r="H61" s="34"/>
      <c r="I61" s="34"/>
      <c r="J61" s="43"/>
      <c r="K61" s="45">
        <v>36892</v>
      </c>
      <c r="L61" s="45">
        <v>38322</v>
      </c>
      <c r="M61" s="45">
        <v>36923</v>
      </c>
      <c r="N61" s="48"/>
    </row>
    <row r="62" spans="1:14" ht="12.75">
      <c r="A62" s="73" t="s">
        <v>145</v>
      </c>
      <c r="B62" s="29" t="s">
        <v>158</v>
      </c>
      <c r="C62" s="34">
        <v>237105</v>
      </c>
      <c r="D62" s="34">
        <v>150000</v>
      </c>
      <c r="E62" s="34">
        <f t="shared" si="3"/>
        <v>87105</v>
      </c>
      <c r="F62" s="35">
        <f t="shared" si="6"/>
        <v>1.5807</v>
      </c>
      <c r="G62" s="35">
        <f t="shared" si="4"/>
        <v>0.009206862549828308</v>
      </c>
      <c r="H62" s="34"/>
      <c r="I62" s="34"/>
      <c r="J62" s="43"/>
      <c r="K62" s="45">
        <v>37104</v>
      </c>
      <c r="L62" s="45">
        <v>37377</v>
      </c>
      <c r="M62" s="45">
        <v>37104</v>
      </c>
      <c r="N62" s="52">
        <v>37377</v>
      </c>
    </row>
    <row r="63" spans="1:14" ht="12.75">
      <c r="A63" s="73" t="s">
        <v>146</v>
      </c>
      <c r="B63" s="29" t="s">
        <v>159</v>
      </c>
      <c r="C63" s="34">
        <v>992648</v>
      </c>
      <c r="D63" s="34">
        <v>1050000</v>
      </c>
      <c r="E63" s="34">
        <f t="shared" si="3"/>
        <v>-57352</v>
      </c>
      <c r="F63" s="35">
        <f t="shared" si="6"/>
        <v>0.9453790476190477</v>
      </c>
      <c r="G63" s="35">
        <f t="shared" si="4"/>
        <v>0.06444803784879816</v>
      </c>
      <c r="H63" s="34"/>
      <c r="I63" s="34"/>
      <c r="J63" s="43"/>
      <c r="K63" s="45">
        <v>36892</v>
      </c>
      <c r="L63" s="45">
        <v>37226</v>
      </c>
      <c r="M63" s="45">
        <v>36892</v>
      </c>
      <c r="N63" s="52">
        <v>37316</v>
      </c>
    </row>
    <row r="64" spans="1:14" ht="12.75">
      <c r="A64" s="73" t="s">
        <v>147</v>
      </c>
      <c r="B64" s="29" t="s">
        <v>160</v>
      </c>
      <c r="C64" s="34">
        <v>1830291</v>
      </c>
      <c r="D64" s="34">
        <v>1911300</v>
      </c>
      <c r="E64" s="34">
        <f t="shared" si="3"/>
        <v>-81009</v>
      </c>
      <c r="F64" s="35">
        <f t="shared" si="6"/>
        <v>0.9576157589075498</v>
      </c>
      <c r="G64" s="35">
        <f t="shared" si="4"/>
        <v>0.11731384260991229</v>
      </c>
      <c r="H64" s="43"/>
      <c r="I64" s="34"/>
      <c r="J64" s="43"/>
      <c r="K64" s="45">
        <v>36739</v>
      </c>
      <c r="L64" s="45">
        <v>36739</v>
      </c>
      <c r="M64" s="45">
        <v>37073</v>
      </c>
      <c r="N64" s="52">
        <v>37591</v>
      </c>
    </row>
    <row r="65" spans="1:14" ht="12.75">
      <c r="A65" s="73" t="s">
        <v>148</v>
      </c>
      <c r="B65" s="29" t="s">
        <v>161</v>
      </c>
      <c r="C65" s="34">
        <v>0</v>
      </c>
      <c r="D65" s="34">
        <v>1550000</v>
      </c>
      <c r="E65" s="34">
        <f t="shared" si="3"/>
        <v>-1550000</v>
      </c>
      <c r="F65" s="35">
        <f t="shared" si="6"/>
        <v>0</v>
      </c>
      <c r="G65" s="35">
        <f t="shared" si="4"/>
        <v>0.09513757968155917</v>
      </c>
      <c r="H65" s="34"/>
      <c r="I65" s="34"/>
      <c r="J65" s="43"/>
      <c r="K65" s="45">
        <v>36892</v>
      </c>
      <c r="L65" s="45">
        <v>37073</v>
      </c>
      <c r="M65" s="45"/>
      <c r="N65" s="48"/>
    </row>
    <row r="66" spans="1:14" ht="12.75">
      <c r="A66" s="73" t="s">
        <v>149</v>
      </c>
      <c r="B66" s="29" t="s">
        <v>162</v>
      </c>
      <c r="C66" s="34">
        <v>112695</v>
      </c>
      <c r="D66" s="34">
        <v>0</v>
      </c>
      <c r="E66" s="34">
        <f t="shared" si="3"/>
        <v>112695</v>
      </c>
      <c r="F66" s="35"/>
      <c r="G66" s="35">
        <f t="shared" si="4"/>
        <v>0</v>
      </c>
      <c r="H66" s="34"/>
      <c r="I66" s="34"/>
      <c r="J66" s="43"/>
      <c r="K66" s="45">
        <v>36951</v>
      </c>
      <c r="L66" s="45">
        <v>37500</v>
      </c>
      <c r="M66" s="45">
        <v>37104</v>
      </c>
      <c r="N66" s="52">
        <v>37773</v>
      </c>
    </row>
    <row r="67" spans="1:14" ht="12.75">
      <c r="A67" s="74" t="s">
        <v>150</v>
      </c>
      <c r="B67" s="22" t="s">
        <v>163</v>
      </c>
      <c r="C67" s="36">
        <v>0</v>
      </c>
      <c r="D67" s="36">
        <v>0</v>
      </c>
      <c r="E67" s="34">
        <f>C67-D67</f>
        <v>0</v>
      </c>
      <c r="F67" s="35"/>
      <c r="G67" s="38">
        <f t="shared" si="4"/>
        <v>0</v>
      </c>
      <c r="H67" s="36"/>
      <c r="I67" s="36"/>
      <c r="J67" s="44"/>
      <c r="K67" s="49">
        <v>37165</v>
      </c>
      <c r="L67" s="49">
        <v>37742</v>
      </c>
      <c r="M67" s="49">
        <v>37288</v>
      </c>
      <c r="N67" s="50"/>
    </row>
    <row r="68" spans="2:14" ht="12.75">
      <c r="B68" s="27" t="s">
        <v>177</v>
      </c>
      <c r="C68" s="39">
        <f>SUM(C42:C67)</f>
        <v>7027385</v>
      </c>
      <c r="D68" s="39">
        <f>SUM(D42:D67)</f>
        <v>7497220</v>
      </c>
      <c r="E68" s="39">
        <f>SUM(E42:E67)</f>
        <v>-469835</v>
      </c>
      <c r="F68" s="41">
        <f>C68/D68</f>
        <v>0.9373321044333767</v>
      </c>
      <c r="G68" s="40"/>
      <c r="H68" s="33"/>
      <c r="I68" s="33"/>
      <c r="J68" s="33"/>
      <c r="K68" s="33"/>
      <c r="L68" s="33"/>
      <c r="M68" s="33"/>
      <c r="N68" s="33"/>
    </row>
  </sheetData>
  <mergeCells count="6">
    <mergeCell ref="A29:N29"/>
    <mergeCell ref="A30:N30"/>
    <mergeCell ref="A3:N3"/>
    <mergeCell ref="A1:N1"/>
    <mergeCell ref="A2:N2"/>
    <mergeCell ref="A28:N28"/>
  </mergeCells>
  <printOptions horizontalCentered="1"/>
  <pageMargins left="0.25" right="0.25" top="1" bottom="0.5" header="0" footer="0"/>
  <pageSetup fitToWidth="2" horizontalDpi="600" verticalDpi="600" orientation="landscape" scale="70" r:id="rId1"/>
  <rowBreaks count="1" manualBreakCount="1">
    <brk id="27" max="255" man="1"/>
  </rowBreaks>
  <colBreaks count="1" manualBreakCount="1">
    <brk id="15" max="6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66"/>
  <sheetViews>
    <sheetView zoomScaleSheetLayoutView="85" workbookViewId="0" topLeftCell="A1">
      <selection activeCell="A1" sqref="A1:N1"/>
    </sheetView>
  </sheetViews>
  <sheetFormatPr defaultColWidth="9.83203125" defaultRowHeight="12"/>
  <cols>
    <col min="1" max="1" width="8.66015625" style="1" customWidth="1"/>
    <col min="2" max="2" width="60.66015625" style="1" customWidth="1"/>
    <col min="3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9.83203125" style="1" customWidth="1"/>
    <col min="16" max="16" width="7.83203125" style="1" customWidth="1"/>
    <col min="17" max="17" width="60.66015625" style="1" customWidth="1"/>
    <col min="18" max="18" width="82.66015625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186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 t="s">
        <v>0</v>
      </c>
    </row>
    <row r="2" spans="1:23" ht="12">
      <c r="A2" s="161" t="s">
        <v>321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1</v>
      </c>
    </row>
    <row r="3" spans="1:23" ht="12">
      <c r="A3" s="161" t="s">
        <v>209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305</v>
      </c>
    </row>
    <row r="4" spans="4:23" ht="12">
      <c r="D4" s="3" t="s">
        <v>2</v>
      </c>
      <c r="E4" s="130">
        <v>2000</v>
      </c>
      <c r="W4" s="2" t="s">
        <v>118</v>
      </c>
    </row>
    <row r="5" spans="1:12" ht="12">
      <c r="A5" s="2" t="s">
        <v>3</v>
      </c>
      <c r="L5" s="2" t="s">
        <v>208</v>
      </c>
    </row>
    <row r="6" spans="1:16" ht="15.75">
      <c r="A6" s="2" t="s">
        <v>4</v>
      </c>
      <c r="L6" s="2" t="s">
        <v>316</v>
      </c>
      <c r="P6" s="5" t="s">
        <v>164</v>
      </c>
    </row>
    <row r="7" spans="12:21" ht="19.5">
      <c r="L7" s="2" t="s">
        <v>5</v>
      </c>
      <c r="P7" s="6"/>
      <c r="U7" s="5" t="s">
        <v>120</v>
      </c>
    </row>
    <row r="8" spans="12:13" ht="12">
      <c r="L8" s="4" t="s">
        <v>6</v>
      </c>
      <c r="M8" s="4"/>
    </row>
    <row r="9" spans="17:24" ht="12.75">
      <c r="Q9" s="7"/>
      <c r="R9" s="7"/>
      <c r="S9" s="7"/>
      <c r="T9" s="8" t="s">
        <v>7</v>
      </c>
      <c r="U9" s="7"/>
      <c r="V9" s="7"/>
      <c r="W9" s="7"/>
      <c r="X9" s="7"/>
    </row>
    <row r="10" spans="17:24" ht="12.75">
      <c r="Q10" s="7"/>
      <c r="R10" s="7"/>
      <c r="S10" s="8" t="s">
        <v>8</v>
      </c>
      <c r="T10" s="9" t="s">
        <v>210</v>
      </c>
      <c r="U10" s="10" t="s">
        <v>9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10</v>
      </c>
      <c r="I11" s="12" t="s">
        <v>10</v>
      </c>
      <c r="J11" s="12"/>
      <c r="K11" s="12" t="s">
        <v>11</v>
      </c>
      <c r="L11" s="12" t="s">
        <v>11</v>
      </c>
      <c r="M11" s="12"/>
      <c r="N11" s="12"/>
      <c r="Q11" s="7"/>
      <c r="R11" s="7"/>
      <c r="S11" s="9" t="s">
        <v>12</v>
      </c>
      <c r="T11" s="9" t="s">
        <v>12</v>
      </c>
      <c r="U11" s="13" t="s">
        <v>13</v>
      </c>
      <c r="V11" s="14"/>
      <c r="W11" s="7"/>
      <c r="X11" s="7"/>
    </row>
    <row r="12" spans="1:24" ht="12.75">
      <c r="A12" s="9"/>
      <c r="B12" s="15"/>
      <c r="C12" s="15"/>
      <c r="D12" s="15" t="s">
        <v>14</v>
      </c>
      <c r="E12" s="15"/>
      <c r="F12" s="15"/>
      <c r="G12" s="15" t="s">
        <v>15</v>
      </c>
      <c r="H12" s="15" t="s">
        <v>16</v>
      </c>
      <c r="I12" s="15" t="s">
        <v>17</v>
      </c>
      <c r="J12" s="15"/>
      <c r="K12" s="15" t="s">
        <v>18</v>
      </c>
      <c r="L12" s="15" t="s">
        <v>18</v>
      </c>
      <c r="M12" s="15" t="s">
        <v>11</v>
      </c>
      <c r="N12" s="15" t="s">
        <v>11</v>
      </c>
      <c r="P12" s="4"/>
      <c r="Q12" s="16" t="s">
        <v>211</v>
      </c>
      <c r="R12" s="16" t="s">
        <v>20</v>
      </c>
      <c r="S12" s="17" t="s">
        <v>21</v>
      </c>
      <c r="T12" s="17" t="s">
        <v>21</v>
      </c>
      <c r="U12" s="16" t="s">
        <v>22</v>
      </c>
      <c r="V12" s="16" t="s">
        <v>23</v>
      </c>
      <c r="W12" s="16" t="s">
        <v>22</v>
      </c>
      <c r="X12" s="16" t="s">
        <v>23</v>
      </c>
    </row>
    <row r="13" spans="1:24" ht="12.75">
      <c r="A13" s="9"/>
      <c r="B13" s="15"/>
      <c r="C13" s="15" t="s">
        <v>14</v>
      </c>
      <c r="D13" s="15" t="s">
        <v>18</v>
      </c>
      <c r="E13" s="15" t="s">
        <v>24</v>
      </c>
      <c r="F13" s="15" t="s">
        <v>24</v>
      </c>
      <c r="G13" s="15" t="s">
        <v>25</v>
      </c>
      <c r="H13" s="15" t="s">
        <v>26</v>
      </c>
      <c r="I13" s="15" t="s">
        <v>26</v>
      </c>
      <c r="J13" s="15"/>
      <c r="K13" s="15" t="s">
        <v>17</v>
      </c>
      <c r="L13" s="15" t="s">
        <v>17</v>
      </c>
      <c r="M13" s="15" t="s">
        <v>16</v>
      </c>
      <c r="N13" s="15" t="s">
        <v>16</v>
      </c>
      <c r="P13" s="9" t="s">
        <v>43</v>
      </c>
      <c r="Q13" s="18" t="s">
        <v>219</v>
      </c>
      <c r="R13" s="22" t="s">
        <v>220</v>
      </c>
      <c r="S13" s="20">
        <v>624258</v>
      </c>
      <c r="T13" s="20">
        <v>4800000</v>
      </c>
      <c r="U13" s="54">
        <v>35065</v>
      </c>
      <c r="V13" s="54">
        <v>35916</v>
      </c>
      <c r="W13" s="54">
        <v>35096</v>
      </c>
      <c r="X13" s="54">
        <v>36526</v>
      </c>
    </row>
    <row r="14" spans="1:24" ht="12.75">
      <c r="A14" s="17" t="s">
        <v>27</v>
      </c>
      <c r="B14" s="21" t="s">
        <v>28</v>
      </c>
      <c r="C14" s="21" t="s">
        <v>16</v>
      </c>
      <c r="D14" s="21" t="s">
        <v>17</v>
      </c>
      <c r="E14" s="21" t="s">
        <v>29</v>
      </c>
      <c r="F14" s="21" t="s">
        <v>15</v>
      </c>
      <c r="G14" s="21" t="s">
        <v>17</v>
      </c>
      <c r="H14" s="21" t="s">
        <v>30</v>
      </c>
      <c r="I14" s="21" t="s">
        <v>30</v>
      </c>
      <c r="J14" s="21" t="s">
        <v>24</v>
      </c>
      <c r="K14" s="21" t="s">
        <v>31</v>
      </c>
      <c r="L14" s="21" t="s">
        <v>32</v>
      </c>
      <c r="M14" s="21" t="s">
        <v>31</v>
      </c>
      <c r="N14" s="21" t="s">
        <v>32</v>
      </c>
      <c r="P14" s="23" t="s">
        <v>52</v>
      </c>
      <c r="Q14" s="18" t="s">
        <v>188</v>
      </c>
      <c r="R14" s="22" t="s">
        <v>189</v>
      </c>
      <c r="S14" s="20">
        <v>286636</v>
      </c>
      <c r="T14" s="20">
        <v>250000</v>
      </c>
      <c r="U14" s="54">
        <v>35674</v>
      </c>
      <c r="V14" s="54">
        <v>35886</v>
      </c>
      <c r="W14" s="54">
        <v>36192</v>
      </c>
      <c r="X14" s="54">
        <v>36586</v>
      </c>
    </row>
    <row r="15" spans="1:24" ht="12.75">
      <c r="A15" s="9" t="s">
        <v>77</v>
      </c>
      <c r="B15" s="14" t="s">
        <v>81</v>
      </c>
      <c r="C15" s="30">
        <v>3113100</v>
      </c>
      <c r="D15" s="30">
        <v>4250000</v>
      </c>
      <c r="E15" s="30">
        <f aca="true" t="shared" si="0" ref="E15:E22">C15-D15</f>
        <v>-1136900</v>
      </c>
      <c r="F15" s="31">
        <f>C15/D15</f>
        <v>0.7324941176470589</v>
      </c>
      <c r="G15" s="32">
        <f aca="true" t="shared" si="1" ref="G15:G22">D15/(D$23+D$66)</f>
        <v>0.32075471698113206</v>
      </c>
      <c r="H15" s="33"/>
      <c r="I15" s="33"/>
      <c r="J15" s="33"/>
      <c r="K15" s="33"/>
      <c r="L15" s="33"/>
      <c r="M15" s="33"/>
      <c r="N15" s="33"/>
      <c r="P15" s="23" t="s">
        <v>91</v>
      </c>
      <c r="Q15" s="18" t="s">
        <v>99</v>
      </c>
      <c r="R15" s="22" t="s">
        <v>59</v>
      </c>
      <c r="S15" s="20">
        <v>131023</v>
      </c>
      <c r="T15" s="20">
        <v>140000</v>
      </c>
      <c r="U15" s="54">
        <v>36404</v>
      </c>
      <c r="V15" s="54">
        <v>36465</v>
      </c>
      <c r="W15" s="54">
        <v>36404</v>
      </c>
      <c r="X15" s="54">
        <v>36586</v>
      </c>
    </row>
    <row r="16" spans="1:24" ht="12.75">
      <c r="A16" s="9" t="s">
        <v>78</v>
      </c>
      <c r="B16" s="14" t="s">
        <v>82</v>
      </c>
      <c r="C16" s="34">
        <v>855311</v>
      </c>
      <c r="D16" s="34">
        <v>1139500</v>
      </c>
      <c r="E16" s="34">
        <f t="shared" si="0"/>
        <v>-284189</v>
      </c>
      <c r="F16" s="31">
        <f aca="true" t="shared" si="2" ref="F16:F23">C16/D16</f>
        <v>0.7506020184291355</v>
      </c>
      <c r="G16" s="35">
        <f t="shared" si="1"/>
        <v>0.086</v>
      </c>
      <c r="H16" s="33"/>
      <c r="I16" s="33"/>
      <c r="J16" s="33"/>
      <c r="K16" s="33"/>
      <c r="L16" s="33"/>
      <c r="M16" s="33"/>
      <c r="N16" s="33"/>
      <c r="P16" s="23" t="s">
        <v>92</v>
      </c>
      <c r="Q16" s="18" t="s">
        <v>56</v>
      </c>
      <c r="R16" s="22" t="s">
        <v>59</v>
      </c>
      <c r="S16" s="20">
        <v>1491202</v>
      </c>
      <c r="T16" s="20">
        <v>1500000</v>
      </c>
      <c r="U16" s="54">
        <v>36192</v>
      </c>
      <c r="V16" s="54">
        <v>36861</v>
      </c>
      <c r="W16" s="54">
        <v>36220</v>
      </c>
      <c r="X16" s="54">
        <v>36739</v>
      </c>
    </row>
    <row r="17" spans="1:24" ht="12.75">
      <c r="A17" s="9" t="s">
        <v>79</v>
      </c>
      <c r="B17" s="14" t="s">
        <v>34</v>
      </c>
      <c r="C17" s="34">
        <v>1638319</v>
      </c>
      <c r="D17" s="34">
        <v>1095000</v>
      </c>
      <c r="E17" s="34">
        <f t="shared" si="0"/>
        <v>543319</v>
      </c>
      <c r="F17" s="31">
        <f t="shared" si="2"/>
        <v>1.4961817351598174</v>
      </c>
      <c r="G17" s="35">
        <f t="shared" si="1"/>
        <v>0.08264150943396227</v>
      </c>
      <c r="H17" s="33"/>
      <c r="I17" s="33"/>
      <c r="J17" s="33"/>
      <c r="K17" s="33"/>
      <c r="L17" s="33"/>
      <c r="M17" s="33"/>
      <c r="N17" s="33"/>
      <c r="P17" s="23" t="s">
        <v>93</v>
      </c>
      <c r="Q17" s="18" t="s">
        <v>127</v>
      </c>
      <c r="R17" s="22" t="s">
        <v>190</v>
      </c>
      <c r="S17" s="20">
        <v>576558</v>
      </c>
      <c r="T17" s="20">
        <v>530000</v>
      </c>
      <c r="U17" s="54">
        <v>36161</v>
      </c>
      <c r="V17" s="54">
        <v>36495</v>
      </c>
      <c r="W17" s="54">
        <v>36192</v>
      </c>
      <c r="X17" s="54">
        <v>36557</v>
      </c>
    </row>
    <row r="18" spans="1:24" ht="12.75">
      <c r="A18" s="9" t="s">
        <v>80</v>
      </c>
      <c r="B18" s="14" t="s">
        <v>83</v>
      </c>
      <c r="C18" s="34">
        <v>1001174</v>
      </c>
      <c r="D18" s="34">
        <v>1035000</v>
      </c>
      <c r="E18" s="34">
        <f t="shared" si="0"/>
        <v>-33826</v>
      </c>
      <c r="F18" s="31">
        <f t="shared" si="2"/>
        <v>0.9673178743961353</v>
      </c>
      <c r="G18" s="35">
        <f t="shared" si="1"/>
        <v>0.07811320754716981</v>
      </c>
      <c r="H18" s="33"/>
      <c r="I18" s="33"/>
      <c r="J18" s="33"/>
      <c r="K18" s="33"/>
      <c r="L18" s="33"/>
      <c r="M18" s="33"/>
      <c r="N18" s="33"/>
      <c r="P18" s="23" t="s">
        <v>94</v>
      </c>
      <c r="Q18" s="18" t="s">
        <v>119</v>
      </c>
      <c r="R18" s="70" t="s">
        <v>59</v>
      </c>
      <c r="S18" s="20">
        <v>171611</v>
      </c>
      <c r="T18" s="20">
        <v>230000</v>
      </c>
      <c r="U18" s="54">
        <v>36373</v>
      </c>
      <c r="V18" s="54">
        <v>36495</v>
      </c>
      <c r="W18" s="54">
        <v>36281</v>
      </c>
      <c r="X18" s="54">
        <v>36526</v>
      </c>
    </row>
    <row r="19" spans="1:24" ht="12.75">
      <c r="A19" s="9" t="s">
        <v>84</v>
      </c>
      <c r="B19" s="14" t="s">
        <v>88</v>
      </c>
      <c r="C19" s="34">
        <v>181122</v>
      </c>
      <c r="D19" s="34">
        <v>206200</v>
      </c>
      <c r="E19" s="34">
        <f t="shared" si="0"/>
        <v>-25078</v>
      </c>
      <c r="F19" s="31">
        <f t="shared" si="2"/>
        <v>0.878380213385063</v>
      </c>
      <c r="G19" s="35">
        <f t="shared" si="1"/>
        <v>0.015562264150943396</v>
      </c>
      <c r="H19" s="33"/>
      <c r="I19" s="33"/>
      <c r="J19" s="33"/>
      <c r="K19" s="33"/>
      <c r="L19" s="33"/>
      <c r="M19" s="33"/>
      <c r="N19" s="33"/>
      <c r="P19" s="62" t="s">
        <v>128</v>
      </c>
      <c r="Q19" s="63" t="s">
        <v>129</v>
      </c>
      <c r="R19" s="64" t="s">
        <v>191</v>
      </c>
      <c r="S19" s="65">
        <v>227152</v>
      </c>
      <c r="T19" s="65">
        <v>212000</v>
      </c>
      <c r="U19" s="66">
        <v>36586</v>
      </c>
      <c r="V19" s="66">
        <v>36647</v>
      </c>
      <c r="W19" s="66">
        <v>36526</v>
      </c>
      <c r="X19" s="66">
        <v>36617</v>
      </c>
    </row>
    <row r="20" spans="1:24" ht="12.75">
      <c r="A20" s="9" t="s">
        <v>85</v>
      </c>
      <c r="B20" s="14" t="s">
        <v>36</v>
      </c>
      <c r="C20" s="34">
        <v>170806</v>
      </c>
      <c r="D20" s="34">
        <v>180600</v>
      </c>
      <c r="E20" s="34">
        <f t="shared" si="0"/>
        <v>-9794</v>
      </c>
      <c r="F20" s="31">
        <f t="shared" si="2"/>
        <v>0.9457696566998892</v>
      </c>
      <c r="G20" s="35">
        <f t="shared" si="1"/>
        <v>0.013630188679245283</v>
      </c>
      <c r="H20" s="33"/>
      <c r="I20" s="33"/>
      <c r="J20" s="33"/>
      <c r="K20" s="33"/>
      <c r="L20" s="33"/>
      <c r="M20" s="33"/>
      <c r="N20" s="33"/>
      <c r="P20" s="67"/>
      <c r="Q20" s="17" t="s">
        <v>215</v>
      </c>
      <c r="R20" s="61"/>
      <c r="S20" s="61">
        <f>SUM(S13:S19)</f>
        <v>3508440</v>
      </c>
      <c r="T20" s="61">
        <f>SUM(T13:T19)</f>
        <v>7662000</v>
      </c>
      <c r="U20" s="68"/>
      <c r="V20" s="68"/>
      <c r="W20" s="68"/>
      <c r="X20" s="68"/>
    </row>
    <row r="21" spans="1:24" ht="12.75">
      <c r="A21" s="9" t="s">
        <v>86</v>
      </c>
      <c r="B21" s="14" t="s">
        <v>37</v>
      </c>
      <c r="C21" s="34">
        <v>315842</v>
      </c>
      <c r="D21" s="34">
        <v>310200</v>
      </c>
      <c r="E21" s="34">
        <f t="shared" si="0"/>
        <v>5642</v>
      </c>
      <c r="F21" s="31">
        <f t="shared" si="2"/>
        <v>1.0181882656350743</v>
      </c>
      <c r="G21" s="35">
        <f t="shared" si="1"/>
        <v>0.023411320754716983</v>
      </c>
      <c r="H21" s="33"/>
      <c r="I21" s="33"/>
      <c r="J21" s="33"/>
      <c r="K21" s="33"/>
      <c r="L21" s="33"/>
      <c r="M21" s="33"/>
      <c r="N21" s="33"/>
      <c r="P21" s="67"/>
      <c r="U21" s="68"/>
      <c r="V21" s="68"/>
      <c r="W21" s="68"/>
      <c r="X21" s="68"/>
    </row>
    <row r="22" spans="1:24" ht="12.75">
      <c r="A22" s="17" t="s">
        <v>87</v>
      </c>
      <c r="B22" s="25" t="s">
        <v>38</v>
      </c>
      <c r="C22" s="36">
        <v>316859</v>
      </c>
      <c r="D22" s="36">
        <v>285000</v>
      </c>
      <c r="E22" s="34">
        <f t="shared" si="0"/>
        <v>31859</v>
      </c>
      <c r="F22" s="37">
        <f t="shared" si="2"/>
        <v>1.1117859649122808</v>
      </c>
      <c r="G22" s="38">
        <f t="shared" si="1"/>
        <v>0.02150943396226415</v>
      </c>
      <c r="H22" s="33"/>
      <c r="I22" s="33"/>
      <c r="J22" s="33"/>
      <c r="K22" s="33"/>
      <c r="L22" s="33"/>
      <c r="M22" s="33"/>
      <c r="N22" s="33"/>
      <c r="P22" s="67"/>
      <c r="U22" s="68"/>
      <c r="V22" s="68"/>
      <c r="W22" s="68"/>
      <c r="X22" s="68"/>
    </row>
    <row r="23" spans="1:24" ht="12.75">
      <c r="A23" s="26"/>
      <c r="B23" s="27" t="s">
        <v>33</v>
      </c>
      <c r="C23" s="39">
        <f>SUM(C15:C22)</f>
        <v>7592533</v>
      </c>
      <c r="D23" s="39">
        <f>SUM(D15:D22)</f>
        <v>8501500</v>
      </c>
      <c r="E23" s="39">
        <f>SUM(E15:E22)</f>
        <v>-908967</v>
      </c>
      <c r="F23" s="37">
        <f t="shared" si="2"/>
        <v>0.8930815738399106</v>
      </c>
      <c r="G23" s="40"/>
      <c r="H23" s="33"/>
      <c r="I23" s="33"/>
      <c r="J23" s="33"/>
      <c r="K23" s="33"/>
      <c r="L23" s="33"/>
      <c r="M23" s="33"/>
      <c r="N23" s="33"/>
      <c r="P23" s="7"/>
      <c r="U23" s="7"/>
      <c r="V23" s="7"/>
      <c r="W23" s="7"/>
      <c r="X23" s="7"/>
    </row>
    <row r="24" spans="1:14" ht="12.75">
      <c r="A24" s="26"/>
      <c r="B24" s="27" t="s">
        <v>89</v>
      </c>
      <c r="C24" s="39">
        <f>C15</f>
        <v>3113100</v>
      </c>
      <c r="D24" s="39">
        <f>D15</f>
        <v>4250000</v>
      </c>
      <c r="E24" s="39">
        <f>E15</f>
        <v>-1136900</v>
      </c>
      <c r="F24" s="40"/>
      <c r="G24" s="40"/>
      <c r="H24" s="33"/>
      <c r="I24" s="33"/>
      <c r="J24" s="33"/>
      <c r="K24" s="33"/>
      <c r="L24" s="33"/>
      <c r="M24" s="33"/>
      <c r="N24" s="33"/>
    </row>
    <row r="25" spans="1:14" ht="12.75">
      <c r="A25" s="26"/>
      <c r="B25" s="27" t="s">
        <v>139</v>
      </c>
      <c r="C25" s="39">
        <f>C23-C24</f>
        <v>4479433</v>
      </c>
      <c r="D25" s="39">
        <f>D23-D24</f>
        <v>4251500</v>
      </c>
      <c r="E25" s="39">
        <f>E23-E24</f>
        <v>227933</v>
      </c>
      <c r="F25" s="41">
        <f>C25/D25</f>
        <v>1.0536123721039634</v>
      </c>
      <c r="G25" s="40"/>
      <c r="H25" s="33"/>
      <c r="I25" s="33"/>
      <c r="J25" s="33"/>
      <c r="K25" s="33"/>
      <c r="L25" s="33"/>
      <c r="M25" s="33"/>
      <c r="N25" s="33"/>
    </row>
    <row r="26" spans="1:14" ht="12.75">
      <c r="A26" s="26"/>
      <c r="B26" s="7"/>
      <c r="C26" s="42"/>
      <c r="D26" s="42"/>
      <c r="E26" s="42"/>
      <c r="F26" s="40"/>
      <c r="G26" s="40"/>
      <c r="H26" s="33"/>
      <c r="I26" s="33"/>
      <c r="J26" s="33"/>
      <c r="K26" s="33"/>
      <c r="L26" s="33"/>
      <c r="M26" s="33"/>
      <c r="N26" s="33"/>
    </row>
    <row r="27" spans="1:14" ht="12.75">
      <c r="A27" s="26"/>
      <c r="B27" s="7"/>
      <c r="C27" s="42"/>
      <c r="D27" s="42"/>
      <c r="E27" s="42"/>
      <c r="F27" s="40"/>
      <c r="G27" s="40"/>
      <c r="H27" s="33"/>
      <c r="I27" s="33"/>
      <c r="J27" s="33"/>
      <c r="K27" s="33"/>
      <c r="L27" s="33"/>
      <c r="M27" s="33"/>
      <c r="N27" s="33"/>
    </row>
    <row r="28" spans="1:14" ht="12">
      <c r="A28" s="161" t="s">
        <v>186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</row>
    <row r="29" spans="1:14" ht="12">
      <c r="A29" s="161" t="str">
        <f>+A2</f>
        <v>Case No. 2008-00427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</row>
    <row r="30" spans="1:14" ht="12">
      <c r="A30" s="161" t="s">
        <v>209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</row>
    <row r="31" spans="4:5" ht="12">
      <c r="D31" s="3" t="s">
        <v>2</v>
      </c>
      <c r="E31" s="130">
        <v>2000</v>
      </c>
    </row>
    <row r="32" spans="1:12" ht="12">
      <c r="A32" s="2" t="s">
        <v>3</v>
      </c>
      <c r="L32" s="2" t="s">
        <v>208</v>
      </c>
    </row>
    <row r="33" spans="1:12" ht="12">
      <c r="A33" s="2" t="s">
        <v>4</v>
      </c>
      <c r="L33" s="2" t="s">
        <v>317</v>
      </c>
    </row>
    <row r="34" ht="12">
      <c r="L34" s="2" t="s">
        <v>5</v>
      </c>
    </row>
    <row r="35" spans="12:13" ht="12">
      <c r="L35" s="4" t="s">
        <v>6</v>
      </c>
      <c r="M35" s="4"/>
    </row>
    <row r="38" spans="1:14" ht="12.75">
      <c r="A38" s="8"/>
      <c r="B38" s="12"/>
      <c r="C38" s="12"/>
      <c r="D38" s="12"/>
      <c r="E38" s="12"/>
      <c r="F38" s="12"/>
      <c r="G38" s="12"/>
      <c r="H38" s="12" t="s">
        <v>10</v>
      </c>
      <c r="I38" s="12" t="s">
        <v>10</v>
      </c>
      <c r="J38" s="12"/>
      <c r="K38" s="12" t="s">
        <v>11</v>
      </c>
      <c r="L38" s="12" t="s">
        <v>11</v>
      </c>
      <c r="M38" s="12"/>
      <c r="N38" s="12"/>
    </row>
    <row r="39" spans="1:14" ht="12.75">
      <c r="A39" s="9"/>
      <c r="B39" s="15"/>
      <c r="C39" s="15"/>
      <c r="D39" s="15" t="s">
        <v>14</v>
      </c>
      <c r="E39" s="15"/>
      <c r="F39" s="15"/>
      <c r="G39" s="15" t="s">
        <v>15</v>
      </c>
      <c r="H39" s="15" t="s">
        <v>16</v>
      </c>
      <c r="I39" s="15" t="s">
        <v>17</v>
      </c>
      <c r="J39" s="15"/>
      <c r="K39" s="15" t="s">
        <v>18</v>
      </c>
      <c r="L39" s="15" t="s">
        <v>18</v>
      </c>
      <c r="M39" s="15" t="s">
        <v>11</v>
      </c>
      <c r="N39" s="15" t="s">
        <v>11</v>
      </c>
    </row>
    <row r="40" spans="1:14" ht="12.75">
      <c r="A40" s="9"/>
      <c r="B40" s="15"/>
      <c r="C40" s="15" t="s">
        <v>14</v>
      </c>
      <c r="D40" s="15" t="s">
        <v>18</v>
      </c>
      <c r="E40" s="15" t="s">
        <v>24</v>
      </c>
      <c r="F40" s="15" t="s">
        <v>24</v>
      </c>
      <c r="G40" s="15" t="s">
        <v>25</v>
      </c>
      <c r="H40" s="15" t="s">
        <v>26</v>
      </c>
      <c r="I40" s="15" t="s">
        <v>26</v>
      </c>
      <c r="J40" s="15"/>
      <c r="K40" s="15" t="s">
        <v>17</v>
      </c>
      <c r="L40" s="15" t="s">
        <v>17</v>
      </c>
      <c r="M40" s="15" t="s">
        <v>16</v>
      </c>
      <c r="N40" s="15" t="s">
        <v>16</v>
      </c>
    </row>
    <row r="41" spans="1:14" ht="12.75">
      <c r="A41" s="17"/>
      <c r="B41" s="21" t="s">
        <v>28</v>
      </c>
      <c r="C41" s="21" t="s">
        <v>16</v>
      </c>
      <c r="D41" s="21" t="s">
        <v>17</v>
      </c>
      <c r="E41" s="21" t="s">
        <v>29</v>
      </c>
      <c r="F41" s="21" t="s">
        <v>15</v>
      </c>
      <c r="G41" s="21" t="s">
        <v>17</v>
      </c>
      <c r="H41" s="21" t="s">
        <v>30</v>
      </c>
      <c r="I41" s="21" t="s">
        <v>30</v>
      </c>
      <c r="J41" s="21" t="s">
        <v>24</v>
      </c>
      <c r="K41" s="21" t="s">
        <v>31</v>
      </c>
      <c r="L41" s="21" t="s">
        <v>32</v>
      </c>
      <c r="M41" s="21" t="s">
        <v>31</v>
      </c>
      <c r="N41" s="21" t="s">
        <v>32</v>
      </c>
    </row>
    <row r="42" spans="1:14" ht="12.75">
      <c r="A42" s="56"/>
      <c r="B42" s="57" t="s">
        <v>211</v>
      </c>
      <c r="C42" s="58"/>
      <c r="D42" s="58"/>
      <c r="E42" s="58"/>
      <c r="F42" s="59"/>
      <c r="G42" s="59"/>
      <c r="H42" s="60"/>
      <c r="I42" s="60"/>
      <c r="J42" s="60"/>
      <c r="K42" s="60"/>
      <c r="L42" s="60"/>
      <c r="M42" s="60"/>
      <c r="N42" s="60"/>
    </row>
    <row r="43" spans="1:14" ht="12.75">
      <c r="A43" s="9" t="s">
        <v>39</v>
      </c>
      <c r="B43" s="14" t="s">
        <v>124</v>
      </c>
      <c r="C43" s="34">
        <v>360035</v>
      </c>
      <c r="D43" s="34">
        <v>270000</v>
      </c>
      <c r="E43" s="43">
        <f aca="true" t="shared" si="3" ref="E43:E64">C43-D43</f>
        <v>90035</v>
      </c>
      <c r="F43" s="35">
        <f>C43/D43</f>
        <v>1.333462962962963</v>
      </c>
      <c r="G43" s="35">
        <f aca="true" t="shared" si="4" ref="G43:G64">D43/(D$23+D$66)</f>
        <v>0.020377358490566037</v>
      </c>
      <c r="H43" s="34"/>
      <c r="I43" s="34"/>
      <c r="J43" s="43"/>
      <c r="K43" s="45">
        <v>33786</v>
      </c>
      <c r="L43" s="45">
        <v>35400</v>
      </c>
      <c r="M43" s="45">
        <v>33848</v>
      </c>
      <c r="N43" s="46"/>
    </row>
    <row r="44" spans="1:14" ht="12.75">
      <c r="A44" s="102" t="s">
        <v>43</v>
      </c>
      <c r="B44" s="14" t="s">
        <v>218</v>
      </c>
      <c r="C44" s="34">
        <v>0</v>
      </c>
      <c r="D44" s="34">
        <v>0</v>
      </c>
      <c r="E44" s="43">
        <f t="shared" si="3"/>
        <v>0</v>
      </c>
      <c r="F44" s="35"/>
      <c r="G44" s="35">
        <f t="shared" si="4"/>
        <v>0</v>
      </c>
      <c r="H44" s="34">
        <v>624258</v>
      </c>
      <c r="I44" s="34">
        <v>4800000</v>
      </c>
      <c r="J44" s="43">
        <f>H44-I44</f>
        <v>-4175742</v>
      </c>
      <c r="K44" s="45">
        <v>35065</v>
      </c>
      <c r="L44" s="45">
        <v>35916</v>
      </c>
      <c r="M44" s="45">
        <v>35096</v>
      </c>
      <c r="N44" s="52">
        <v>36526</v>
      </c>
    </row>
    <row r="45" spans="1:14" ht="12.75">
      <c r="A45" s="23" t="s">
        <v>46</v>
      </c>
      <c r="B45" s="29" t="s">
        <v>47</v>
      </c>
      <c r="C45" s="34">
        <v>-18679</v>
      </c>
      <c r="D45" s="34">
        <v>0</v>
      </c>
      <c r="E45" s="43">
        <f t="shared" si="3"/>
        <v>-18679</v>
      </c>
      <c r="F45" s="35"/>
      <c r="G45" s="35">
        <f t="shared" si="4"/>
        <v>0</v>
      </c>
      <c r="H45" s="34"/>
      <c r="I45" s="34"/>
      <c r="J45" s="43"/>
      <c r="K45" s="45">
        <v>35339</v>
      </c>
      <c r="L45" s="45">
        <v>35947</v>
      </c>
      <c r="M45" s="45">
        <v>35339</v>
      </c>
      <c r="N45" s="52">
        <v>36495</v>
      </c>
    </row>
    <row r="46" spans="1:14" ht="12.75">
      <c r="A46" s="23" t="s">
        <v>48</v>
      </c>
      <c r="B46" s="29" t="s">
        <v>49</v>
      </c>
      <c r="C46" s="34">
        <v>158669</v>
      </c>
      <c r="D46" s="34">
        <v>347000</v>
      </c>
      <c r="E46" s="43">
        <f t="shared" si="3"/>
        <v>-188331</v>
      </c>
      <c r="F46" s="35">
        <f>C46/D46</f>
        <v>0.45725936599423633</v>
      </c>
      <c r="G46" s="35">
        <f t="shared" si="4"/>
        <v>0.02618867924528302</v>
      </c>
      <c r="H46" s="34"/>
      <c r="I46" s="34"/>
      <c r="J46" s="43"/>
      <c r="K46" s="45">
        <v>35400</v>
      </c>
      <c r="L46" s="45">
        <v>36312</v>
      </c>
      <c r="M46" s="45">
        <v>35370</v>
      </c>
      <c r="N46" s="52">
        <v>37956</v>
      </c>
    </row>
    <row r="47" spans="1:14" ht="12.75">
      <c r="A47" s="23" t="s">
        <v>52</v>
      </c>
      <c r="B47" s="29" t="s">
        <v>125</v>
      </c>
      <c r="C47" s="34">
        <v>20396</v>
      </c>
      <c r="D47" s="34">
        <v>0</v>
      </c>
      <c r="E47" s="43">
        <f t="shared" si="3"/>
        <v>20396</v>
      </c>
      <c r="F47" s="35"/>
      <c r="G47" s="35">
        <f t="shared" si="4"/>
        <v>0</v>
      </c>
      <c r="H47" s="34">
        <v>286635.67</v>
      </c>
      <c r="I47" s="34">
        <v>250000</v>
      </c>
      <c r="J47" s="43">
        <f>H47-I47</f>
        <v>36635.669999999984</v>
      </c>
      <c r="K47" s="45">
        <v>35674</v>
      </c>
      <c r="L47" s="45">
        <v>35886</v>
      </c>
      <c r="M47" s="45">
        <v>35735</v>
      </c>
      <c r="N47" s="52">
        <v>36586</v>
      </c>
    </row>
    <row r="48" spans="1:14" ht="12.75">
      <c r="A48" s="23" t="s">
        <v>54</v>
      </c>
      <c r="B48" s="29" t="s">
        <v>57</v>
      </c>
      <c r="C48" s="34">
        <v>500507</v>
      </c>
      <c r="D48" s="34">
        <v>562000</v>
      </c>
      <c r="E48" s="43">
        <f t="shared" si="3"/>
        <v>-61493</v>
      </c>
      <c r="F48" s="35">
        <f>C48/D48</f>
        <v>0.8905818505338078</v>
      </c>
      <c r="G48" s="35">
        <f t="shared" si="4"/>
        <v>0.04241509433962264</v>
      </c>
      <c r="H48" s="34"/>
      <c r="I48" s="34"/>
      <c r="J48" s="43"/>
      <c r="K48" s="45">
        <v>35490</v>
      </c>
      <c r="L48" s="45">
        <v>36434</v>
      </c>
      <c r="M48" s="45">
        <v>35551</v>
      </c>
      <c r="N48" s="52">
        <v>37073</v>
      </c>
    </row>
    <row r="49" spans="1:14" ht="12.75">
      <c r="A49" s="23" t="s">
        <v>60</v>
      </c>
      <c r="B49" s="29" t="s">
        <v>69</v>
      </c>
      <c r="C49" s="34">
        <v>258836</v>
      </c>
      <c r="D49" s="34">
        <v>230000</v>
      </c>
      <c r="E49" s="43">
        <f t="shared" si="3"/>
        <v>28836</v>
      </c>
      <c r="F49" s="35">
        <f>C49/D49</f>
        <v>1.1253739130434783</v>
      </c>
      <c r="G49" s="35">
        <f t="shared" si="4"/>
        <v>0.017358490566037735</v>
      </c>
      <c r="H49" s="34"/>
      <c r="I49" s="34"/>
      <c r="J49" s="43"/>
      <c r="K49" s="45">
        <v>35827</v>
      </c>
      <c r="L49" s="45">
        <v>36404</v>
      </c>
      <c r="M49" s="45">
        <v>36192</v>
      </c>
      <c r="N49" s="48"/>
    </row>
    <row r="50" spans="1:14" ht="12.75">
      <c r="A50" s="23" t="s">
        <v>63</v>
      </c>
      <c r="B50" s="29" t="s">
        <v>126</v>
      </c>
      <c r="C50" s="34">
        <v>107393</v>
      </c>
      <c r="D50" s="34">
        <v>213500</v>
      </c>
      <c r="E50" s="43">
        <f t="shared" si="3"/>
        <v>-106107</v>
      </c>
      <c r="F50" s="35">
        <f>C50/D50</f>
        <v>0.5030117096018736</v>
      </c>
      <c r="G50" s="35">
        <f t="shared" si="4"/>
        <v>0.01611320754716981</v>
      </c>
      <c r="H50" s="34"/>
      <c r="I50" s="34"/>
      <c r="J50" s="43"/>
      <c r="K50" s="45">
        <v>35827</v>
      </c>
      <c r="L50" s="45">
        <v>36069</v>
      </c>
      <c r="M50" s="45">
        <v>36161</v>
      </c>
      <c r="N50" s="52">
        <v>37073</v>
      </c>
    </row>
    <row r="51" spans="1:14" ht="12.75">
      <c r="A51" s="23" t="s">
        <v>65</v>
      </c>
      <c r="B51" s="29" t="s">
        <v>74</v>
      </c>
      <c r="C51" s="34">
        <v>25046</v>
      </c>
      <c r="D51" s="34">
        <v>0</v>
      </c>
      <c r="E51" s="43">
        <f t="shared" si="3"/>
        <v>25046</v>
      </c>
      <c r="F51" s="35"/>
      <c r="G51" s="35">
        <f t="shared" si="4"/>
        <v>0</v>
      </c>
      <c r="H51" s="34"/>
      <c r="I51" s="34"/>
      <c r="J51" s="43"/>
      <c r="K51" s="45">
        <v>35886</v>
      </c>
      <c r="L51" s="45">
        <v>36465</v>
      </c>
      <c r="M51" s="45">
        <v>36008</v>
      </c>
      <c r="N51" s="52"/>
    </row>
    <row r="52" spans="1:14" ht="12.75">
      <c r="A52" s="23" t="s">
        <v>66</v>
      </c>
      <c r="B52" s="29" t="s">
        <v>75</v>
      </c>
      <c r="C52" s="34">
        <v>6048</v>
      </c>
      <c r="D52" s="34">
        <v>0</v>
      </c>
      <c r="E52" s="43">
        <f t="shared" si="3"/>
        <v>6048</v>
      </c>
      <c r="F52" s="35"/>
      <c r="G52" s="35">
        <f t="shared" si="4"/>
        <v>0</v>
      </c>
      <c r="H52" s="34"/>
      <c r="I52" s="34"/>
      <c r="J52" s="43"/>
      <c r="K52" s="45">
        <v>35827</v>
      </c>
      <c r="L52" s="45">
        <v>36100</v>
      </c>
      <c r="M52" s="45">
        <v>36008</v>
      </c>
      <c r="N52" s="48"/>
    </row>
    <row r="53" spans="1:14" ht="12.75">
      <c r="A53" s="23" t="s">
        <v>68</v>
      </c>
      <c r="B53" s="29" t="s">
        <v>76</v>
      </c>
      <c r="C53" s="34">
        <v>58361</v>
      </c>
      <c r="D53" s="34">
        <v>300000</v>
      </c>
      <c r="E53" s="43">
        <f t="shared" si="3"/>
        <v>-241639</v>
      </c>
      <c r="F53" s="35">
        <f aca="true" t="shared" si="5" ref="F53:F63">C53/D53</f>
        <v>0.19453666666666666</v>
      </c>
      <c r="G53" s="55">
        <f t="shared" si="4"/>
        <v>0.022641509433962263</v>
      </c>
      <c r="H53" s="34"/>
      <c r="I53" s="34"/>
      <c r="J53" s="43"/>
      <c r="K53" s="45">
        <v>35582</v>
      </c>
      <c r="L53" s="45">
        <v>35735</v>
      </c>
      <c r="M53" s="45">
        <v>36008</v>
      </c>
      <c r="N53" s="52">
        <v>37226</v>
      </c>
    </row>
    <row r="54" spans="1:14" ht="12.75">
      <c r="A54" s="23" t="s">
        <v>91</v>
      </c>
      <c r="B54" s="29" t="s">
        <v>99</v>
      </c>
      <c r="C54" s="34">
        <v>26587</v>
      </c>
      <c r="D54" s="34">
        <v>0</v>
      </c>
      <c r="E54" s="43">
        <f t="shared" si="3"/>
        <v>26587</v>
      </c>
      <c r="F54" s="35"/>
      <c r="G54" s="55">
        <f t="shared" si="4"/>
        <v>0</v>
      </c>
      <c r="H54" s="34">
        <v>131023.48</v>
      </c>
      <c r="I54" s="34">
        <v>140000</v>
      </c>
      <c r="J54" s="43">
        <f>H54-I54</f>
        <v>-8976.520000000004</v>
      </c>
      <c r="K54" s="45">
        <v>36404</v>
      </c>
      <c r="L54" s="45">
        <v>36465</v>
      </c>
      <c r="M54" s="45">
        <v>36404</v>
      </c>
      <c r="N54" s="52">
        <v>36586</v>
      </c>
    </row>
    <row r="55" spans="1:14" ht="12.75">
      <c r="A55" s="23" t="s">
        <v>92</v>
      </c>
      <c r="B55" s="29" t="s">
        <v>56</v>
      </c>
      <c r="C55" s="34">
        <v>811003</v>
      </c>
      <c r="D55" s="34">
        <v>850000</v>
      </c>
      <c r="E55" s="43">
        <f t="shared" si="3"/>
        <v>-38997</v>
      </c>
      <c r="F55" s="35"/>
      <c r="G55" s="55">
        <f t="shared" si="4"/>
        <v>0.06415094339622641</v>
      </c>
      <c r="H55" s="34">
        <f>680198.33+811003.67</f>
        <v>1491202</v>
      </c>
      <c r="I55" s="34">
        <v>1500000</v>
      </c>
      <c r="J55" s="43">
        <f>H55-I55</f>
        <v>-8798</v>
      </c>
      <c r="K55" s="45">
        <v>36192</v>
      </c>
      <c r="L55" s="45">
        <v>36861</v>
      </c>
      <c r="M55" s="45">
        <v>36220</v>
      </c>
      <c r="N55" s="52">
        <v>36739</v>
      </c>
    </row>
    <row r="56" spans="1:14" ht="12.75">
      <c r="A56" s="23" t="s">
        <v>93</v>
      </c>
      <c r="B56" s="29" t="s">
        <v>127</v>
      </c>
      <c r="C56" s="34">
        <v>84148</v>
      </c>
      <c r="D56" s="34">
        <v>0</v>
      </c>
      <c r="E56" s="43">
        <f t="shared" si="3"/>
        <v>84148</v>
      </c>
      <c r="F56" s="35"/>
      <c r="G56" s="55">
        <f t="shared" si="4"/>
        <v>0</v>
      </c>
      <c r="H56" s="34">
        <v>576558.39</v>
      </c>
      <c r="I56" s="34">
        <v>530000</v>
      </c>
      <c r="J56" s="43">
        <f>H56-I56</f>
        <v>46558.390000000014</v>
      </c>
      <c r="K56" s="45">
        <v>36161</v>
      </c>
      <c r="L56" s="45">
        <v>36495</v>
      </c>
      <c r="M56" s="45">
        <v>36192</v>
      </c>
      <c r="N56" s="52">
        <v>36557</v>
      </c>
    </row>
    <row r="57" spans="1:14" ht="12.75">
      <c r="A57" s="23" t="s">
        <v>94</v>
      </c>
      <c r="B57" s="29" t="s">
        <v>119</v>
      </c>
      <c r="C57" s="34">
        <v>17922</v>
      </c>
      <c r="D57" s="34">
        <v>0</v>
      </c>
      <c r="E57" s="43">
        <f t="shared" si="3"/>
        <v>17922</v>
      </c>
      <c r="F57" s="35"/>
      <c r="G57" s="55">
        <f t="shared" si="4"/>
        <v>0</v>
      </c>
      <c r="H57" s="34">
        <f>153689.22+17922.19</f>
        <v>171611.41</v>
      </c>
      <c r="I57" s="34">
        <v>230000</v>
      </c>
      <c r="J57" s="43">
        <f>H57-I57</f>
        <v>-58388.59</v>
      </c>
      <c r="K57" s="45">
        <v>36373</v>
      </c>
      <c r="L57" s="45">
        <v>36495</v>
      </c>
      <c r="M57" s="45">
        <v>36281</v>
      </c>
      <c r="N57" s="52">
        <v>36526</v>
      </c>
    </row>
    <row r="58" spans="1:14" ht="12.75">
      <c r="A58" s="23" t="s">
        <v>96</v>
      </c>
      <c r="B58" s="29" t="s">
        <v>102</v>
      </c>
      <c r="C58" s="34">
        <v>388322</v>
      </c>
      <c r="D58" s="34">
        <v>400000</v>
      </c>
      <c r="E58" s="43">
        <f t="shared" si="3"/>
        <v>-11678</v>
      </c>
      <c r="F58" s="35">
        <f t="shared" si="5"/>
        <v>0.970805</v>
      </c>
      <c r="G58" s="55">
        <f t="shared" si="4"/>
        <v>0.03018867924528302</v>
      </c>
      <c r="H58" s="34"/>
      <c r="I58" s="34"/>
      <c r="J58" s="43"/>
      <c r="K58" s="45">
        <v>36373</v>
      </c>
      <c r="L58" s="45">
        <v>36739</v>
      </c>
      <c r="M58" s="45">
        <v>36373</v>
      </c>
      <c r="N58" s="52">
        <v>37165</v>
      </c>
    </row>
    <row r="59" spans="1:14" ht="12.75">
      <c r="A59" s="23" t="s">
        <v>97</v>
      </c>
      <c r="B59" s="29" t="s">
        <v>103</v>
      </c>
      <c r="C59" s="34">
        <v>1056386</v>
      </c>
      <c r="D59" s="34">
        <v>1150000</v>
      </c>
      <c r="E59" s="43">
        <f t="shared" si="3"/>
        <v>-93614</v>
      </c>
      <c r="F59" s="35">
        <f t="shared" si="5"/>
        <v>0.9185965217391304</v>
      </c>
      <c r="G59" s="55">
        <f t="shared" si="4"/>
        <v>0.08679245283018867</v>
      </c>
      <c r="H59" s="34"/>
      <c r="I59" s="34"/>
      <c r="J59" s="43"/>
      <c r="K59" s="45">
        <v>36373</v>
      </c>
      <c r="L59" s="45">
        <v>36861</v>
      </c>
      <c r="M59" s="45">
        <v>36373</v>
      </c>
      <c r="N59" s="52">
        <v>37226</v>
      </c>
    </row>
    <row r="60" spans="1:14" ht="12.75">
      <c r="A60" s="23" t="s">
        <v>128</v>
      </c>
      <c r="B60" s="29" t="s">
        <v>129</v>
      </c>
      <c r="C60" s="34">
        <v>227152</v>
      </c>
      <c r="D60" s="34">
        <v>212000</v>
      </c>
      <c r="E60" s="43">
        <f t="shared" si="3"/>
        <v>15152</v>
      </c>
      <c r="F60" s="35">
        <f t="shared" si="5"/>
        <v>1.0714716981132075</v>
      </c>
      <c r="G60" s="55">
        <f t="shared" si="4"/>
        <v>0.016</v>
      </c>
      <c r="H60" s="34">
        <v>227152</v>
      </c>
      <c r="I60" s="34">
        <v>212000</v>
      </c>
      <c r="J60" s="43">
        <f>H60-I60</f>
        <v>15152</v>
      </c>
      <c r="K60" s="45">
        <v>36586</v>
      </c>
      <c r="L60" s="45">
        <v>36647</v>
      </c>
      <c r="M60" s="45">
        <v>36526</v>
      </c>
      <c r="N60" s="52">
        <v>36617</v>
      </c>
    </row>
    <row r="61" spans="1:14" ht="12.75">
      <c r="A61" s="23" t="s">
        <v>130</v>
      </c>
      <c r="B61" s="29" t="s">
        <v>131</v>
      </c>
      <c r="C61" s="34">
        <v>8053</v>
      </c>
      <c r="D61" s="34">
        <v>50000</v>
      </c>
      <c r="E61" s="43">
        <f t="shared" si="3"/>
        <v>-41947</v>
      </c>
      <c r="F61" s="35">
        <f t="shared" si="5"/>
        <v>0.16106</v>
      </c>
      <c r="G61" s="55">
        <f t="shared" si="4"/>
        <v>0.0037735849056603774</v>
      </c>
      <c r="H61" s="34"/>
      <c r="I61" s="34"/>
      <c r="J61" s="43"/>
      <c r="K61" s="45">
        <v>36586</v>
      </c>
      <c r="L61" s="45">
        <v>36861</v>
      </c>
      <c r="M61" s="45">
        <v>36586</v>
      </c>
      <c r="N61" s="52">
        <v>37226</v>
      </c>
    </row>
    <row r="62" spans="1:14" ht="12.75">
      <c r="A62" s="23" t="s">
        <v>132</v>
      </c>
      <c r="B62" s="29" t="s">
        <v>133</v>
      </c>
      <c r="C62" s="34">
        <v>30716</v>
      </c>
      <c r="D62" s="34">
        <v>70000</v>
      </c>
      <c r="E62" s="43">
        <f t="shared" si="3"/>
        <v>-39284</v>
      </c>
      <c r="F62" s="35">
        <f t="shared" si="5"/>
        <v>0.4388</v>
      </c>
      <c r="G62" s="55">
        <f t="shared" si="4"/>
        <v>0.005283018867924529</v>
      </c>
      <c r="H62" s="34"/>
      <c r="I62" s="34"/>
      <c r="J62" s="43"/>
      <c r="K62" s="45">
        <v>36557</v>
      </c>
      <c r="L62" s="45">
        <v>36770</v>
      </c>
      <c r="M62" s="45">
        <v>36831</v>
      </c>
      <c r="N62" s="52">
        <v>37226</v>
      </c>
    </row>
    <row r="63" spans="1:14" ht="12.75">
      <c r="A63" s="23" t="s">
        <v>134</v>
      </c>
      <c r="B63" s="29" t="s">
        <v>135</v>
      </c>
      <c r="C63" s="34">
        <v>102724</v>
      </c>
      <c r="D63" s="34">
        <v>94000</v>
      </c>
      <c r="E63" s="43">
        <f t="shared" si="3"/>
        <v>8724</v>
      </c>
      <c r="F63" s="35">
        <f t="shared" si="5"/>
        <v>1.0928085106382979</v>
      </c>
      <c r="G63" s="55">
        <f t="shared" si="4"/>
        <v>0.007094339622641509</v>
      </c>
      <c r="H63" s="34"/>
      <c r="I63" s="34"/>
      <c r="J63" s="43"/>
      <c r="K63" s="45">
        <v>36586</v>
      </c>
      <c r="L63" s="45">
        <v>36831</v>
      </c>
      <c r="M63" s="45">
        <v>36586</v>
      </c>
      <c r="N63" s="52">
        <v>37226</v>
      </c>
    </row>
    <row r="64" spans="1:14" ht="12.75">
      <c r="A64" s="23" t="s">
        <v>136</v>
      </c>
      <c r="B64" s="29" t="s">
        <v>137</v>
      </c>
      <c r="C64" s="34">
        <v>70000</v>
      </c>
      <c r="D64" s="34">
        <v>0</v>
      </c>
      <c r="E64" s="43">
        <f t="shared" si="3"/>
        <v>70000</v>
      </c>
      <c r="F64" s="35"/>
      <c r="G64" s="55">
        <f t="shared" si="4"/>
        <v>0</v>
      </c>
      <c r="H64" s="34"/>
      <c r="I64" s="34"/>
      <c r="J64" s="43"/>
      <c r="K64" s="45">
        <v>36831</v>
      </c>
      <c r="L64" s="45">
        <v>36861</v>
      </c>
      <c r="M64" s="45">
        <v>36526</v>
      </c>
      <c r="N64" s="52">
        <v>37135</v>
      </c>
    </row>
    <row r="65" spans="1:14" ht="12.75">
      <c r="A65" s="28"/>
      <c r="B65" s="22"/>
      <c r="C65" s="36"/>
      <c r="D65" s="36"/>
      <c r="E65" s="34"/>
      <c r="F65" s="35"/>
      <c r="G65" s="38"/>
      <c r="H65" s="36"/>
      <c r="I65" s="36"/>
      <c r="J65" s="44"/>
      <c r="K65" s="49"/>
      <c r="L65" s="49"/>
      <c r="M65" s="49"/>
      <c r="N65" s="50"/>
    </row>
    <row r="66" spans="2:14" ht="12.75">
      <c r="B66" s="27" t="s">
        <v>138</v>
      </c>
      <c r="C66" s="39">
        <f>SUM(C42:C65)</f>
        <v>4299625</v>
      </c>
      <c r="D66" s="39">
        <f>SUM(D42:D65)</f>
        <v>4748500</v>
      </c>
      <c r="E66" s="39">
        <f>SUM(E42:E65)</f>
        <v>-448875</v>
      </c>
      <c r="F66" s="41">
        <f>C66/D66</f>
        <v>0.9054701484679373</v>
      </c>
      <c r="G66" s="40"/>
      <c r="H66" s="33"/>
      <c r="I66" s="33"/>
      <c r="J66" s="33"/>
      <c r="K66" s="33"/>
      <c r="L66" s="33"/>
      <c r="M66" s="33"/>
      <c r="N66" s="33"/>
    </row>
  </sheetData>
  <mergeCells count="6">
    <mergeCell ref="A29:N29"/>
    <mergeCell ref="A30:N30"/>
    <mergeCell ref="A3:N3"/>
    <mergeCell ref="A1:N1"/>
    <mergeCell ref="A2:N2"/>
    <mergeCell ref="A28:N28"/>
  </mergeCells>
  <printOptions horizontalCentered="1"/>
  <pageMargins left="0.25" right="0.25" top="1" bottom="0.5" header="0" footer="0"/>
  <pageSetup fitToWidth="2" horizontalDpi="600" verticalDpi="600" orientation="landscape" scale="70" r:id="rId1"/>
  <rowBreaks count="1" manualBreakCount="1">
    <brk id="27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Grubb</dc:creator>
  <cp:keywords/>
  <dc:description/>
  <cp:lastModifiedBy>Sheila Miller</cp:lastModifiedBy>
  <cp:lastPrinted>2008-11-06T14:34:44Z</cp:lastPrinted>
  <dcterms:created xsi:type="dcterms:W3CDTF">2000-05-04T17:57:30Z</dcterms:created>
  <dcterms:modified xsi:type="dcterms:W3CDTF">2008-11-06T14:50:26Z</dcterms:modified>
  <cp:category/>
  <cp:version/>
  <cp:contentType/>
  <cp:contentStatus/>
</cp:coreProperties>
</file>