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190" activeTab="3"/>
  </bookViews>
  <sheets>
    <sheet name="Index" sheetId="1" r:id="rId1"/>
    <sheet name="Sch 1" sheetId="2" r:id="rId2"/>
    <sheet name="Sch 2" sheetId="3" r:id="rId3"/>
    <sheet name="Sch 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000">#REF!</definedName>
    <definedName name="ACCTS">#REF!</definedName>
    <definedName name="ALLOTHER">#REF!</definedName>
    <definedName name="BASEPER">#REF!</definedName>
    <definedName name="DEPR_DB">#REF!</definedName>
    <definedName name="KWH1_A">'[5]A'!#REF!</definedName>
    <definedName name="LABOR">#REF!</definedName>
    <definedName name="LIST">#REF!</definedName>
    <definedName name="LIST2">#REF!</definedName>
    <definedName name="NEWCOSTS">#REF!</definedName>
    <definedName name="ox" localSheetId="1" hidden="1">{"SchC2",#N/A,FALSE,"Sch C"}</definedName>
    <definedName name="ox" localSheetId="3" hidden="1">{"SchC2",#N/A,FALSE,"Sch C"}</definedName>
    <definedName name="ox" hidden="1">{"SchC2",#N/A,FALSE,"Sch C"}</definedName>
    <definedName name="ox1" localSheetId="1" hidden="1">{"SchC3",#N/A,FALSE,"Sch C"}</definedName>
    <definedName name="ox1" localSheetId="3" hidden="1">{"SchC3",#N/A,FALSE,"Sch C"}</definedName>
    <definedName name="ox1" hidden="1">{"SchC3",#N/A,FALSE,"Sch C"}</definedName>
    <definedName name="_xlnm.Print_Area" localSheetId="0">'Index'!$A$1:$D$14</definedName>
    <definedName name="_xlnm.Print_Area" localSheetId="1">'Sch 1'!$A$1:$G$37</definedName>
    <definedName name="_xlnm.Print_Area" localSheetId="2">'Sch 2'!$A$1:$Q$76</definedName>
    <definedName name="_xlnm.Print_Area" localSheetId="3">'Sch 3'!$A$1:$M$37</definedName>
    <definedName name="_xlnm.Print_Area">'Sch 2'!$A$1:$D$72</definedName>
    <definedName name="Rate_Case_Labor">#REF!</definedName>
    <definedName name="SCH_A">'Sch 1'!$A$1:$E$62</definedName>
    <definedName name="SCH_C">'Sch 2'!$A$1:$D$72</definedName>
    <definedName name="SCH_H" localSheetId="3">'Sch 3'!$A$1:$F$37</definedName>
    <definedName name="SCH_H">#REF!</definedName>
    <definedName name="wrn.All._.Schedule._.B._.Exhibits." localSheetId="3" hidden="1">{"All Sch B Exhibits",#N/A,FALSE,"Sch B"}</definedName>
    <definedName name="wrn.All._.Schedule._.B._.Exhibits." hidden="1">{"All Sch B Exhibits",#N/A,FALSE,"Sch B"}</definedName>
    <definedName name="wrn.CA._.CIAC._.Wkp." localSheetId="3" hidden="1">{"CA CIAC Forecasted Activity",#N/A,FALSE,"Cust Adv CIAC";"CA CIAC Balances and Amort of CIAC",#N/A,FALSE,"Cust Adv CIAC"}</definedName>
    <definedName name="wrn.CA._.CIAC._.Wkp." hidden="1">{"CA CIAC Forecasted Activity",#N/A,FALSE,"Cust Adv CIAC";"CA CIAC Balances and Amort of CIAC",#N/A,FALSE,"Cust Adv CIAC"}</definedName>
    <definedName name="wrn.COSReport." localSheetId="1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OSReport." localSheetId="3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OSReport.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SchA." localSheetId="1" hidden="1">{"SchA",#N/A,FALSE,"Sch A"}</definedName>
    <definedName name="wrn.SchA." localSheetId="3" hidden="1">{"SchA",#N/A,FALSE,"Sch A"}</definedName>
    <definedName name="wrn.SchA." hidden="1">{"SchA",#N/A,FALSE,"Sch A"}</definedName>
    <definedName name="wrn.SchB1." localSheetId="3" hidden="1">{"SchB1",#N/A,FALSE,"Sch B"}</definedName>
    <definedName name="wrn.SchB1." hidden="1">{"SchB1",#N/A,FALSE,"Sch B"}</definedName>
    <definedName name="wrn.SchB2." localSheetId="3" hidden="1">{"SchB2",#N/A,FALSE,"Sch B"}</definedName>
    <definedName name="wrn.SchB2." hidden="1">{"SchB2",#N/A,FALSE,"Sch B"}</definedName>
    <definedName name="wrn.SchB2.1." localSheetId="3" hidden="1">{"SchB2.1",#N/A,FALSE,"Sch B"}</definedName>
    <definedName name="wrn.SchB2.1." hidden="1">{"SchB2.1",#N/A,FALSE,"Sch B"}</definedName>
    <definedName name="wrn.SchB2.2." localSheetId="3" hidden="1">{"SchB2.2",#N/A,FALSE,"Sch B"}</definedName>
    <definedName name="wrn.SchB2.2." hidden="1">{"SchB2.2",#N/A,FALSE,"Sch B"}</definedName>
    <definedName name="wrn.SchB2.3." localSheetId="3" hidden="1">{"SchB2.3",#N/A,FALSE,"Sch B"}</definedName>
    <definedName name="wrn.SchB2.3." hidden="1">{"SchB2.3",#N/A,FALSE,"Sch B"}</definedName>
    <definedName name="wrn.SchB2.4." localSheetId="3" hidden="1">{"Schb2.4",#N/A,FALSE,"Sch B"}</definedName>
    <definedName name="wrn.SchB2.4." hidden="1">{"Schb2.4",#N/A,FALSE,"Sch B"}</definedName>
    <definedName name="wrn.SchB2.5." localSheetId="3" hidden="1">{"SchB2.5",#N/A,FALSE,"Sch B"}</definedName>
    <definedName name="wrn.SchB2.5." hidden="1">{"SchB2.5",#N/A,FALSE,"Sch B"}</definedName>
    <definedName name="wrn.SchB2.6." localSheetId="3" hidden="1">{"SchB2.6",#N/A,FALSE,"Sch B"}</definedName>
    <definedName name="wrn.SchB2.6." hidden="1">{"SchB2.6",#N/A,FALSE,"Sch B"}</definedName>
    <definedName name="wrn.SchB2.7." localSheetId="3" hidden="1">{"SchB2.7",#N/A,FALSE,"Sch B"}</definedName>
    <definedName name="wrn.SchB2.7." hidden="1">{"SchB2.7",#N/A,FALSE,"Sch B"}</definedName>
    <definedName name="wrn.SchB3." localSheetId="3" hidden="1">{"SchB3",#N/A,FALSE,"Sch B"}</definedName>
    <definedName name="wrn.SchB3." hidden="1">{"SchB3",#N/A,FALSE,"Sch B"}</definedName>
    <definedName name="wrn.SchB3.1." localSheetId="3" hidden="1">{"SchB3.1",#N/A,FALSE,"Sch B"}</definedName>
    <definedName name="wrn.SchB3.1." hidden="1">{"SchB3.1",#N/A,FALSE,"Sch B"}</definedName>
    <definedName name="wrn.SchB3.2." localSheetId="3" hidden="1">{"SchB3.2",#N/A,FALSE,"Sch B"}</definedName>
    <definedName name="wrn.SchB3.2." hidden="1">{"SchB3.2",#N/A,FALSE,"Sch B"}</definedName>
    <definedName name="wrn.SchB4." localSheetId="3" hidden="1">{"SchB4",#N/A,FALSE,"Sch B"}</definedName>
    <definedName name="wrn.SchB4." hidden="1">{"SchB4",#N/A,FALSE,"Sch B"}</definedName>
    <definedName name="wrn.SchB4.1." localSheetId="3" hidden="1">{"SchB4.1",#N/A,FALSE,"Sch B"}</definedName>
    <definedName name="wrn.SchB4.1." hidden="1">{"SchB4.1",#N/A,FALSE,"Sch B"}</definedName>
    <definedName name="wrn.SchB5." localSheetId="3" hidden="1">{"SchB5",#N/A,FALSE,"Sch B"}</definedName>
    <definedName name="wrn.SchB5." hidden="1">{"SchB5",#N/A,FALSE,"Sch B"}</definedName>
    <definedName name="wrn.SchB5.1." localSheetId="3" hidden="1">{"SchB5.1",#N/A,FALSE,"Sch B"}</definedName>
    <definedName name="wrn.SchB5.1." hidden="1">{"SchB5.1",#N/A,FALSE,"Sch B"}</definedName>
    <definedName name="wrn.SchB5.2." localSheetId="3" hidden="1">{"SchB5.2",#N/A,FALSE,"Sch B"}</definedName>
    <definedName name="wrn.SchB5.2." hidden="1">{"SchB5.2",#N/A,FALSE,"Sch B"}</definedName>
    <definedName name="wrn.SchB6." localSheetId="3" hidden="1">{"SchB6",#N/A,FALSE,"Sch B"}</definedName>
    <definedName name="wrn.SchB6." hidden="1">{"SchB6",#N/A,FALSE,"Sch B"}</definedName>
    <definedName name="wrn.SchB7." localSheetId="3" hidden="1">{"SchB7",#N/A,FALSE,"Sch B"}</definedName>
    <definedName name="wrn.SchB7." hidden="1">{"SchB7",#N/A,FALSE,"Sch B"}</definedName>
    <definedName name="wrn.SchB7.1." localSheetId="3" hidden="1">{"SchB7.1",#N/A,FALSE,"Sch B"}</definedName>
    <definedName name="wrn.SchB7.1." hidden="1">{"SchB7.1",#N/A,FALSE,"Sch B"}</definedName>
    <definedName name="wrn.SchB7.2." localSheetId="3" hidden="1">{"SchB7.2",#N/A,FALSE,"Sch B"}</definedName>
    <definedName name="wrn.SchB7.2." hidden="1">{"SchB7.2",#N/A,FALSE,"Sch B"}</definedName>
    <definedName name="wrn.SchB8." localSheetId="3" hidden="1">{"SchB8",#N/A,FALSE,"Sch B"}</definedName>
    <definedName name="wrn.SchB8." hidden="1">{"SchB8",#N/A,FALSE,"Sch B"}</definedName>
    <definedName name="wrn.SchC." localSheetId="1" hidden="1">{"SchC1",#N/A,FALSE,"Sch C";"SchC2",#N/A,FALSE,"Sch C";"SchC3",#N/A,FALSE,"Sch C"}</definedName>
    <definedName name="wrn.SchC." localSheetId="3" hidden="1">{"SchC1",#N/A,FALSE,"Sch C";"SchC2",#N/A,FALSE,"Sch C";"SchC3",#N/A,FALSE,"Sch C"}</definedName>
    <definedName name="wrn.SchC." hidden="1">{"SchC1",#N/A,FALSE,"Sch C";"SchC2",#N/A,FALSE,"Sch C";"SchC3",#N/A,FALSE,"Sch C"}</definedName>
    <definedName name="wrn.SchC1." localSheetId="1" hidden="1">{"SchC1",#N/A,FALSE,"Sch C"}</definedName>
    <definedName name="wrn.SchC1." localSheetId="3" hidden="1">{"SchC1",#N/A,FALSE,"Sch C"}</definedName>
    <definedName name="wrn.SchC1." hidden="1">{"SchC1",#N/A,FALSE,"Sch C"}</definedName>
    <definedName name="wrn.SchC2." localSheetId="1" hidden="1">{"SchC2",#N/A,FALSE,"Sch C"}</definedName>
    <definedName name="wrn.SchC2." localSheetId="3" hidden="1">{"SchC2",#N/A,FALSE,"Sch C"}</definedName>
    <definedName name="wrn.SchC2." hidden="1">{"SchC2",#N/A,FALSE,"Sch C"}</definedName>
    <definedName name="wrn.SchC3." localSheetId="1" hidden="1">{"SchC3",#N/A,FALSE,"Sch C"}</definedName>
    <definedName name="wrn.SchC3." localSheetId="3" hidden="1">{"SchC3",#N/A,FALSE,"Sch C"}</definedName>
    <definedName name="wrn.SchC3." hidden="1">{"SchC3",#N/A,FALSE,"Sch C"}</definedName>
    <definedName name="wrn.SchD." localSheetId="1" hidden="1">{"SchD1",#N/A,FALSE,"Sch D";"SchD2",#N/A,FALSE,"Sch D";"SchD3",#N/A,FALSE,"Sch D";"SchD4",#N/A,FALSE,"Sch D";"SchD5",#N/A,FALSE,"Sch D"}</definedName>
    <definedName name="wrn.SchD." localSheetId="3" hidden="1">{"SchD1",#N/A,FALSE,"Sch D";"SchD2",#N/A,FALSE,"Sch D";"SchD3",#N/A,FALSE,"Sch D";"SchD4",#N/A,FALSE,"Sch D";"SchD5",#N/A,FALSE,"Sch D"}</definedName>
    <definedName name="wrn.SchD." hidden="1">{"SchD1",#N/A,FALSE,"Sch D";"SchD2",#N/A,FALSE,"Sch D";"SchD3",#N/A,FALSE,"Sch D";"SchD4",#N/A,FALSE,"Sch D";"SchD5",#N/A,FALSE,"Sch D"}</definedName>
    <definedName name="wrn.SchD1." localSheetId="1" hidden="1">{"SchD1",#N/A,FALSE,"Sch D"}</definedName>
    <definedName name="wrn.SchD1." localSheetId="3" hidden="1">{"SchD1",#N/A,FALSE,"Sch D"}</definedName>
    <definedName name="wrn.SchD1." hidden="1">{"SchD1",#N/A,FALSE,"Sch D"}</definedName>
    <definedName name="wrn.SchD2." localSheetId="1" hidden="1">{"SchD2",#N/A,FALSE,"Sch D"}</definedName>
    <definedName name="wrn.SchD2." localSheetId="3" hidden="1">{"SchD2",#N/A,FALSE,"Sch D"}</definedName>
    <definedName name="wrn.SchD2." hidden="1">{"SchD2",#N/A,FALSE,"Sch D"}</definedName>
    <definedName name="wrn.SchD3." localSheetId="1" hidden="1">{"SchD3",#N/A,FALSE,"Sch D"}</definedName>
    <definedName name="wrn.SchD3." localSheetId="3" hidden="1">{"SchD3",#N/A,FALSE,"Sch D"}</definedName>
    <definedName name="wrn.SchD3." hidden="1">{"SchD3",#N/A,FALSE,"Sch D"}</definedName>
    <definedName name="wrn.SchD4." localSheetId="1" hidden="1">{"SchD4",#N/A,FALSE,"Sch D"}</definedName>
    <definedName name="wrn.SchD4." localSheetId="3" hidden="1">{"SchD4",#N/A,FALSE,"Sch D"}</definedName>
    <definedName name="wrn.SchD4." hidden="1">{"SchD4",#N/A,FALSE,"Sch D"}</definedName>
    <definedName name="wrn.SchD5." localSheetId="1" hidden="1">{"SchD5",#N/A,FALSE,"Sch D"}</definedName>
    <definedName name="wrn.SchD5." localSheetId="3" hidden="1">{"SchD5",#N/A,FALSE,"Sch D"}</definedName>
    <definedName name="wrn.SchD5." hidden="1">{"SchD5",#N/A,FALSE,"Sch D"}</definedName>
    <definedName name="wrn.SchE." localSheetId="1" hidden="1">{"SchE1.1",#N/A,FALSE,"Sch E";"SchE1.2",#N/A,FALSE,"Sch E";"SchE1.3",#N/A,FALSE,"Sch E";"SchE1.4",#N/A,FALSE,"Sch E";"SchE1.5",#N/A,FALSE,"Sch E";"SchE2",#N/A,FALSE,"Sch E"}</definedName>
    <definedName name="wrn.SchE." localSheetId="3" hidden="1">{"SchE1.1",#N/A,FALSE,"Sch E";"SchE1.2",#N/A,FALSE,"Sch E";"SchE1.3",#N/A,FALSE,"Sch E";"SchE1.4",#N/A,FALSE,"Sch E";"SchE1.5",#N/A,FALSE,"Sch E";"SchE2",#N/A,FALSE,"Sch E"}</definedName>
    <definedName name="wrn.SchE." hidden="1">{"SchE1.1",#N/A,FALSE,"Sch E";"SchE1.2",#N/A,FALSE,"Sch E";"SchE1.3",#N/A,FALSE,"Sch E";"SchE1.4",#N/A,FALSE,"Sch E";"SchE1.5",#N/A,FALSE,"Sch E";"SchE2",#N/A,FALSE,"Sch E"}</definedName>
    <definedName name="wrn.SchE1.1." localSheetId="1" hidden="1">{"SchE1.1",#N/A,FALSE,"Sch E"}</definedName>
    <definedName name="wrn.SchE1.1." localSheetId="3" hidden="1">{"SchE1.1",#N/A,FALSE,"Sch E"}</definedName>
    <definedName name="wrn.SchE1.1." hidden="1">{"SchE1.1",#N/A,FALSE,"Sch E"}</definedName>
    <definedName name="wrn.SchE1.2." localSheetId="1" hidden="1">{"SchE1.2",#N/A,FALSE,"Sch E"}</definedName>
    <definedName name="wrn.SchE1.2." localSheetId="3" hidden="1">{"SchE1.2",#N/A,FALSE,"Sch E"}</definedName>
    <definedName name="wrn.SchE1.2." hidden="1">{"SchE1.2",#N/A,FALSE,"Sch E"}</definedName>
    <definedName name="wrn.SchE1.3." localSheetId="1" hidden="1">{"SchE1.3",#N/A,FALSE,"Sch E"}</definedName>
    <definedName name="wrn.SchE1.3." localSheetId="3" hidden="1">{"SchE1.3",#N/A,FALSE,"Sch E"}</definedName>
    <definedName name="wrn.SchE1.3." hidden="1">{"SchE1.3",#N/A,FALSE,"Sch E"}</definedName>
    <definedName name="wrn.SchE1.4." localSheetId="1" hidden="1">{"SchE1.4",#N/A,FALSE,"Sch E"}</definedName>
    <definedName name="wrn.SchE1.4." localSheetId="3" hidden="1">{"SchE1.4",#N/A,FALSE,"Sch E"}</definedName>
    <definedName name="wrn.SchE1.4." hidden="1">{"SchE1.4",#N/A,FALSE,"Sch E"}</definedName>
    <definedName name="wrn.SchE1.5." localSheetId="1" hidden="1">{"SchE1.5",#N/A,FALSE,"Sch E"}</definedName>
    <definedName name="wrn.SchE1.5." localSheetId="3" hidden="1">{"SchE1.5",#N/A,FALSE,"Sch E"}</definedName>
    <definedName name="wrn.SchE1.5." hidden="1">{"SchE1.5",#N/A,FALSE,"Sch E"}</definedName>
    <definedName name="wrn.SchE2." localSheetId="1" hidden="1">{"SchE2",#N/A,FALSE,"Sch E"}</definedName>
    <definedName name="wrn.SchE2." localSheetId="3" hidden="1">{"SchE2",#N/A,FALSE,"Sch E"}</definedName>
    <definedName name="wrn.SchE2." hidden="1">{"SchE2",#N/A,FALSE,"Sch E"}</definedName>
    <definedName name="wrn.SchH." localSheetId="1" hidden="1">{"SchH",#N/A,FALSE,"Sch H"}</definedName>
    <definedName name="wrn.SchH." localSheetId="3" hidden="1">{"SchH",#N/A,FALSE,"Sch H"}</definedName>
    <definedName name="wrn.SchH." hidden="1">{"SchH",#N/A,FALSE,"Sch H"}</definedName>
    <definedName name="Z_01B1D346_12EC_11D4_8702_444553540000_.wvu.PrintArea" localSheetId="1" hidden="1">'Sch 1'!$A$1:$E$62</definedName>
    <definedName name="Z_01B1D346_12EC_11D4_8702_444553540000_.wvu.PrintArea" localSheetId="2" hidden="1">'Sch 2'!$A$1:$D$72</definedName>
    <definedName name="Z_01B1D346_12EC_11D4_8702_444553540000_.wvu.PrintArea" localSheetId="3" hidden="1">'Sch 3'!$A$1:$F$37</definedName>
    <definedName name="Z_01B1D347_12EC_11D4_8702_444553540000_.wvu.PrintArea" localSheetId="1" hidden="1">'Sch 1'!$A$1:$E$62</definedName>
    <definedName name="Z_01B1D347_12EC_11D4_8702_444553540000_.wvu.PrintArea" localSheetId="2" hidden="1">'Sch 2'!$A$1:$D$72</definedName>
    <definedName name="Z_01B1D347_12EC_11D4_8702_444553540000_.wvu.PrintArea" localSheetId="3" hidden="1">'Sch 3'!$A$1:$F$37</definedName>
    <definedName name="Z_2779A5C0_097E_11D4_B714_004005A175E9_.wvu.PrintArea" localSheetId="1" hidden="1">'Sch 1'!$A$1:$E$62</definedName>
    <definedName name="Z_2779A5C0_097E_11D4_B714_004005A175E9_.wvu.PrintArea" localSheetId="2" hidden="1">'Sch 2'!$A$1:$D$72</definedName>
    <definedName name="Z_2779A5C0_097E_11D4_B714_004005A175E9_.wvu.PrintArea" localSheetId="3" hidden="1">'Sch 3'!$A$1:$F$37</definedName>
    <definedName name="Z_4675C328_8836_11D2_9451_0008C780B76A_.wvu.PrintArea" localSheetId="3" hidden="1">'Sch 3'!$A$1:$F$37</definedName>
    <definedName name="Z_4675C329_8836_11D2_9451_0008C780B76A_.wvu.PrintArea" localSheetId="1" hidden="1">'Sch 1'!$A$1:$E$62</definedName>
    <definedName name="Z_4675C329_8836_11D2_9451_0008C780B76A_.wvu.PrintArea" localSheetId="3" hidden="1">'Sch 3'!$A$1:$F$37</definedName>
  </definedNames>
  <calcPr fullCalcOnLoad="1"/>
</workbook>
</file>

<file path=xl/sharedStrings.xml><?xml version="1.0" encoding="utf-8"?>
<sst xmlns="http://schemas.openxmlformats.org/spreadsheetml/2006/main" count="160" uniqueCount="137">
  <si>
    <t>KENTUCKY-AMERICAN WATER COMPANY</t>
  </si>
  <si>
    <t>CASE NO:  2007-00143</t>
  </si>
  <si>
    <t>COMPARATIVE OVERALL FINANCIAL SUMMARY</t>
  </si>
  <si>
    <t>FOR THE TWELVE MONTHS ENDED:  NOVEMBER 30, 2008</t>
  </si>
  <si>
    <t>Company</t>
  </si>
  <si>
    <t>AG</t>
  </si>
  <si>
    <t>Forecast</t>
  </si>
  <si>
    <t>Line</t>
  </si>
  <si>
    <t>Jurisdictional</t>
  </si>
  <si>
    <t>No.</t>
  </si>
  <si>
    <t>Description</t>
  </si>
  <si>
    <t>Rev Req</t>
  </si>
  <si>
    <t>RATE BASE</t>
  </si>
  <si>
    <t>FORECASTED OPERATING INCOME AT CURRENT RATES</t>
  </si>
  <si>
    <t>EARNED RATE OF RETURN</t>
  </si>
  <si>
    <t>RATE OF RETURN</t>
  </si>
  <si>
    <t>REQUIRED OPERATING INCOME</t>
  </si>
  <si>
    <t>OPERATING INCOME DEFICIENCY</t>
  </si>
  <si>
    <t>GROSS REVENUE CONVERSION FACTOR</t>
  </si>
  <si>
    <t>REVENUE DEFICIENCY (1)</t>
  </si>
  <si>
    <t>ADJUSTED OPERATING REVENUES</t>
  </si>
  <si>
    <t>REVENUE REQUIREMENT</t>
  </si>
  <si>
    <t>SUMMARY OF ATTORNEY GENERAL ADJUSTMENTS</t>
  </si>
  <si>
    <t>AG Adj. 1</t>
  </si>
  <si>
    <t>AG Adj. 2</t>
  </si>
  <si>
    <t>AG Adj. 3</t>
  </si>
  <si>
    <t>AG Adj. 4</t>
  </si>
  <si>
    <t>AG Adj. 5</t>
  </si>
  <si>
    <t>AG Adj. 6</t>
  </si>
  <si>
    <t>AG Adj. 7</t>
  </si>
  <si>
    <t>AG Adj. 8</t>
  </si>
  <si>
    <t>AG Adj. 9</t>
  </si>
  <si>
    <t>AG Adj. 10</t>
  </si>
  <si>
    <t>Forecasted</t>
  </si>
  <si>
    <t>Depreciation</t>
  </si>
  <si>
    <t>Cash</t>
  </si>
  <si>
    <t>Excess</t>
  </si>
  <si>
    <t>Bus. Devel.</t>
  </si>
  <si>
    <t>Total</t>
  </si>
  <si>
    <t>Recommended</t>
  </si>
  <si>
    <t>Revenues &amp;</t>
  </si>
  <si>
    <t>Impact on</t>
  </si>
  <si>
    <t>Working</t>
  </si>
  <si>
    <t>Consolidated</t>
  </si>
  <si>
    <t>Management</t>
  </si>
  <si>
    <t>Incentive</t>
  </si>
  <si>
    <t>Group</t>
  </si>
  <si>
    <t xml:space="preserve">Portion of </t>
  </si>
  <si>
    <t>Wastewater</t>
  </si>
  <si>
    <t>Interest</t>
  </si>
  <si>
    <t xml:space="preserve">Revenues </t>
  </si>
  <si>
    <t>Major Group Classification</t>
  </si>
  <si>
    <t>Expenses</t>
  </si>
  <si>
    <t>Ratebase</t>
  </si>
  <si>
    <t>Capital</t>
  </si>
  <si>
    <t>Taxes</t>
  </si>
  <si>
    <t>Fees</t>
  </si>
  <si>
    <t>Expense</t>
  </si>
  <si>
    <t>Pay</t>
  </si>
  <si>
    <t>Insurance</t>
  </si>
  <si>
    <t>Mgmt. Fees</t>
  </si>
  <si>
    <t>Technician</t>
  </si>
  <si>
    <t>Synchronization</t>
  </si>
  <si>
    <t>Adjustments</t>
  </si>
  <si>
    <t>and Expenses</t>
  </si>
  <si>
    <t>Operating Revenues</t>
  </si>
  <si>
    <t xml:space="preserve">     Water Sales</t>
  </si>
  <si>
    <t xml:space="preserve">     Other Operating Revenues</t>
  </si>
  <si>
    <t>Operating Expenses</t>
  </si>
  <si>
    <t xml:space="preserve">     Labor</t>
  </si>
  <si>
    <t xml:space="preserve">     Purchased Water</t>
  </si>
  <si>
    <t xml:space="preserve">     Fuel and Power</t>
  </si>
  <si>
    <t xml:space="preserve">     Chemicals</t>
  </si>
  <si>
    <t xml:space="preserve">     Waste Disposal</t>
  </si>
  <si>
    <t xml:space="preserve">     Management Fees</t>
  </si>
  <si>
    <t xml:space="preserve">     Group Insurance</t>
  </si>
  <si>
    <t xml:space="preserve">     Pensions</t>
  </si>
  <si>
    <t xml:space="preserve">     Regulatory Expense</t>
  </si>
  <si>
    <t xml:space="preserve">     Insurance Other than Group</t>
  </si>
  <si>
    <t xml:space="preserve">     Customer Accounting</t>
  </si>
  <si>
    <t xml:space="preserve">     Rents</t>
  </si>
  <si>
    <t xml:space="preserve">     General Office Expense</t>
  </si>
  <si>
    <t xml:space="preserve">     Miscellaneous</t>
  </si>
  <si>
    <t xml:space="preserve">     Maintenance - Other</t>
  </si>
  <si>
    <t>Total O &amp; M Expenses</t>
  </si>
  <si>
    <t>Amortization</t>
  </si>
  <si>
    <t>General Taxes</t>
  </si>
  <si>
    <t xml:space="preserve">     Property and Capital Stock</t>
  </si>
  <si>
    <t xml:space="preserve">     Gross Receipts and Sales</t>
  </si>
  <si>
    <t xml:space="preserve">     Payroll</t>
  </si>
  <si>
    <t>Total General Taxes</t>
  </si>
  <si>
    <t>State Income Taxes</t>
  </si>
  <si>
    <t xml:space="preserve">     Current</t>
  </si>
  <si>
    <t xml:space="preserve">     Deferred</t>
  </si>
  <si>
    <t>Federal Income Taxes</t>
  </si>
  <si>
    <t xml:space="preserve">     Deferred - ITC</t>
  </si>
  <si>
    <t>Total Income Taxes</t>
  </si>
  <si>
    <t>Total Operating Expenses</t>
  </si>
  <si>
    <t>Utility Operating Income</t>
  </si>
  <si>
    <t>Rate Base</t>
  </si>
  <si>
    <t>KAWC Proposed ROR</t>
  </si>
  <si>
    <t>AG Recommended ROR</t>
  </si>
  <si>
    <t>NOI Effect</t>
  </si>
  <si>
    <t>KAWC Revenue Conversion Factor</t>
  </si>
  <si>
    <t>AG Revenue Conversion Factor</t>
  </si>
  <si>
    <t>Incremental Revenue Requirement</t>
  </si>
  <si>
    <t>GROSS REVENUE CONVERSION FACTOR AND INCOME TAX FACTORS</t>
  </si>
  <si>
    <t xml:space="preserve">Pre-Tax </t>
  </si>
  <si>
    <t>Conversion</t>
  </si>
  <si>
    <t>Factor</t>
  </si>
  <si>
    <t>Less: Uncollectibles</t>
  </si>
  <si>
    <t>1/</t>
  </si>
  <si>
    <t>Less: PSC Fees</t>
  </si>
  <si>
    <t>Net Revenues</t>
  </si>
  <si>
    <t>2/</t>
  </si>
  <si>
    <t>SIT Rate:</t>
  </si>
  <si>
    <t>Income before Federal Income Taxes</t>
  </si>
  <si>
    <t>FIT Rate:</t>
  </si>
  <si>
    <t>Operating Income Percentage</t>
  </si>
  <si>
    <t>Gross Revenue Conversion Factor (1)</t>
  </si>
  <si>
    <t>Tax Rate</t>
  </si>
  <si>
    <t>1/  2006 percentage.  See response to PSC 2-32.</t>
  </si>
  <si>
    <t>2/  Net of uncollectibles and PSC Assessments</t>
  </si>
  <si>
    <t>Index</t>
  </si>
  <si>
    <t>Schedule 1</t>
  </si>
  <si>
    <t>Schedule 2</t>
  </si>
  <si>
    <t>Schedule 3</t>
  </si>
  <si>
    <t>Comparative Overall Financial Summary</t>
  </si>
  <si>
    <t>Gross Revenue Conversion Factors and Income Tax Factors</t>
  </si>
  <si>
    <t>Summary of Attorney General Adjustments</t>
  </si>
  <si>
    <t>Exhibit___(MJM-1)</t>
  </si>
  <si>
    <t>Summary Schedules</t>
  </si>
  <si>
    <t>Difference</t>
  </si>
  <si>
    <t>(a)</t>
  </si>
  <si>
    <t>(b)</t>
  </si>
  <si>
    <t>(c)=(b)-(a)</t>
  </si>
  <si>
    <t>Note: Difference from Schedule 1 due to rounding.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</si>
</sst>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0.0000000"/>
    <numFmt numFmtId="166" formatCode="0.000000%"/>
    <numFmt numFmtId="167" formatCode="0.00000%"/>
    <numFmt numFmtId="168" formatCode="#,##0.0000000_);\(#,##0.0000000\)"/>
    <numFmt numFmtId="169" formatCode="_(&quot;$&quot;* #,##0_);_(&quot;$&quot;* \(#,##0\);_(&quot;$&quot;* &quot;-&quot;??_);_(@_)"/>
    <numFmt numFmtId="170" formatCode="#,##0.000"/>
    <numFmt numFmtId="171" formatCode="_(* #,##0_);_(* \(#,##0\);_(* &quot;-&quot;??_);_(@_)"/>
    <numFmt numFmtId="172" formatCode="0.0000%"/>
    <numFmt numFmtId="173" formatCode="_(* #,##0.0_);_(* \(#,##0.0\);_(* &quot;-&quot;??_);_(@_)"/>
    <numFmt numFmtId="174" formatCode="_(&quot;$&quot;* #,##0.0_);_(&quot;$&quot;* \(#,##0.0\);_(&quot;$&quot;* &quot;-&quot;??_);_(@_)"/>
    <numFmt numFmtId="175" formatCode="0.0%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#,##0.0"/>
    <numFmt numFmtId="181" formatCode="#,##0.0000"/>
    <numFmt numFmtId="182" formatCode="#,##0.00000"/>
    <numFmt numFmtId="183" formatCode="0.00_)"/>
    <numFmt numFmtId="184" formatCode="0_);\(0\)"/>
    <numFmt numFmtId="185" formatCode="0.000%"/>
    <numFmt numFmtId="186" formatCode="_(* #,##0.000000000_);_(* \(#,##0.000000000\);_(* &quot;-&quot;??_);_(@_)"/>
    <numFmt numFmtId="187" formatCode="0.0000"/>
    <numFmt numFmtId="188" formatCode="&quot;$&quot;#,##0"/>
    <numFmt numFmtId="189" formatCode="&quot;$&quot;#,##0.000"/>
    <numFmt numFmtId="190" formatCode="&quot;$&quot;#,##0.00000"/>
  </numFmts>
  <fonts count="3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0"/>
    </font>
    <font>
      <b/>
      <u val="single"/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24"/>
      </right>
      <top>
        <color indexed="24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4" fillId="23" borderId="7" applyNumberFormat="0" applyFont="0" applyAlignment="0" applyProtection="0"/>
    <xf numFmtId="0" fontId="20" fillId="20" borderId="8" applyNumberFormat="0" applyAlignment="0" applyProtection="0"/>
    <xf numFmtId="9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3" fontId="26" fillId="0" borderId="0" xfId="0" applyNumberFormat="1" applyFont="1" applyAlignment="1">
      <alignment horizontal="centerContinuous"/>
    </xf>
    <xf numFmtId="3" fontId="26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 horizontal="center"/>
    </xf>
    <xf numFmtId="3" fontId="26" fillId="0" borderId="0" xfId="0" applyNumberFormat="1" applyFont="1" applyAlignment="1">
      <alignment horizontal="center"/>
    </xf>
    <xf numFmtId="3" fontId="26" fillId="0" borderId="10" xfId="0" applyNumberFormat="1" applyFont="1" applyAlignment="1">
      <alignment horizontal="center"/>
    </xf>
    <xf numFmtId="3" fontId="26" fillId="0" borderId="10" xfId="0" applyNumberFormat="1" applyFont="1" applyAlignment="1">
      <alignment/>
    </xf>
    <xf numFmtId="5" fontId="26" fillId="0" borderId="11" xfId="0" applyNumberFormat="1" applyFont="1" applyBorder="1" applyAlignment="1">
      <alignment/>
    </xf>
    <xf numFmtId="5" fontId="26" fillId="0" borderId="0" xfId="0" applyNumberFormat="1" applyFont="1" applyAlignment="1">
      <alignment/>
    </xf>
    <xf numFmtId="37" fontId="26" fillId="0" borderId="0" xfId="0" applyNumberFormat="1" applyFont="1" applyBorder="1" applyAlignment="1">
      <alignment/>
    </xf>
    <xf numFmtId="10" fontId="26" fillId="0" borderId="0" xfId="0" applyNumberFormat="1" applyFont="1" applyAlignment="1">
      <alignment/>
    </xf>
    <xf numFmtId="37" fontId="26" fillId="0" borderId="11" xfId="0" applyNumberFormat="1" applyFont="1" applyBorder="1" applyAlignment="1">
      <alignment/>
    </xf>
    <xf numFmtId="37" fontId="26" fillId="0" borderId="0" xfId="0" applyNumberFormat="1" applyFont="1" applyAlignment="1">
      <alignment/>
    </xf>
    <xf numFmtId="37" fontId="26" fillId="0" borderId="0" xfId="0" applyNumberFormat="1" applyFont="1" applyAlignment="1">
      <alignment/>
    </xf>
    <xf numFmtId="168" fontId="26" fillId="0" borderId="11" xfId="0" applyNumberFormat="1" applyFont="1" applyBorder="1" applyAlignment="1">
      <alignment/>
    </xf>
    <xf numFmtId="37" fontId="26" fillId="0" borderId="11" xfId="0" applyNumberFormat="1" applyFont="1" applyBorder="1" applyAlignment="1">
      <alignment/>
    </xf>
    <xf numFmtId="5" fontId="26" fillId="0" borderId="12" xfId="0" applyNumberFormat="1" applyFont="1" applyBorder="1" applyAlignment="1">
      <alignment/>
    </xf>
    <xf numFmtId="3" fontId="26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 horizontal="centerContinuous"/>
    </xf>
    <xf numFmtId="0" fontId="9" fillId="0" borderId="0" xfId="0" applyFont="1" applyFill="1" applyAlignment="1">
      <alignment/>
    </xf>
    <xf numFmtId="171" fontId="9" fillId="0" borderId="0" xfId="42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71" fontId="9" fillId="0" borderId="0" xfId="42" applyNumberFormat="1" applyFont="1" applyFill="1" applyBorder="1" applyAlignment="1">
      <alignment/>
    </xf>
    <xf numFmtId="3" fontId="9" fillId="0" borderId="0" xfId="0" applyNumberFormat="1" applyFont="1" applyFill="1" applyAlignment="1">
      <alignment horizontal="center"/>
    </xf>
    <xf numFmtId="171" fontId="9" fillId="0" borderId="0" xfId="42" applyNumberFormat="1" applyFont="1" applyFill="1" applyAlignment="1">
      <alignment horizontal="center"/>
    </xf>
    <xf numFmtId="3" fontId="9" fillId="0" borderId="10" xfId="0" applyNumberFormat="1" applyFont="1" applyFill="1" applyAlignment="1">
      <alignment horizontal="center"/>
    </xf>
    <xf numFmtId="3" fontId="9" fillId="0" borderId="10" xfId="0" applyNumberFormat="1" applyFont="1" applyFill="1" applyAlignment="1">
      <alignment/>
    </xf>
    <xf numFmtId="3" fontId="28" fillId="0" borderId="0" xfId="0" applyNumberFormat="1" applyFont="1" applyFill="1" applyAlignment="1">
      <alignment/>
    </xf>
    <xf numFmtId="42" fontId="9" fillId="0" borderId="0" xfId="0" applyNumberFormat="1" applyFont="1" applyFill="1" applyAlignment="1">
      <alignment/>
    </xf>
    <xf numFmtId="169" fontId="9" fillId="0" borderId="0" xfId="44" applyNumberFormat="1" applyFont="1" applyFill="1" applyAlignment="1">
      <alignment/>
    </xf>
    <xf numFmtId="37" fontId="9" fillId="0" borderId="0" xfId="0" applyNumberFormat="1" applyFont="1" applyFill="1" applyAlignment="1">
      <alignment/>
    </xf>
    <xf numFmtId="169" fontId="9" fillId="0" borderId="13" xfId="44" applyNumberFormat="1" applyFont="1" applyFill="1" applyAlignment="1">
      <alignment/>
    </xf>
    <xf numFmtId="169" fontId="9" fillId="0" borderId="14" xfId="44" applyNumberFormat="1" applyFont="1" applyFill="1" applyBorder="1" applyAlignment="1">
      <alignment/>
    </xf>
    <xf numFmtId="37" fontId="9" fillId="0" borderId="13" xfId="0" applyNumberFormat="1" applyFont="1" applyFill="1" applyAlignment="1">
      <alignment/>
    </xf>
    <xf numFmtId="3" fontId="9" fillId="0" borderId="13" xfId="0" applyNumberFormat="1" applyFont="1" applyFill="1" applyAlignment="1">
      <alignment/>
    </xf>
    <xf numFmtId="169" fontId="9" fillId="0" borderId="0" xfId="44" applyNumberFormat="1" applyFont="1" applyFill="1" applyAlignment="1">
      <alignment/>
    </xf>
    <xf numFmtId="37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37" fontId="9" fillId="0" borderId="11" xfId="0" applyNumberFormat="1" applyFont="1" applyFill="1" applyBorder="1" applyAlignment="1">
      <alignment/>
    </xf>
    <xf numFmtId="171" fontId="9" fillId="0" borderId="0" xfId="42" applyNumberFormat="1" applyFont="1" applyFill="1" applyAlignment="1">
      <alignment/>
    </xf>
    <xf numFmtId="171" fontId="9" fillId="0" borderId="11" xfId="42" applyNumberFormat="1" applyFont="1" applyFill="1" applyBorder="1" applyAlignment="1">
      <alignment/>
    </xf>
    <xf numFmtId="169" fontId="9" fillId="0" borderId="11" xfId="44" applyNumberFormat="1" applyFont="1" applyFill="1" applyBorder="1" applyAlignment="1">
      <alignment/>
    </xf>
    <xf numFmtId="44" fontId="9" fillId="0" borderId="0" xfId="44" applyFont="1" applyFill="1" applyAlignment="1">
      <alignment/>
    </xf>
    <xf numFmtId="10" fontId="9" fillId="0" borderId="0" xfId="59" applyNumberFormat="1" applyFont="1" applyFill="1" applyAlignment="1">
      <alignment/>
    </xf>
    <xf numFmtId="169" fontId="9" fillId="0" borderId="0" xfId="44" applyNumberFormat="1" applyFont="1" applyFill="1" applyAlignment="1">
      <alignment/>
    </xf>
    <xf numFmtId="182" fontId="9" fillId="0" borderId="0" xfId="0" applyNumberFormat="1" applyFont="1" applyFill="1" applyAlignment="1">
      <alignment/>
    </xf>
    <xf numFmtId="169" fontId="9" fillId="0" borderId="0" xfId="0" applyNumberFormat="1" applyFont="1" applyFill="1" applyAlignment="1">
      <alignment/>
    </xf>
    <xf numFmtId="3" fontId="29" fillId="0" borderId="0" xfId="0" applyNumberFormat="1" applyFont="1" applyAlignment="1">
      <alignment horizontal="center"/>
    </xf>
    <xf numFmtId="167" fontId="26" fillId="0" borderId="0" xfId="0" applyNumberFormat="1" applyFont="1" applyAlignment="1">
      <alignment/>
    </xf>
    <xf numFmtId="166" fontId="26" fillId="0" borderId="0" xfId="59" applyNumberFormat="1" applyFont="1" applyAlignment="1">
      <alignment/>
    </xf>
    <xf numFmtId="167" fontId="26" fillId="0" borderId="11" xfId="0" applyNumberFormat="1" applyFont="1" applyBorder="1" applyAlignment="1">
      <alignment/>
    </xf>
    <xf numFmtId="172" fontId="26" fillId="0" borderId="0" xfId="0" applyNumberFormat="1" applyFont="1" applyAlignment="1">
      <alignment/>
    </xf>
    <xf numFmtId="172" fontId="26" fillId="0" borderId="0" xfId="59" applyNumberFormat="1" applyFont="1" applyAlignment="1">
      <alignment/>
    </xf>
    <xf numFmtId="10" fontId="26" fillId="0" borderId="0" xfId="0" applyNumberFormat="1" applyFont="1" applyAlignment="1">
      <alignment/>
    </xf>
    <xf numFmtId="3" fontId="26" fillId="0" borderId="15" xfId="0" applyNumberFormat="1" applyFont="1" applyAlignment="1">
      <alignment/>
    </xf>
    <xf numFmtId="167" fontId="26" fillId="0" borderId="0" xfId="0" applyNumberFormat="1" applyFont="1" applyAlignment="1">
      <alignment/>
    </xf>
    <xf numFmtId="10" fontId="26" fillId="0" borderId="12" xfId="0" applyNumberFormat="1" applyFont="1" applyBorder="1" applyAlignment="1">
      <alignment/>
    </xf>
    <xf numFmtId="167" fontId="26" fillId="0" borderId="12" xfId="0" applyNumberFormat="1" applyFont="1" applyBorder="1" applyAlignment="1">
      <alignment/>
    </xf>
    <xf numFmtId="165" fontId="26" fillId="0" borderId="12" xfId="0" applyNumberFormat="1" applyFont="1" applyBorder="1" applyAlignment="1">
      <alignment/>
    </xf>
    <xf numFmtId="165" fontId="26" fillId="0" borderId="0" xfId="0" applyNumberFormat="1" applyFont="1" applyBorder="1" applyAlignment="1">
      <alignment/>
    </xf>
    <xf numFmtId="10" fontId="26" fillId="0" borderId="0" xfId="59" applyNumberFormat="1" applyFont="1" applyAlignment="1">
      <alignment/>
    </xf>
    <xf numFmtId="172" fontId="26" fillId="0" borderId="0" xfId="59" applyNumberFormat="1" applyFont="1" applyBorder="1" applyAlignment="1">
      <alignment/>
    </xf>
    <xf numFmtId="10" fontId="26" fillId="0" borderId="0" xfId="59" applyNumberFormat="1" applyFont="1" applyBorder="1" applyAlignment="1">
      <alignment/>
    </xf>
    <xf numFmtId="3" fontId="26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3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/>
    </xf>
    <xf numFmtId="3" fontId="9" fillId="0" borderId="16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center"/>
    </xf>
    <xf numFmtId="171" fontId="9" fillId="0" borderId="16" xfId="42" applyNumberFormat="1" applyFont="1" applyFill="1" applyBorder="1" applyAlignment="1">
      <alignment horizontal="center"/>
    </xf>
    <xf numFmtId="3" fontId="26" fillId="0" borderId="0" xfId="0" applyNumberFormat="1" applyFont="1" applyBorder="1" applyAlignment="1">
      <alignment/>
    </xf>
    <xf numFmtId="0" fontId="9" fillId="0" borderId="17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3" fontId="25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26" fillId="0" borderId="18" xfId="0" applyNumberFormat="1" applyFont="1" applyBorder="1" applyAlignment="1">
      <alignment horizontal="center"/>
    </xf>
    <xf numFmtId="3" fontId="26" fillId="0" borderId="1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\Rates\1999\Wkp\Misc%20Expens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AG_MJM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AG_MJM-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OAG_MJM-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%20Drive%20Stuff\3-310%20-%20WY%20AE\DR%20Responses\Company%20Schedules%20and%20Workpapers\MP%20and%20PE%20Combined\WV%20STATEMENT%20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%20Drive%20Stuff\3-310%20-%20WY%20AE\SK%20Analysis\sheets%20not%20u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nk In"/>
      <sheetName val="Link Out"/>
      <sheetName val="Miscellaneous"/>
      <sheetName val="Other Amort"/>
      <sheetName val="401k Exp"/>
      <sheetName val="Transp Exp"/>
      <sheetName val="Community Education"/>
      <sheetName val="Database"/>
      <sheetName val="Pivot Table"/>
      <sheetName val="Historic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ch 1"/>
      <sheetName val="Sch 2"/>
      <sheetName val="Sch 3"/>
    </sheetNames>
    <sheetDataSet>
      <sheetData sheetId="1">
        <row r="16">
          <cell r="H16">
            <v>413549</v>
          </cell>
        </row>
        <row r="25">
          <cell r="H25">
            <v>-269000</v>
          </cell>
        </row>
        <row r="43">
          <cell r="D43">
            <v>202100689.58333334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ch 1 Con Taxes"/>
      <sheetName val="Sch 2 Excess Mgmt fees"/>
      <sheetName val="Sch 3 Depreciation"/>
      <sheetName val="3- SK Rates"/>
      <sheetName val="3 - SK NS FOR 333"/>
      <sheetName val="3- NS comp"/>
      <sheetName val="Sch 4 Incentive Pay"/>
      <sheetName val="Sch 5 Group Insurance"/>
      <sheetName val="Sch 6 BD Mgmt Fees"/>
      <sheetName val="Sch 7 Maint Tech"/>
      <sheetName val="Sch 8 Int Syc"/>
    </sheetNames>
    <sheetDataSet>
      <sheetData sheetId="1">
        <row r="25">
          <cell r="C25">
            <v>894416.206145</v>
          </cell>
        </row>
      </sheetData>
      <sheetData sheetId="2">
        <row r="19">
          <cell r="D19">
            <v>-922871</v>
          </cell>
        </row>
        <row r="23">
          <cell r="D23">
            <v>358996.819</v>
          </cell>
        </row>
      </sheetData>
      <sheetData sheetId="3">
        <row r="17">
          <cell r="D17">
            <v>-416463.2742365198</v>
          </cell>
        </row>
        <row r="21">
          <cell r="D21">
            <v>162004.21367800623</v>
          </cell>
        </row>
      </sheetData>
      <sheetData sheetId="7">
        <row r="15">
          <cell r="D15">
            <v>-252550</v>
          </cell>
        </row>
        <row r="19">
          <cell r="D19">
            <v>98241.95</v>
          </cell>
        </row>
      </sheetData>
      <sheetData sheetId="8">
        <row r="17">
          <cell r="D17">
            <v>-114696</v>
          </cell>
        </row>
        <row r="21">
          <cell r="D21">
            <v>44616.744</v>
          </cell>
        </row>
      </sheetData>
      <sheetData sheetId="9">
        <row r="15">
          <cell r="D15">
            <v>-79365</v>
          </cell>
        </row>
        <row r="19">
          <cell r="D19">
            <v>30872.985</v>
          </cell>
        </row>
      </sheetData>
      <sheetData sheetId="10">
        <row r="15">
          <cell r="D15">
            <v>-12497</v>
          </cell>
        </row>
        <row r="19">
          <cell r="D19">
            <v>4861.3330000000005</v>
          </cell>
        </row>
      </sheetData>
      <sheetData sheetId="11">
        <row r="25">
          <cell r="D25">
            <v>13772.236406299993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-Combined"/>
      <sheetName val="Combined A&amp;R"/>
      <sheetName val="Combined B&amp;G"/>
      <sheetName val="Combined C&amp;E"/>
      <sheetName val="Combined CSH"/>
      <sheetName val="Combined D&amp;PH"/>
      <sheetName val="Combined K&amp;PP"/>
      <sheetName val="Combined P&amp;LP"/>
      <sheetName val="Combined AGS"/>
      <sheetName val="Combined Lighting"/>
      <sheetName val="Summary-MP"/>
      <sheetName val="A"/>
      <sheetName val="B"/>
      <sheetName val="C"/>
      <sheetName val="CSH-MP"/>
      <sheetName val="D"/>
      <sheetName val="K"/>
      <sheetName val="P"/>
      <sheetName val="AGS-MP"/>
      <sheetName val="SL-P"/>
      <sheetName val="MV"/>
      <sheetName val="SV"/>
      <sheetName val="EMU-MP"/>
      <sheetName val="MU-MP"/>
      <sheetName val="EM-MP"/>
      <sheetName val="LIT"/>
      <sheetName val="Summary-PE"/>
      <sheetName val="R"/>
      <sheetName val="G"/>
      <sheetName val="E"/>
      <sheetName val="CSH-PE"/>
      <sheetName val="PH"/>
      <sheetName val="PP"/>
      <sheetName val="LP"/>
      <sheetName val="AGS-PE"/>
      <sheetName val="OL"/>
      <sheetName val="AL"/>
      <sheetName val="MSL"/>
      <sheetName val="SL"/>
      <sheetName val="EMU-PE"/>
      <sheetName val="MU-PE"/>
      <sheetName val="EM-PE"/>
      <sheetName val="Revenue Requirement"/>
      <sheetName val="ENEC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mt. B"/>
      <sheetName val="Stmt. B, S. 1"/>
      <sheetName val="old summary"/>
      <sheetName val="Byron ENEC calculation"/>
      <sheetName val="15 -Cons. Tax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workbookViewId="0" topLeftCell="A1">
      <selection activeCell="A6" sqref="A6:C6"/>
    </sheetView>
  </sheetViews>
  <sheetFormatPr defaultColWidth="8.88671875" defaultRowHeight="15"/>
  <cols>
    <col min="1" max="1" width="9.6640625" style="74" bestFit="1" customWidth="1"/>
    <col min="2" max="2" width="2.5546875" style="74" customWidth="1"/>
    <col min="3" max="3" width="48.3359375" style="74" bestFit="1" customWidth="1"/>
    <col min="4" max="4" width="3.10546875" style="74" customWidth="1"/>
    <col min="5" max="16384" width="8.88671875" style="74" customWidth="1"/>
  </cols>
  <sheetData>
    <row r="1" s="73" customFormat="1" ht="15"/>
    <row r="2" spans="1:3" ht="15.75">
      <c r="A2" s="90" t="s">
        <v>130</v>
      </c>
      <c r="B2" s="91"/>
      <c r="C2" s="92"/>
    </row>
    <row r="3" spans="1:3" ht="23.25" customHeight="1">
      <c r="A3" s="90" t="s">
        <v>131</v>
      </c>
      <c r="B3" s="91"/>
      <c r="C3" s="92"/>
    </row>
    <row r="6" spans="1:3" s="78" customFormat="1" ht="15.75">
      <c r="A6" s="87" t="s">
        <v>123</v>
      </c>
      <c r="B6" s="88"/>
      <c r="C6" s="89"/>
    </row>
    <row r="7" spans="1:3" s="78" customFormat="1" ht="15.75">
      <c r="A7" s="75"/>
      <c r="B7" s="76"/>
      <c r="C7" s="77"/>
    </row>
    <row r="8" s="78" customFormat="1" ht="15"/>
    <row r="9" spans="1:3" s="78" customFormat="1" ht="15">
      <c r="A9" s="78" t="s">
        <v>124</v>
      </c>
      <c r="C9" s="78" t="s">
        <v>127</v>
      </c>
    </row>
    <row r="10" s="78" customFormat="1" ht="15"/>
    <row r="11" spans="1:3" s="78" customFormat="1" ht="15">
      <c r="A11" s="78" t="s">
        <v>125</v>
      </c>
      <c r="C11" s="78" t="s">
        <v>129</v>
      </c>
    </row>
    <row r="12" spans="1:5" s="81" customFormat="1" ht="15.75">
      <c r="A12" s="79"/>
      <c r="B12" s="80"/>
      <c r="C12" s="80"/>
      <c r="D12" s="80"/>
      <c r="E12" s="80"/>
    </row>
    <row r="13" spans="1:3" ht="15">
      <c r="A13" s="80" t="s">
        <v>126</v>
      </c>
      <c r="C13" s="74" t="s">
        <v>128</v>
      </c>
    </row>
  </sheetData>
  <mergeCells count="3">
    <mergeCell ref="A6:C6"/>
    <mergeCell ref="A2:C2"/>
    <mergeCell ref="A3:C3"/>
  </mergeCells>
  <printOptions horizontalCentered="1"/>
  <pageMargins left="0.75" right="0.75" top="1.3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62"/>
  <sheetViews>
    <sheetView showOutlineSymbols="0" workbookViewId="0" topLeftCell="A9">
      <selection activeCell="H14" sqref="H14"/>
    </sheetView>
  </sheetViews>
  <sheetFormatPr defaultColWidth="8.88671875" defaultRowHeight="15"/>
  <cols>
    <col min="1" max="1" width="4.77734375" style="2" customWidth="1"/>
    <col min="2" max="2" width="47.5546875" style="2" bestFit="1" customWidth="1"/>
    <col min="3" max="3" width="11.77734375" style="2" customWidth="1"/>
    <col min="4" max="4" width="3.21484375" style="2" customWidth="1"/>
    <col min="5" max="5" width="11.77734375" style="2" customWidth="1"/>
    <col min="6" max="6" width="1.1171875" style="2" customWidth="1"/>
    <col min="7" max="7" width="11.10546875" style="2" customWidth="1"/>
    <col min="8" max="16384" width="9.77734375" style="2" customWidth="1"/>
  </cols>
  <sheetData>
    <row r="1" spans="1:7" ht="15">
      <c r="A1" s="93" t="s">
        <v>0</v>
      </c>
      <c r="B1" s="93"/>
      <c r="C1" s="93"/>
      <c r="D1" s="93"/>
      <c r="E1" s="93"/>
      <c r="F1" s="93"/>
      <c r="G1" s="93"/>
    </row>
    <row r="2" spans="1:7" ht="15">
      <c r="A2" s="94" t="s">
        <v>1</v>
      </c>
      <c r="B2" s="94"/>
      <c r="C2" s="94"/>
      <c r="D2" s="94"/>
      <c r="E2" s="94"/>
      <c r="F2" s="94"/>
      <c r="G2" s="94"/>
    </row>
    <row r="3" spans="1:7" ht="15">
      <c r="A3" s="93" t="s">
        <v>2</v>
      </c>
      <c r="B3" s="93"/>
      <c r="C3" s="93"/>
      <c r="D3" s="93"/>
      <c r="E3" s="93"/>
      <c r="F3" s="93"/>
      <c r="G3" s="93"/>
    </row>
    <row r="4" spans="1:7" ht="15">
      <c r="A4" s="94" t="s">
        <v>3</v>
      </c>
      <c r="B4" s="94"/>
      <c r="C4" s="94"/>
      <c r="D4" s="94"/>
      <c r="E4" s="94"/>
      <c r="F4" s="94"/>
      <c r="G4" s="94"/>
    </row>
    <row r="5" ht="15">
      <c r="A5" s="3"/>
    </row>
    <row r="6" ht="15">
      <c r="A6" s="3"/>
    </row>
    <row r="7" ht="15">
      <c r="A7" s="4"/>
    </row>
    <row r="9" spans="3:5" s="5" customFormat="1" ht="14.25">
      <c r="C9" s="6" t="s">
        <v>4</v>
      </c>
      <c r="E9" s="6" t="s">
        <v>5</v>
      </c>
    </row>
    <row r="10" spans="1:5" ht="14.25">
      <c r="A10" s="5"/>
      <c r="B10" s="5"/>
      <c r="C10" s="6" t="s">
        <v>6</v>
      </c>
      <c r="D10" s="5"/>
      <c r="E10" s="6" t="s">
        <v>6</v>
      </c>
    </row>
    <row r="11" spans="1:5" ht="14.25">
      <c r="A11" s="7" t="s">
        <v>7</v>
      </c>
      <c r="C11" s="7" t="s">
        <v>8</v>
      </c>
      <c r="E11" s="7" t="s">
        <v>8</v>
      </c>
    </row>
    <row r="12" spans="1:7" ht="15" thickBot="1">
      <c r="A12" s="7" t="s">
        <v>9</v>
      </c>
      <c r="B12" s="7" t="s">
        <v>10</v>
      </c>
      <c r="C12" s="7" t="s">
        <v>11</v>
      </c>
      <c r="D12" s="5"/>
      <c r="E12" s="7" t="s">
        <v>11</v>
      </c>
      <c r="F12" s="6"/>
      <c r="G12" s="72" t="s">
        <v>132</v>
      </c>
    </row>
    <row r="13" spans="1:7" ht="14.25">
      <c r="A13" s="8">
        <v>1</v>
      </c>
      <c r="B13" s="9"/>
      <c r="C13" s="8" t="s">
        <v>133</v>
      </c>
      <c r="D13" s="6"/>
      <c r="E13" s="8" t="s">
        <v>134</v>
      </c>
      <c r="F13" s="7"/>
      <c r="G13" s="7" t="s">
        <v>135</v>
      </c>
    </row>
    <row r="14" ht="14.25">
      <c r="A14" s="7">
        <v>2</v>
      </c>
    </row>
    <row r="15" ht="14.25">
      <c r="A15" s="7">
        <v>3</v>
      </c>
    </row>
    <row r="16" spans="1:7" ht="14.25">
      <c r="A16" s="7">
        <v>4</v>
      </c>
      <c r="B16" s="2" t="s">
        <v>12</v>
      </c>
      <c r="C16" s="10">
        <v>202100689.58333334</v>
      </c>
      <c r="D16" s="11"/>
      <c r="E16" s="10">
        <f>+'Sch 2'!Q60</f>
        <v>202245238.58333334</v>
      </c>
      <c r="G16" s="10">
        <f>+E16-C16</f>
        <v>144549</v>
      </c>
    </row>
    <row r="17" spans="1:7" ht="14.25">
      <c r="A17" s="7">
        <v>5</v>
      </c>
      <c r="C17" s="11"/>
      <c r="D17" s="11"/>
      <c r="E17" s="11"/>
      <c r="G17" s="11"/>
    </row>
    <row r="18" spans="1:7" ht="14.25">
      <c r="A18" s="7">
        <v>6</v>
      </c>
      <c r="B18" s="2" t="s">
        <v>13</v>
      </c>
      <c r="C18" s="12">
        <f>+'Sch 2'!D57</f>
        <v>10805614.429196618</v>
      </c>
      <c r="D18" s="11"/>
      <c r="E18" s="12">
        <f>+'Sch 2'!Q57</f>
        <v>12785106.62849383</v>
      </c>
      <c r="G18" s="12">
        <f>+E18-C18</f>
        <v>1979492.199297212</v>
      </c>
    </row>
    <row r="19" ht="14.25">
      <c r="A19" s="7">
        <v>7</v>
      </c>
    </row>
    <row r="20" spans="1:7" ht="14.25">
      <c r="A20" s="7">
        <v>8</v>
      </c>
      <c r="B20" s="2" t="s">
        <v>14</v>
      </c>
      <c r="C20" s="13">
        <f>ROUND(C18/C16,5)</f>
        <v>0.05347</v>
      </c>
      <c r="E20" s="13">
        <f>ROUND(E18/E16,5)</f>
        <v>0.06322</v>
      </c>
      <c r="G20" s="13"/>
    </row>
    <row r="21" ht="14.25">
      <c r="A21" s="7">
        <v>9</v>
      </c>
    </row>
    <row r="22" spans="1:7" ht="14.25">
      <c r="A22" s="7">
        <v>10</v>
      </c>
      <c r="B22" s="2" t="s">
        <v>15</v>
      </c>
      <c r="C22" s="13">
        <v>0.0864</v>
      </c>
      <c r="E22" s="13">
        <v>0.0777</v>
      </c>
      <c r="G22" s="13"/>
    </row>
    <row r="23" ht="14.25">
      <c r="A23" s="7">
        <v>11</v>
      </c>
    </row>
    <row r="24" spans="1:7" ht="14.25">
      <c r="A24" s="7">
        <v>12</v>
      </c>
      <c r="B24" s="2" t="s">
        <v>16</v>
      </c>
      <c r="C24" s="14">
        <f>ROUND(C22*C16,0)</f>
        <v>17461500</v>
      </c>
      <c r="E24" s="14">
        <f>ROUND(E22*E16,0)</f>
        <v>15714455</v>
      </c>
      <c r="G24" s="14">
        <f>+E24-C24</f>
        <v>-1747045</v>
      </c>
    </row>
    <row r="25" ht="14.25">
      <c r="A25" s="7">
        <v>13</v>
      </c>
    </row>
    <row r="26" spans="1:7" ht="14.25">
      <c r="A26" s="7">
        <v>14</v>
      </c>
      <c r="B26" s="2" t="s">
        <v>17</v>
      </c>
      <c r="C26" s="15">
        <f>C24-C18</f>
        <v>6655885.5708033815</v>
      </c>
      <c r="D26" s="16"/>
      <c r="E26" s="15">
        <f>E24-E18</f>
        <v>2929348.3715061694</v>
      </c>
      <c r="G26" s="15">
        <f>+E26-C26</f>
        <v>-3726537.199297212</v>
      </c>
    </row>
    <row r="27" ht="14.25">
      <c r="A27" s="7">
        <v>15</v>
      </c>
    </row>
    <row r="28" spans="1:7" ht="14.25">
      <c r="A28" s="7">
        <v>16</v>
      </c>
      <c r="B28" s="2" t="s">
        <v>18</v>
      </c>
      <c r="C28" s="17">
        <f>+'Sch 3'!F30</f>
        <v>1.6534938</v>
      </c>
      <c r="E28" s="17">
        <f>+'Sch 3'!J30</f>
        <v>1.6524921</v>
      </c>
      <c r="G28" s="17"/>
    </row>
    <row r="29" ht="14.25">
      <c r="A29" s="7">
        <v>17</v>
      </c>
    </row>
    <row r="30" spans="1:7" ht="14.25">
      <c r="A30" s="7">
        <v>18</v>
      </c>
      <c r="B30" s="2" t="s">
        <v>19</v>
      </c>
      <c r="C30" s="15">
        <f>ROUND(C28*C26,1)-1</f>
        <v>11005464.5</v>
      </c>
      <c r="D30" s="16"/>
      <c r="E30" s="15">
        <f>ROUND(E28*E26,1)-1</f>
        <v>4840724</v>
      </c>
      <c r="G30" s="15">
        <f>+E30-C30</f>
        <v>-6164740.5</v>
      </c>
    </row>
    <row r="31" ht="14.25">
      <c r="A31" s="7">
        <v>19</v>
      </c>
    </row>
    <row r="32" spans="1:7" ht="14.25">
      <c r="A32" s="7">
        <v>20</v>
      </c>
      <c r="B32" s="2" t="s">
        <v>20</v>
      </c>
      <c r="C32" s="18">
        <v>53003297</v>
      </c>
      <c r="E32" s="18">
        <f>+'Sch 2'!Q15</f>
        <v>53003297</v>
      </c>
      <c r="G32" s="18">
        <f>+E32-C32</f>
        <v>0</v>
      </c>
    </row>
    <row r="33" ht="14.25">
      <c r="A33" s="7">
        <v>21</v>
      </c>
    </row>
    <row r="34" spans="1:7" ht="15" thickBot="1">
      <c r="A34" s="7">
        <v>22</v>
      </c>
      <c r="B34" s="2" t="s">
        <v>21</v>
      </c>
      <c r="C34" s="19">
        <f>C32+C30</f>
        <v>64008761.5</v>
      </c>
      <c r="D34" s="11"/>
      <c r="E34" s="19">
        <f>E32+E30</f>
        <v>57844021</v>
      </c>
      <c r="G34" s="19">
        <f>+E34-C34</f>
        <v>-6164740.5</v>
      </c>
    </row>
    <row r="35" ht="15" thickTop="1">
      <c r="A35" s="7"/>
    </row>
    <row r="36" ht="14.25">
      <c r="A36" s="7"/>
    </row>
    <row r="37" ht="14.25">
      <c r="A37" s="7"/>
    </row>
    <row r="38" ht="14.25">
      <c r="A38" s="7"/>
    </row>
    <row r="39" ht="14.25">
      <c r="A39" s="7"/>
    </row>
    <row r="40" ht="14.25">
      <c r="A40" s="7"/>
    </row>
    <row r="41" ht="14.25">
      <c r="A41" s="7"/>
    </row>
    <row r="42" ht="14.25">
      <c r="A42" s="7"/>
    </row>
    <row r="43" spans="1:3" ht="14.25">
      <c r="A43" s="7"/>
      <c r="C43" s="20"/>
    </row>
    <row r="44" spans="1:3" ht="14.25">
      <c r="A44" s="7"/>
      <c r="C44" s="20"/>
    </row>
    <row r="45" spans="1:3" ht="14.25">
      <c r="A45" s="7"/>
      <c r="C45" s="20"/>
    </row>
    <row r="46" ht="14.25">
      <c r="A46" s="7"/>
    </row>
    <row r="47" ht="14.25">
      <c r="A47" s="7"/>
    </row>
    <row r="48" ht="14.25">
      <c r="A48" s="7"/>
    </row>
    <row r="49" ht="14.25">
      <c r="A49" s="7"/>
    </row>
    <row r="50" ht="14.25">
      <c r="A50" s="7"/>
    </row>
    <row r="51" ht="14.25">
      <c r="A51" s="7"/>
    </row>
    <row r="52" ht="14.25">
      <c r="A52" s="7"/>
    </row>
    <row r="53" ht="14.25">
      <c r="A53" s="7"/>
    </row>
    <row r="54" ht="14.25">
      <c r="A54" s="7"/>
    </row>
    <row r="55" ht="14.25">
      <c r="A55" s="7"/>
    </row>
    <row r="56" ht="14.25">
      <c r="A56" s="7"/>
    </row>
    <row r="57" ht="14.25">
      <c r="A57" s="7"/>
    </row>
    <row r="58" ht="14.25">
      <c r="A58" s="7"/>
    </row>
    <row r="59" ht="14.25">
      <c r="A59" s="7"/>
    </row>
    <row r="60" ht="14.25">
      <c r="A60" s="7"/>
    </row>
    <row r="61" ht="14.25">
      <c r="A61" s="7"/>
    </row>
    <row r="62" ht="14.25">
      <c r="A62" s="7"/>
    </row>
  </sheetData>
  <mergeCells count="4">
    <mergeCell ref="A1:G1"/>
    <mergeCell ref="A2:G2"/>
    <mergeCell ref="A3:G3"/>
    <mergeCell ref="A4:G4"/>
  </mergeCells>
  <printOptions horizontalCentered="1"/>
  <pageMargins left="0.5" right="0.5" top="0.65" bottom="0.5" header="0" footer="0.25"/>
  <pageSetup fitToHeight="1" fitToWidth="1" horizontalDpi="300" verticalDpi="300" orientation="landscape" r:id="rId1"/>
  <headerFooter alignWithMargins="0">
    <oddHeader>&amp;RExhibit___(MJM-1)
Schedule 1
Page 1 of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74"/>
  <sheetViews>
    <sheetView showOutlineSymbols="0" workbookViewId="0" topLeftCell="A1">
      <selection activeCell="A3" sqref="A3:Q3"/>
    </sheetView>
  </sheetViews>
  <sheetFormatPr defaultColWidth="8.88671875" defaultRowHeight="15"/>
  <cols>
    <col min="1" max="1" width="4.77734375" style="21" customWidth="1"/>
    <col min="2" max="2" width="23.4453125" style="21" bestFit="1" customWidth="1"/>
    <col min="3" max="3" width="3.10546875" style="21" customWidth="1"/>
    <col min="4" max="4" width="10.99609375" style="21" customWidth="1"/>
    <col min="5" max="5" width="3.5546875" style="21" customWidth="1"/>
    <col min="6" max="6" width="8.77734375" style="24" bestFit="1" customWidth="1"/>
    <col min="7" max="7" width="9.10546875" style="21" customWidth="1"/>
    <col min="8" max="8" width="9.88671875" style="21" customWidth="1"/>
    <col min="9" max="9" width="9.10546875" style="21" bestFit="1" customWidth="1"/>
    <col min="10" max="10" width="8.77734375" style="21" bestFit="1" customWidth="1"/>
    <col min="11" max="11" width="8.6640625" style="21" customWidth="1"/>
    <col min="12" max="12" width="8.99609375" style="21" customWidth="1"/>
    <col min="13" max="13" width="8.5546875" style="21" bestFit="1" customWidth="1"/>
    <col min="14" max="14" width="8.4453125" style="21" bestFit="1" customWidth="1"/>
    <col min="15" max="15" width="11.10546875" style="21" bestFit="1" customWidth="1"/>
    <col min="16" max="16" width="9.77734375" style="25" bestFit="1" customWidth="1"/>
    <col min="17" max="17" width="11.21484375" style="21" customWidth="1"/>
    <col min="18" max="16384" width="9.77734375" style="21" customWidth="1"/>
  </cols>
  <sheetData>
    <row r="1" spans="1:17" ht="15.7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4" ht="12.75">
      <c r="A2" s="22"/>
      <c r="B2" s="23"/>
      <c r="C2" s="23"/>
      <c r="D2" s="23"/>
    </row>
    <row r="3" spans="1:17" ht="15.75" customHeight="1">
      <c r="A3" s="95" t="s">
        <v>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2:6" s="2" customFormat="1" ht="14.25">
      <c r="B4" s="1"/>
      <c r="C4" s="1"/>
      <c r="D4" s="1"/>
      <c r="E4" s="1"/>
      <c r="F4" s="1"/>
    </row>
    <row r="5" ht="12.75">
      <c r="A5" s="26"/>
    </row>
    <row r="6" ht="12.75">
      <c r="A6" s="26"/>
    </row>
    <row r="7" spans="1:17" s="28" customFormat="1" ht="14.25" customHeight="1">
      <c r="A7" s="27"/>
      <c r="D7" s="29" t="s">
        <v>4</v>
      </c>
      <c r="F7" s="30" t="s">
        <v>23</v>
      </c>
      <c r="G7" s="30" t="s">
        <v>24</v>
      </c>
      <c r="H7" s="30" t="s">
        <v>25</v>
      </c>
      <c r="I7" s="30" t="s">
        <v>26</v>
      </c>
      <c r="J7" s="30" t="s">
        <v>27</v>
      </c>
      <c r="K7" s="30" t="s">
        <v>28</v>
      </c>
      <c r="L7" s="30" t="s">
        <v>29</v>
      </c>
      <c r="M7" s="30" t="s">
        <v>30</v>
      </c>
      <c r="N7" s="30" t="s">
        <v>31</v>
      </c>
      <c r="O7" s="30" t="s">
        <v>32</v>
      </c>
      <c r="P7" s="31"/>
      <c r="Q7" s="32" t="s">
        <v>5</v>
      </c>
    </row>
    <row r="8" spans="1:17" ht="12.75">
      <c r="A8" s="28"/>
      <c r="B8" s="28"/>
      <c r="C8" s="28"/>
      <c r="D8" s="29" t="s">
        <v>33</v>
      </c>
      <c r="F8" s="32" t="s">
        <v>34</v>
      </c>
      <c r="G8" s="32" t="s">
        <v>35</v>
      </c>
      <c r="H8" s="32"/>
      <c r="I8" s="32" t="s">
        <v>36</v>
      </c>
      <c r="J8" s="32"/>
      <c r="K8" s="32"/>
      <c r="L8" s="32"/>
      <c r="M8" s="32" t="s">
        <v>37</v>
      </c>
      <c r="O8" s="32"/>
      <c r="P8" s="33" t="s">
        <v>38</v>
      </c>
      <c r="Q8" s="32" t="s">
        <v>39</v>
      </c>
    </row>
    <row r="9" spans="1:17" ht="12.75">
      <c r="A9" s="32" t="s">
        <v>7</v>
      </c>
      <c r="D9" s="32" t="s">
        <v>40</v>
      </c>
      <c r="F9" s="29" t="s">
        <v>41</v>
      </c>
      <c r="G9" s="32" t="s">
        <v>42</v>
      </c>
      <c r="H9" s="32" t="s">
        <v>43</v>
      </c>
      <c r="I9" s="32" t="s">
        <v>44</v>
      </c>
      <c r="J9" s="32" t="s">
        <v>34</v>
      </c>
      <c r="K9" s="32" t="s">
        <v>45</v>
      </c>
      <c r="L9" s="32" t="s">
        <v>46</v>
      </c>
      <c r="M9" s="32" t="s">
        <v>47</v>
      </c>
      <c r="N9" s="21" t="s">
        <v>48</v>
      </c>
      <c r="O9" s="32" t="s">
        <v>49</v>
      </c>
      <c r="P9" s="33" t="s">
        <v>5</v>
      </c>
      <c r="Q9" s="32" t="s">
        <v>50</v>
      </c>
    </row>
    <row r="10" spans="1:17" ht="13.5" thickBot="1">
      <c r="A10" s="32" t="s">
        <v>9</v>
      </c>
      <c r="B10" s="32" t="s">
        <v>51</v>
      </c>
      <c r="D10" s="32" t="s">
        <v>52</v>
      </c>
      <c r="E10" s="28"/>
      <c r="F10" s="86" t="s">
        <v>53</v>
      </c>
      <c r="G10" s="83" t="s">
        <v>54</v>
      </c>
      <c r="H10" s="83" t="s">
        <v>55</v>
      </c>
      <c r="I10" s="83" t="s">
        <v>56</v>
      </c>
      <c r="J10" s="83" t="s">
        <v>57</v>
      </c>
      <c r="K10" s="83" t="s">
        <v>58</v>
      </c>
      <c r="L10" s="83" t="s">
        <v>59</v>
      </c>
      <c r="M10" s="83" t="s">
        <v>60</v>
      </c>
      <c r="N10" s="82" t="s">
        <v>61</v>
      </c>
      <c r="O10" s="83" t="s">
        <v>62</v>
      </c>
      <c r="P10" s="84" t="s">
        <v>63</v>
      </c>
      <c r="Q10" s="83" t="s">
        <v>64</v>
      </c>
    </row>
    <row r="11" spans="1:6" ht="12.75">
      <c r="A11" s="34">
        <v>1</v>
      </c>
      <c r="B11" s="35"/>
      <c r="C11" s="35"/>
      <c r="D11" s="35"/>
      <c r="F11" s="46"/>
    </row>
    <row r="12" spans="1:2" ht="12.75">
      <c r="A12" s="32">
        <v>2</v>
      </c>
      <c r="B12" s="36" t="s">
        <v>65</v>
      </c>
    </row>
    <row r="13" spans="1:17" ht="12.75">
      <c r="A13" s="32">
        <v>3</v>
      </c>
      <c r="B13" s="21" t="s">
        <v>66</v>
      </c>
      <c r="D13" s="37">
        <v>49242905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f>SUM(F13:O13)</f>
        <v>0</v>
      </c>
      <c r="Q13" s="21">
        <f>+D13+P13</f>
        <v>49242905</v>
      </c>
    </row>
    <row r="14" spans="1:17" ht="12.75">
      <c r="A14" s="32">
        <v>4</v>
      </c>
      <c r="B14" s="21" t="s">
        <v>67</v>
      </c>
      <c r="D14" s="39">
        <v>3760392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f>SUM(F14:O14)</f>
        <v>0</v>
      </c>
      <c r="Q14" s="21">
        <f>+D14+P14</f>
        <v>3760392</v>
      </c>
    </row>
    <row r="15" spans="1:17" ht="12.75">
      <c r="A15" s="32">
        <v>5</v>
      </c>
      <c r="D15" s="40">
        <f>D13+D14</f>
        <v>53003297</v>
      </c>
      <c r="F15" s="41">
        <f>F13+F14</f>
        <v>0</v>
      </c>
      <c r="G15" s="41">
        <f>G13+G14</f>
        <v>0</v>
      </c>
      <c r="H15" s="41">
        <f>H13+H14</f>
        <v>0</v>
      </c>
      <c r="I15" s="41">
        <f aca="true" t="shared" si="0" ref="I15:P15">I13+I14</f>
        <v>0</v>
      </c>
      <c r="J15" s="41">
        <f t="shared" si="0"/>
        <v>0</v>
      </c>
      <c r="K15" s="41">
        <f t="shared" si="0"/>
        <v>0</v>
      </c>
      <c r="L15" s="41">
        <f t="shared" si="0"/>
        <v>0</v>
      </c>
      <c r="M15" s="41">
        <f t="shared" si="0"/>
        <v>0</v>
      </c>
      <c r="N15" s="41">
        <f t="shared" si="0"/>
        <v>0</v>
      </c>
      <c r="O15" s="41">
        <f t="shared" si="0"/>
        <v>0</v>
      </c>
      <c r="P15" s="41">
        <f t="shared" si="0"/>
        <v>0</v>
      </c>
      <c r="Q15" s="42">
        <f>Q13+Q14</f>
        <v>53003297</v>
      </c>
    </row>
    <row r="16" spans="1:4" ht="12.75">
      <c r="A16" s="32">
        <v>6</v>
      </c>
      <c r="B16" s="36" t="s">
        <v>68</v>
      </c>
      <c r="D16" s="43"/>
    </row>
    <row r="17" spans="1:17" ht="12.75">
      <c r="A17" s="32">
        <v>7</v>
      </c>
      <c r="B17" s="21" t="s">
        <v>69</v>
      </c>
      <c r="D17" s="44">
        <v>6248477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f>+'[4]Sch 4 Incentive Pay'!D15</f>
        <v>-252550</v>
      </c>
      <c r="L17" s="38">
        <v>0</v>
      </c>
      <c r="M17" s="38">
        <v>0</v>
      </c>
      <c r="N17" s="38">
        <f>+'[4]Sch 7 Maint Tech'!D15</f>
        <v>-12497</v>
      </c>
      <c r="O17" s="38">
        <v>0</v>
      </c>
      <c r="P17" s="38">
        <f>SUM(F17:O17)</f>
        <v>-265047</v>
      </c>
      <c r="Q17" s="38">
        <f aca="true" t="shared" si="1" ref="Q17:Q31">+D17+P17</f>
        <v>5983430</v>
      </c>
    </row>
    <row r="18" spans="1:17" ht="12.75">
      <c r="A18" s="32">
        <v>8</v>
      </c>
      <c r="B18" s="21" t="s">
        <v>70</v>
      </c>
      <c r="D18" s="45">
        <v>477462.973597864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f>SUM(F18:O18)</f>
        <v>0</v>
      </c>
      <c r="Q18" s="25">
        <f t="shared" si="1"/>
        <v>477462.973597864</v>
      </c>
    </row>
    <row r="19" spans="1:17" ht="12.75">
      <c r="A19" s="32">
        <v>9</v>
      </c>
      <c r="B19" s="21" t="s">
        <v>71</v>
      </c>
      <c r="D19" s="45">
        <v>2986276.9749717405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f aca="true" t="shared" si="2" ref="P19:P31">SUM(F19:O19)</f>
        <v>0</v>
      </c>
      <c r="Q19" s="25">
        <f t="shared" si="1"/>
        <v>2986276.9749717405</v>
      </c>
    </row>
    <row r="20" spans="1:17" ht="12.75">
      <c r="A20" s="32">
        <v>10</v>
      </c>
      <c r="B20" s="21" t="s">
        <v>72</v>
      </c>
      <c r="D20" s="45">
        <v>1505218.0783944097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f t="shared" si="2"/>
        <v>0</v>
      </c>
      <c r="Q20" s="25">
        <f t="shared" si="1"/>
        <v>1505218.0783944097</v>
      </c>
    </row>
    <row r="21" spans="1:17" ht="12.75">
      <c r="A21" s="32">
        <v>11</v>
      </c>
      <c r="B21" s="21" t="s">
        <v>73</v>
      </c>
      <c r="D21" s="45">
        <v>262237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f t="shared" si="2"/>
        <v>0</v>
      </c>
      <c r="Q21" s="25">
        <f t="shared" si="1"/>
        <v>262237</v>
      </c>
    </row>
    <row r="22" spans="1:17" ht="12.75">
      <c r="A22" s="32">
        <v>12</v>
      </c>
      <c r="B22" s="21" t="s">
        <v>74</v>
      </c>
      <c r="D22" s="45">
        <v>6201194.48</v>
      </c>
      <c r="F22" s="25">
        <v>0</v>
      </c>
      <c r="G22" s="25">
        <v>0</v>
      </c>
      <c r="H22" s="25">
        <v>0</v>
      </c>
      <c r="I22" s="25">
        <f>+'[4]Sch 2 Excess Mgmt fees'!D19</f>
        <v>-922871</v>
      </c>
      <c r="J22" s="25">
        <v>0</v>
      </c>
      <c r="K22" s="25">
        <v>0</v>
      </c>
      <c r="L22" s="25">
        <v>0</v>
      </c>
      <c r="M22" s="25">
        <f>+'[4]Sch 6 BD Mgmt Fees'!D15</f>
        <v>-79365</v>
      </c>
      <c r="N22" s="25">
        <v>0</v>
      </c>
      <c r="O22" s="25">
        <v>0</v>
      </c>
      <c r="P22" s="25">
        <f t="shared" si="2"/>
        <v>-1002236</v>
      </c>
      <c r="Q22" s="25">
        <f t="shared" si="1"/>
        <v>5198958.48</v>
      </c>
    </row>
    <row r="23" spans="1:17" ht="12.75">
      <c r="A23" s="32">
        <v>13</v>
      </c>
      <c r="B23" s="21" t="s">
        <v>75</v>
      </c>
      <c r="D23" s="45">
        <v>1876895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f>+'[4]Sch 5 Group Insurance'!D17</f>
        <v>-114696</v>
      </c>
      <c r="M23" s="25">
        <v>0</v>
      </c>
      <c r="N23" s="25">
        <v>0</v>
      </c>
      <c r="O23" s="25">
        <v>0</v>
      </c>
      <c r="P23" s="25">
        <f t="shared" si="2"/>
        <v>-114696</v>
      </c>
      <c r="Q23" s="25">
        <f t="shared" si="1"/>
        <v>1762199</v>
      </c>
    </row>
    <row r="24" spans="1:17" ht="12.75">
      <c r="A24" s="32">
        <v>14</v>
      </c>
      <c r="B24" s="21" t="s">
        <v>76</v>
      </c>
      <c r="D24" s="45">
        <v>502684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f t="shared" si="2"/>
        <v>0</v>
      </c>
      <c r="Q24" s="25">
        <f t="shared" si="1"/>
        <v>502684</v>
      </c>
    </row>
    <row r="25" spans="1:17" ht="12.75">
      <c r="A25" s="32">
        <v>15</v>
      </c>
      <c r="B25" s="21" t="s">
        <v>77</v>
      </c>
      <c r="D25" s="45">
        <v>292195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f t="shared" si="2"/>
        <v>0</v>
      </c>
      <c r="Q25" s="25">
        <f t="shared" si="1"/>
        <v>292195</v>
      </c>
    </row>
    <row r="26" spans="1:17" ht="12.75">
      <c r="A26" s="32">
        <v>16</v>
      </c>
      <c r="B26" s="21" t="s">
        <v>78</v>
      </c>
      <c r="D26" s="45">
        <v>663910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f t="shared" si="2"/>
        <v>0</v>
      </c>
      <c r="Q26" s="25">
        <f t="shared" si="1"/>
        <v>663910</v>
      </c>
    </row>
    <row r="27" spans="1:17" ht="12.75">
      <c r="A27" s="32">
        <v>17</v>
      </c>
      <c r="B27" s="21" t="s">
        <v>79</v>
      </c>
      <c r="D27" s="45">
        <v>1376372.1835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 t="shared" si="2"/>
        <v>0</v>
      </c>
      <c r="Q27" s="25">
        <f t="shared" si="1"/>
        <v>1376372.1835</v>
      </c>
    </row>
    <row r="28" spans="1:17" ht="12.75">
      <c r="A28" s="32">
        <v>18</v>
      </c>
      <c r="B28" s="21" t="s">
        <v>80</v>
      </c>
      <c r="D28" s="45">
        <v>52165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f t="shared" si="2"/>
        <v>0</v>
      </c>
      <c r="Q28" s="25">
        <f t="shared" si="1"/>
        <v>52165</v>
      </c>
    </row>
    <row r="29" spans="1:17" ht="12.75">
      <c r="A29" s="32">
        <v>19</v>
      </c>
      <c r="B29" s="21" t="s">
        <v>81</v>
      </c>
      <c r="D29" s="45">
        <v>475196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f t="shared" si="2"/>
        <v>0</v>
      </c>
      <c r="Q29" s="25">
        <f t="shared" si="1"/>
        <v>475196</v>
      </c>
    </row>
    <row r="30" spans="1:17" ht="12.75">
      <c r="A30" s="32">
        <v>20</v>
      </c>
      <c r="B30" s="21" t="s">
        <v>82</v>
      </c>
      <c r="D30" s="45">
        <v>3002288.878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f t="shared" si="2"/>
        <v>0</v>
      </c>
      <c r="Q30" s="25">
        <f t="shared" si="1"/>
        <v>3002288.878</v>
      </c>
    </row>
    <row r="31" spans="1:17" ht="12.75">
      <c r="A31" s="32">
        <v>21</v>
      </c>
      <c r="B31" s="21" t="s">
        <v>83</v>
      </c>
      <c r="D31" s="45">
        <v>1507210.12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f t="shared" si="2"/>
        <v>0</v>
      </c>
      <c r="Q31" s="25">
        <f t="shared" si="1"/>
        <v>1507210.12</v>
      </c>
    </row>
    <row r="32" ht="12.75">
      <c r="A32" s="32">
        <v>22</v>
      </c>
    </row>
    <row r="33" spans="1:17" ht="12.75">
      <c r="A33" s="32">
        <v>23</v>
      </c>
      <c r="B33" s="21" t="s">
        <v>84</v>
      </c>
      <c r="D33" s="40">
        <f>SUM(D17:D31)</f>
        <v>27429782.688464012</v>
      </c>
      <c r="F33" s="41">
        <f>SUM(F17:F31)</f>
        <v>0</v>
      </c>
      <c r="G33" s="41">
        <f>SUM(G17:G31)</f>
        <v>0</v>
      </c>
      <c r="H33" s="41">
        <f aca="true" t="shared" si="3" ref="H33:P33">SUM(H17:H31)</f>
        <v>0</v>
      </c>
      <c r="I33" s="41">
        <f t="shared" si="3"/>
        <v>-922871</v>
      </c>
      <c r="J33" s="41">
        <f t="shared" si="3"/>
        <v>0</v>
      </c>
      <c r="K33" s="41">
        <f t="shared" si="3"/>
        <v>-252550</v>
      </c>
      <c r="L33" s="41">
        <f t="shared" si="3"/>
        <v>-114696</v>
      </c>
      <c r="M33" s="41">
        <f t="shared" si="3"/>
        <v>-79365</v>
      </c>
      <c r="N33" s="41">
        <f t="shared" si="3"/>
        <v>-12497</v>
      </c>
      <c r="O33" s="41">
        <f t="shared" si="3"/>
        <v>0</v>
      </c>
      <c r="P33" s="41">
        <f t="shared" si="3"/>
        <v>-1381979</v>
      </c>
      <c r="Q33" s="41">
        <f>SUM(Q17:Q31)</f>
        <v>26047803.688464012</v>
      </c>
    </row>
    <row r="34" spans="1:6" ht="12.75">
      <c r="A34" s="32">
        <v>24</v>
      </c>
      <c r="D34" s="43"/>
      <c r="F34" s="46"/>
    </row>
    <row r="35" spans="1:17" ht="12.75">
      <c r="A35" s="32">
        <v>25</v>
      </c>
      <c r="B35" s="21" t="s">
        <v>34</v>
      </c>
      <c r="D35" s="44">
        <v>8038652.96233937</v>
      </c>
      <c r="F35" s="38">
        <v>0</v>
      </c>
      <c r="G35" s="38">
        <v>0</v>
      </c>
      <c r="H35" s="38">
        <v>0</v>
      </c>
      <c r="I35" s="38">
        <v>0</v>
      </c>
      <c r="J35" s="38">
        <f>+'[4]Sch 3 Depreciation'!D17</f>
        <v>-416463.2742365198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f>SUM(F35:O35)</f>
        <v>-416463.2742365198</v>
      </c>
      <c r="Q35" s="38">
        <f>+D35+P35</f>
        <v>7622189.68810285</v>
      </c>
    </row>
    <row r="36" spans="1:17" ht="12.75">
      <c r="A36" s="32">
        <v>26</v>
      </c>
      <c r="B36" s="21" t="s">
        <v>85</v>
      </c>
      <c r="D36" s="45">
        <v>450970.92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f>SUM(F36:O36)</f>
        <v>0</v>
      </c>
      <c r="Q36" s="25">
        <f>+D36+P36</f>
        <v>450970.92</v>
      </c>
    </row>
    <row r="37" spans="1:17" ht="12.75">
      <c r="A37" s="32">
        <v>27</v>
      </c>
      <c r="D37" s="45"/>
      <c r="F37" s="25"/>
      <c r="G37" s="25"/>
      <c r="H37" s="25"/>
      <c r="I37" s="25"/>
      <c r="J37" s="25"/>
      <c r="K37" s="25"/>
      <c r="L37" s="25"/>
      <c r="M37" s="25"/>
      <c r="N37" s="25"/>
      <c r="O37" s="25"/>
      <c r="Q37" s="25"/>
    </row>
    <row r="38" spans="1:17" ht="14.25" customHeight="1" hidden="1">
      <c r="A38" s="32">
        <v>28</v>
      </c>
      <c r="B38" s="21" t="s">
        <v>86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Q38" s="25"/>
    </row>
    <row r="39" spans="1:17" ht="14.25" customHeight="1" hidden="1">
      <c r="A39" s="32">
        <v>29</v>
      </c>
      <c r="B39" s="21" t="s">
        <v>87</v>
      </c>
      <c r="D39" s="45">
        <v>2729050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Q39" s="25"/>
    </row>
    <row r="40" spans="1:17" ht="14.25" customHeight="1" hidden="1">
      <c r="A40" s="32">
        <v>30</v>
      </c>
      <c r="B40" s="21" t="s">
        <v>88</v>
      </c>
      <c r="D40" s="45">
        <v>85932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Q40" s="25"/>
    </row>
    <row r="41" spans="1:17" ht="14.25" customHeight="1" hidden="1">
      <c r="A41" s="32">
        <v>31</v>
      </c>
      <c r="B41" s="21" t="s">
        <v>89</v>
      </c>
      <c r="D41" s="45">
        <v>482787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Q41" s="25"/>
    </row>
    <row r="42" spans="1:17" ht="14.25" customHeight="1" hidden="1">
      <c r="A42" s="32">
        <v>32</v>
      </c>
      <c r="B42" s="21" t="s">
        <v>82</v>
      </c>
      <c r="D42" s="47">
        <v>0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Q42" s="25"/>
    </row>
    <row r="43" spans="1:17" ht="12.75">
      <c r="A43" s="32">
        <v>33</v>
      </c>
      <c r="B43" s="21" t="s">
        <v>90</v>
      </c>
      <c r="D43" s="45">
        <v>3297769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f>SUM(F43:O43)</f>
        <v>0</v>
      </c>
      <c r="Q43" s="25">
        <f>+D43+P43</f>
        <v>3297769</v>
      </c>
    </row>
    <row r="44" spans="1:17" ht="12.75">
      <c r="A44" s="32">
        <v>34</v>
      </c>
      <c r="D44" s="45"/>
      <c r="F44" s="48"/>
      <c r="G44" s="25"/>
      <c r="H44" s="25"/>
      <c r="I44" s="25"/>
      <c r="J44" s="25"/>
      <c r="K44" s="25"/>
      <c r="L44" s="25"/>
      <c r="M44" s="25"/>
      <c r="N44" s="25"/>
      <c r="O44" s="25"/>
      <c r="Q44" s="25"/>
    </row>
    <row r="45" spans="1:17" ht="15" customHeight="1" hidden="1">
      <c r="A45" s="32">
        <v>35</v>
      </c>
      <c r="B45" s="21" t="s">
        <v>91</v>
      </c>
      <c r="F45" s="48"/>
      <c r="G45" s="25"/>
      <c r="H45" s="25"/>
      <c r="I45" s="25"/>
      <c r="J45" s="25"/>
      <c r="K45" s="25"/>
      <c r="L45" s="25"/>
      <c r="M45" s="25"/>
      <c r="N45" s="25"/>
      <c r="O45" s="25"/>
      <c r="Q45" s="25"/>
    </row>
    <row r="46" spans="1:17" ht="15" customHeight="1" hidden="1">
      <c r="A46" s="32">
        <v>36</v>
      </c>
      <c r="B46" s="21" t="s">
        <v>92</v>
      </c>
      <c r="D46" s="45">
        <v>305161</v>
      </c>
      <c r="F46" s="48"/>
      <c r="G46" s="25"/>
      <c r="H46" s="25"/>
      <c r="I46" s="25"/>
      <c r="J46" s="25"/>
      <c r="K46" s="25"/>
      <c r="L46" s="25"/>
      <c r="M46" s="25"/>
      <c r="N46" s="25"/>
      <c r="O46" s="25"/>
      <c r="Q46" s="25"/>
    </row>
    <row r="47" spans="1:17" ht="15" customHeight="1" hidden="1">
      <c r="A47" s="32">
        <v>37</v>
      </c>
      <c r="B47" s="21" t="s">
        <v>93</v>
      </c>
      <c r="D47" s="45">
        <v>181660</v>
      </c>
      <c r="F47" s="48"/>
      <c r="G47" s="25"/>
      <c r="H47" s="25"/>
      <c r="I47" s="25"/>
      <c r="J47" s="25"/>
      <c r="K47" s="25"/>
      <c r="L47" s="25"/>
      <c r="M47" s="25"/>
      <c r="N47" s="25"/>
      <c r="O47" s="25"/>
      <c r="Q47" s="25"/>
    </row>
    <row r="48" spans="1:17" ht="15" customHeight="1" hidden="1">
      <c r="A48" s="32">
        <v>38</v>
      </c>
      <c r="B48" s="21" t="s">
        <v>94</v>
      </c>
      <c r="D48" s="39"/>
      <c r="F48" s="48"/>
      <c r="G48" s="25"/>
      <c r="H48" s="25"/>
      <c r="I48" s="25"/>
      <c r="J48" s="25"/>
      <c r="K48" s="25"/>
      <c r="L48" s="25"/>
      <c r="M48" s="25"/>
      <c r="N48" s="25"/>
      <c r="O48" s="25"/>
      <c r="Q48" s="25"/>
    </row>
    <row r="49" spans="1:17" ht="15" customHeight="1" hidden="1">
      <c r="A49" s="32">
        <v>39</v>
      </c>
      <c r="B49" s="21" t="s">
        <v>92</v>
      </c>
      <c r="D49" s="45">
        <v>1673301</v>
      </c>
      <c r="F49" s="48"/>
      <c r="G49" s="25"/>
      <c r="H49" s="25"/>
      <c r="I49" s="25"/>
      <c r="J49" s="25"/>
      <c r="K49" s="25"/>
      <c r="L49" s="25"/>
      <c r="M49" s="25"/>
      <c r="N49" s="25"/>
      <c r="O49" s="25"/>
      <c r="Q49" s="25"/>
    </row>
    <row r="50" spans="1:17" ht="15" customHeight="1" hidden="1">
      <c r="A50" s="32">
        <v>40</v>
      </c>
      <c r="B50" s="21" t="s">
        <v>93</v>
      </c>
      <c r="D50" s="45">
        <v>905182</v>
      </c>
      <c r="F50" s="48"/>
      <c r="G50" s="25"/>
      <c r="H50" s="25"/>
      <c r="I50" s="25"/>
      <c r="J50" s="25"/>
      <c r="K50" s="25"/>
      <c r="L50" s="25"/>
      <c r="M50" s="25"/>
      <c r="N50" s="25"/>
      <c r="O50" s="25"/>
      <c r="Q50" s="25"/>
    </row>
    <row r="51" spans="1:17" ht="15" customHeight="1" hidden="1">
      <c r="A51" s="32">
        <v>41</v>
      </c>
      <c r="B51" s="21" t="s">
        <v>95</v>
      </c>
      <c r="D51" s="47">
        <v>-84797</v>
      </c>
      <c r="F51" s="48"/>
      <c r="G51" s="25"/>
      <c r="H51" s="25"/>
      <c r="I51" s="25"/>
      <c r="J51" s="49"/>
      <c r="K51" s="49"/>
      <c r="L51" s="25"/>
      <c r="M51" s="49"/>
      <c r="N51" s="49"/>
      <c r="O51" s="25"/>
      <c r="Q51" s="25"/>
    </row>
    <row r="52" spans="1:17" ht="12.75">
      <c r="A52" s="32">
        <v>42</v>
      </c>
      <c r="B52" s="21" t="s">
        <v>96</v>
      </c>
      <c r="D52" s="45">
        <v>2980507</v>
      </c>
      <c r="F52" s="48">
        <v>0</v>
      </c>
      <c r="G52" s="25">
        <v>0</v>
      </c>
      <c r="H52" s="25">
        <f>-'[4]Sch 1 Con Taxes'!C25</f>
        <v>-894416.206145</v>
      </c>
      <c r="I52" s="25">
        <f>+'[4]Sch 2 Excess Mgmt fees'!D23</f>
        <v>358996.819</v>
      </c>
      <c r="J52" s="25">
        <f>+'[4]Sch 3 Depreciation'!D21</f>
        <v>162004.21367800623</v>
      </c>
      <c r="K52" s="25">
        <f>+'[4]Sch 4 Incentive Pay'!D19</f>
        <v>98241.95</v>
      </c>
      <c r="L52" s="25">
        <f>+'[4]Sch 5 Group Insurance'!D21</f>
        <v>44616.744</v>
      </c>
      <c r="M52" s="25">
        <f>+'[4]Sch 6 BD Mgmt Fees'!D19</f>
        <v>30872.985</v>
      </c>
      <c r="N52" s="25">
        <f>+'[4]Sch 7 Maint Tech'!D19</f>
        <v>4861.3330000000005</v>
      </c>
      <c r="O52" s="25">
        <f>+'[4]Sch 8 Int Syc'!D25</f>
        <v>13772.236406299993</v>
      </c>
      <c r="P52" s="25">
        <f>SUM(F52:O52)</f>
        <v>-181049.92506069373</v>
      </c>
      <c r="Q52" s="25">
        <f>+D52+P52</f>
        <v>2799457.0749393064</v>
      </c>
    </row>
    <row r="53" spans="1:4" ht="12.75">
      <c r="A53" s="32">
        <v>43</v>
      </c>
      <c r="D53" s="45"/>
    </row>
    <row r="54" ht="12.75">
      <c r="A54" s="32">
        <v>44</v>
      </c>
    </row>
    <row r="55" spans="1:17" ht="12.75">
      <c r="A55" s="32">
        <v>45</v>
      </c>
      <c r="B55" s="21" t="s">
        <v>97</v>
      </c>
      <c r="D55" s="40">
        <f>+D52+D43+D36+D35+D33</f>
        <v>42197682.57080338</v>
      </c>
      <c r="F55" s="40">
        <f>+F52+F43+F36+F35+F33</f>
        <v>0</v>
      </c>
      <c r="G55" s="40">
        <f>+G52+G43+G36+G35+G33</f>
        <v>0</v>
      </c>
      <c r="H55" s="40">
        <f>+H52+H43+H36+H35+H33</f>
        <v>-894416.206145</v>
      </c>
      <c r="I55" s="40">
        <f aca="true" t="shared" si="4" ref="I55:O55">+I52+I43+I36+I35+I33</f>
        <v>-563874.181</v>
      </c>
      <c r="J55" s="40">
        <f t="shared" si="4"/>
        <v>-254459.0605585136</v>
      </c>
      <c r="K55" s="40">
        <f t="shared" si="4"/>
        <v>-154308.05</v>
      </c>
      <c r="L55" s="40">
        <f t="shared" si="4"/>
        <v>-70079.256</v>
      </c>
      <c r="M55" s="40">
        <f t="shared" si="4"/>
        <v>-48492.015</v>
      </c>
      <c r="N55" s="40">
        <f t="shared" si="4"/>
        <v>-7635.6669999999995</v>
      </c>
      <c r="O55" s="40">
        <f t="shared" si="4"/>
        <v>13772.236406299993</v>
      </c>
      <c r="P55" s="40">
        <f>+P52+P43+P36+P35+P33</f>
        <v>-1979492.1992972135</v>
      </c>
      <c r="Q55" s="40">
        <f>+Q52+Q43+Q36+Q35+Q33</f>
        <v>40218190.37150617</v>
      </c>
    </row>
    <row r="56" spans="1:17" ht="12.75">
      <c r="A56" s="32">
        <v>46</v>
      </c>
      <c r="D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</row>
    <row r="57" spans="1:17" ht="12.75">
      <c r="A57" s="32">
        <v>47</v>
      </c>
      <c r="B57" s="21" t="s">
        <v>98</v>
      </c>
      <c r="D57" s="50">
        <f>D15-D55</f>
        <v>10805614.429196618</v>
      </c>
      <c r="F57" s="50">
        <f>F15-F55</f>
        <v>0</v>
      </c>
      <c r="G57" s="50">
        <f>G15-G55</f>
        <v>0</v>
      </c>
      <c r="H57" s="50">
        <f>H15-H55</f>
        <v>894416.206145</v>
      </c>
      <c r="I57" s="50">
        <f aca="true" t="shared" si="5" ref="I57:O57">I15-I55</f>
        <v>563874.181</v>
      </c>
      <c r="J57" s="50">
        <f t="shared" si="5"/>
        <v>254459.0605585136</v>
      </c>
      <c r="K57" s="50">
        <f t="shared" si="5"/>
        <v>154308.05</v>
      </c>
      <c r="L57" s="50">
        <f t="shared" si="5"/>
        <v>70079.256</v>
      </c>
      <c r="M57" s="50">
        <f t="shared" si="5"/>
        <v>48492.015</v>
      </c>
      <c r="N57" s="50">
        <f t="shared" si="5"/>
        <v>7635.6669999999995</v>
      </c>
      <c r="O57" s="50">
        <f t="shared" si="5"/>
        <v>-13772.236406299993</v>
      </c>
      <c r="P57" s="50">
        <f>P15-P55</f>
        <v>1979492.1992972135</v>
      </c>
      <c r="Q57" s="50">
        <f>Q15-Q55</f>
        <v>12785106.62849383</v>
      </c>
    </row>
    <row r="58" spans="1:16" ht="12.75">
      <c r="A58" s="32">
        <v>48</v>
      </c>
      <c r="D58" s="27"/>
      <c r="F58" s="21"/>
      <c r="P58" s="21"/>
    </row>
    <row r="59" spans="1:16" ht="12.75">
      <c r="A59" s="32">
        <v>49</v>
      </c>
      <c r="F59" s="21"/>
      <c r="P59" s="21"/>
    </row>
    <row r="60" spans="1:17" ht="12.75">
      <c r="A60" s="32">
        <v>50</v>
      </c>
      <c r="B60" s="21" t="s">
        <v>99</v>
      </c>
      <c r="D60" s="38">
        <f>+'[3]Sch 1'!D43</f>
        <v>202100689.58333334</v>
      </c>
      <c r="F60" s="38">
        <f>+'[3]Sch 1'!H16</f>
        <v>413549</v>
      </c>
      <c r="G60" s="38">
        <f>+'[3]Sch 1'!H25</f>
        <v>-269000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38">
        <f>SUM(F60:O60)</f>
        <v>144549</v>
      </c>
      <c r="Q60" s="38">
        <f>+D60+P60</f>
        <v>202245238.58333334</v>
      </c>
    </row>
    <row r="61" ht="12.75">
      <c r="A61" s="32">
        <v>51</v>
      </c>
    </row>
    <row r="62" spans="1:7" ht="12.75">
      <c r="A62" s="32">
        <v>52</v>
      </c>
      <c r="B62" s="21" t="s">
        <v>100</v>
      </c>
      <c r="D62" s="52">
        <v>0.0864</v>
      </c>
      <c r="F62" s="52"/>
      <c r="G62" s="52"/>
    </row>
    <row r="63" ht="12.75">
      <c r="A63" s="32">
        <v>53</v>
      </c>
    </row>
    <row r="64" spans="1:7" ht="12.75">
      <c r="A64" s="32">
        <v>54</v>
      </c>
      <c r="B64" s="21" t="s">
        <v>101</v>
      </c>
      <c r="D64" s="52">
        <v>0.0777</v>
      </c>
      <c r="F64" s="52">
        <v>0.0777</v>
      </c>
      <c r="G64" s="52">
        <v>0.0777</v>
      </c>
    </row>
    <row r="65" ht="12.75">
      <c r="A65" s="32">
        <v>55</v>
      </c>
    </row>
    <row r="66" spans="1:17" ht="12.75">
      <c r="A66" s="32">
        <v>56</v>
      </c>
      <c r="B66" s="21" t="s">
        <v>102</v>
      </c>
      <c r="D66" s="38">
        <f>D60*(D64-D62)</f>
        <v>-1758275.999375</v>
      </c>
      <c r="F66" s="53">
        <f>+F60*F64</f>
        <v>32132.7573</v>
      </c>
      <c r="G66" s="53">
        <f>+G60*G64</f>
        <v>-20901.300000000003</v>
      </c>
      <c r="H66" s="53"/>
      <c r="I66" s="53"/>
      <c r="J66" s="53"/>
      <c r="K66" s="53"/>
      <c r="L66" s="53"/>
      <c r="M66" s="53"/>
      <c r="N66" s="53"/>
      <c r="O66" s="53"/>
      <c r="P66" s="38"/>
      <c r="Q66" s="53"/>
    </row>
    <row r="67" ht="12.75">
      <c r="A67" s="32">
        <v>57</v>
      </c>
    </row>
    <row r="68" spans="1:17" ht="12.75">
      <c r="A68" s="32">
        <v>58</v>
      </c>
      <c r="B68" s="21" t="s">
        <v>103</v>
      </c>
      <c r="P68" s="54"/>
      <c r="Q68" s="54"/>
    </row>
    <row r="69" spans="1:16" ht="12.75">
      <c r="A69" s="32">
        <v>59</v>
      </c>
      <c r="F69" s="21"/>
      <c r="H69" s="54"/>
      <c r="P69" s="21"/>
    </row>
    <row r="70" spans="1:17" ht="12.75">
      <c r="A70" s="32">
        <v>60</v>
      </c>
      <c r="B70" s="21" t="s">
        <v>104</v>
      </c>
      <c r="D70" s="54">
        <f>+'Sch 3'!$J$30</f>
        <v>1.6524921</v>
      </c>
      <c r="F70" s="54">
        <f>+'Sch 3'!$J$30</f>
        <v>1.6524921</v>
      </c>
      <c r="G70" s="54">
        <f>+'Sch 3'!$J$30</f>
        <v>1.6524921</v>
      </c>
      <c r="H70" s="54">
        <f>-'Sch 3'!$J$30</f>
        <v>-1.6524921</v>
      </c>
      <c r="I70" s="54">
        <f>-'Sch 3'!$J$30</f>
        <v>-1.6524921</v>
      </c>
      <c r="J70" s="54">
        <f>-'Sch 3'!$J$30</f>
        <v>-1.6524921</v>
      </c>
      <c r="K70" s="54">
        <f>-'Sch 3'!$J$30</f>
        <v>-1.6524921</v>
      </c>
      <c r="L70" s="54">
        <f>-'Sch 3'!$J$30</f>
        <v>-1.6524921</v>
      </c>
      <c r="M70" s="54">
        <f>-'Sch 3'!$J$30</f>
        <v>-1.6524921</v>
      </c>
      <c r="N70" s="54">
        <f>-'Sch 3'!$J$30</f>
        <v>-1.6524921</v>
      </c>
      <c r="O70" s="54">
        <f>-'Sch 3'!$J$30</f>
        <v>-1.6524921</v>
      </c>
      <c r="P70" s="21"/>
      <c r="Q70" s="54"/>
    </row>
    <row r="71" spans="1:16" ht="12.75">
      <c r="A71" s="32">
        <v>61</v>
      </c>
      <c r="F71" s="21"/>
      <c r="P71" s="21"/>
    </row>
    <row r="72" spans="1:17" ht="12.75">
      <c r="A72" s="32">
        <v>62</v>
      </c>
      <c r="B72" s="21" t="s">
        <v>105</v>
      </c>
      <c r="D72" s="38">
        <f>+D66*D70</f>
        <v>-2905537.198586792</v>
      </c>
      <c r="F72" s="38">
        <f>+F66*F70</f>
        <v>53099.12758946733</v>
      </c>
      <c r="G72" s="38">
        <f>+G66*G70</f>
        <v>-34539.233129730004</v>
      </c>
      <c r="H72" s="38">
        <f aca="true" t="shared" si="6" ref="H72:O72">+H57*H70</f>
        <v>-1478015.7147665839</v>
      </c>
      <c r="I72" s="38">
        <f t="shared" si="6"/>
        <v>-931797.62949647</v>
      </c>
      <c r="J72" s="38">
        <f t="shared" si="6"/>
        <v>-420491.58734636527</v>
      </c>
      <c r="K72" s="38">
        <f t="shared" si="6"/>
        <v>-254992.83359140495</v>
      </c>
      <c r="L72" s="38">
        <f t="shared" si="6"/>
        <v>-115805.41691387759</v>
      </c>
      <c r="M72" s="38">
        <f t="shared" si="6"/>
        <v>-80132.6717005815</v>
      </c>
      <c r="N72" s="38">
        <f t="shared" si="6"/>
        <v>-12617.879395730699</v>
      </c>
      <c r="O72" s="38">
        <f t="shared" si="6"/>
        <v>22758.51186074313</v>
      </c>
      <c r="P72" s="38">
        <f>SUM(D72:O72)</f>
        <v>-6158072.5254773265</v>
      </c>
      <c r="Q72" s="38"/>
    </row>
    <row r="74" spans="1:6" ht="12.75">
      <c r="A74" s="21" t="s">
        <v>136</v>
      </c>
      <c r="F74" s="55"/>
    </row>
  </sheetData>
  <mergeCells count="2">
    <mergeCell ref="A1:Q1"/>
    <mergeCell ref="A3:Q3"/>
  </mergeCells>
  <printOptions horizontalCentered="1"/>
  <pageMargins left="0" right="0" top="0.33" bottom="0" header="0" footer="0"/>
  <pageSetup fitToHeight="1" fitToWidth="1" horizontalDpi="300" verticalDpi="300" orientation="landscape" scale="71" r:id="rId1"/>
  <headerFooter alignWithMargins="0">
    <oddHeader>&amp;RExhibit___(MJM-1)
Schedule 2
Page 1 of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37"/>
  <sheetViews>
    <sheetView tabSelected="1" showOutlineSymbols="0" workbookViewId="0" topLeftCell="A2">
      <selection activeCell="H7" sqref="H7"/>
    </sheetView>
  </sheetViews>
  <sheetFormatPr defaultColWidth="8.88671875" defaultRowHeight="15"/>
  <cols>
    <col min="1" max="1" width="4.77734375" style="2" customWidth="1"/>
    <col min="2" max="2" width="29.4453125" style="2" bestFit="1" customWidth="1"/>
    <col min="3" max="3" width="3.21484375" style="2" customWidth="1"/>
    <col min="4" max="4" width="7.6640625" style="2" customWidth="1"/>
    <col min="5" max="5" width="3.4453125" style="2" customWidth="1"/>
    <col min="6" max="6" width="12.3359375" style="2" customWidth="1"/>
    <col min="7" max="7" width="2.4453125" style="2" customWidth="1"/>
    <col min="8" max="8" width="6.99609375" style="2" customWidth="1"/>
    <col min="9" max="9" width="1.99609375" style="2" customWidth="1"/>
    <col min="10" max="10" width="12.3359375" style="2" customWidth="1"/>
    <col min="11" max="11" width="2.21484375" style="2" customWidth="1"/>
    <col min="12" max="12" width="12.3359375" style="2" customWidth="1"/>
    <col min="13" max="13" width="3.21484375" style="2" customWidth="1"/>
    <col min="14" max="16" width="12.3359375" style="2" customWidth="1"/>
    <col min="17" max="16384" width="9.77734375" style="2" customWidth="1"/>
  </cols>
  <sheetData>
    <row r="1" spans="1:13" ht="1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5">
      <c r="A2" s="93" t="s">
        <v>106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3.5" customHeight="1">
      <c r="A3" s="93" t="s">
        <v>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ht="15">
      <c r="A4" s="4"/>
    </row>
    <row r="5" ht="15">
      <c r="A5" s="4"/>
    </row>
    <row r="6" ht="15">
      <c r="A6" s="4"/>
    </row>
    <row r="7" spans="1:12" ht="14.25">
      <c r="A7" s="5"/>
      <c r="B7" s="5"/>
      <c r="C7" s="5"/>
      <c r="D7" s="5"/>
      <c r="E7" s="5"/>
      <c r="F7" s="5"/>
      <c r="L7" s="7" t="s">
        <v>5</v>
      </c>
    </row>
    <row r="8" spans="1:12" ht="14.25">
      <c r="A8" s="5"/>
      <c r="B8" s="5"/>
      <c r="C8" s="5"/>
      <c r="D8" s="5"/>
      <c r="E8" s="5"/>
      <c r="F8" s="5"/>
      <c r="L8" s="7" t="s">
        <v>107</v>
      </c>
    </row>
    <row r="9" spans="1:12" ht="14.25">
      <c r="A9" s="7" t="s">
        <v>7</v>
      </c>
      <c r="L9" s="7" t="s">
        <v>108</v>
      </c>
    </row>
    <row r="10" spans="1:12" ht="15" thickBot="1">
      <c r="A10" s="7" t="s">
        <v>9</v>
      </c>
      <c r="B10" s="1" t="s">
        <v>10</v>
      </c>
      <c r="C10" s="5"/>
      <c r="D10" s="96" t="s">
        <v>4</v>
      </c>
      <c r="E10" s="96"/>
      <c r="F10" s="96"/>
      <c r="G10" s="5"/>
      <c r="H10" s="97" t="s">
        <v>5</v>
      </c>
      <c r="I10" s="97"/>
      <c r="J10" s="97"/>
      <c r="K10" s="5"/>
      <c r="L10" s="72" t="s">
        <v>109</v>
      </c>
    </row>
    <row r="11" spans="1:6" ht="14.25">
      <c r="A11" s="8">
        <v>1</v>
      </c>
      <c r="B11" s="9"/>
      <c r="C11" s="85"/>
      <c r="D11" s="9"/>
      <c r="E11" s="9"/>
      <c r="F11" s="9"/>
    </row>
    <row r="12" spans="1:6" ht="15">
      <c r="A12" s="7">
        <v>2</v>
      </c>
      <c r="F12" s="56"/>
    </row>
    <row r="13" spans="1:12" ht="14.25">
      <c r="A13" s="7">
        <v>3</v>
      </c>
      <c r="B13" s="2" t="s">
        <v>65</v>
      </c>
      <c r="F13" s="57">
        <v>1</v>
      </c>
      <c r="J13" s="57">
        <v>1</v>
      </c>
      <c r="L13" s="57"/>
    </row>
    <row r="14" ht="14.25">
      <c r="A14" s="7">
        <v>4</v>
      </c>
    </row>
    <row r="15" spans="1:12" ht="14.25">
      <c r="A15" s="7">
        <v>5</v>
      </c>
      <c r="B15" s="2" t="s">
        <v>110</v>
      </c>
      <c r="F15" s="58">
        <v>0.0085</v>
      </c>
      <c r="J15" s="58">
        <v>0.0079</v>
      </c>
      <c r="K15" s="2" t="s">
        <v>111</v>
      </c>
      <c r="L15" s="58"/>
    </row>
    <row r="16" ht="14.25">
      <c r="A16" s="7">
        <v>6</v>
      </c>
    </row>
    <row r="17" spans="1:12" ht="14.25">
      <c r="A17" s="7">
        <v>7</v>
      </c>
      <c r="B17" s="2" t="s">
        <v>112</v>
      </c>
      <c r="F17" s="59">
        <v>0.00168</v>
      </c>
      <c r="J17" s="59">
        <v>0.00168</v>
      </c>
      <c r="L17" s="59"/>
    </row>
    <row r="18" spans="1:12" ht="14.25">
      <c r="A18" s="7">
        <v>8</v>
      </c>
      <c r="F18" s="60"/>
      <c r="J18" s="60"/>
      <c r="L18" s="60"/>
    </row>
    <row r="19" spans="1:13" ht="14.25">
      <c r="A19" s="7">
        <v>9</v>
      </c>
      <c r="B19" s="2" t="s">
        <v>113</v>
      </c>
      <c r="F19" s="61">
        <f>F13-F15-F17</f>
        <v>0.98982</v>
      </c>
      <c r="J19" s="61">
        <f>J13-J15-J17</f>
        <v>0.99042</v>
      </c>
      <c r="L19" s="61">
        <v>1</v>
      </c>
      <c r="M19" s="2" t="s">
        <v>114</v>
      </c>
    </row>
    <row r="20" ht="14.25">
      <c r="A20" s="7">
        <v>10</v>
      </c>
    </row>
    <row r="21" spans="1:12" ht="15" thickBot="1">
      <c r="A21" s="7">
        <v>11</v>
      </c>
      <c r="B21" s="2" t="s">
        <v>115</v>
      </c>
      <c r="D21" s="62">
        <v>0.06</v>
      </c>
      <c r="F21" s="59">
        <f>ROUND(D21*F19,7)</f>
        <v>0.0593892</v>
      </c>
      <c r="H21" s="62">
        <v>0.06</v>
      </c>
      <c r="J21" s="59">
        <f>ROUND(H21*J19,7)</f>
        <v>0.0594252</v>
      </c>
      <c r="L21" s="59">
        <v>0.06</v>
      </c>
    </row>
    <row r="22" spans="1:8" ht="15" thickTop="1">
      <c r="A22" s="7">
        <v>12</v>
      </c>
      <c r="D22" s="63"/>
      <c r="H22" s="63"/>
    </row>
    <row r="23" spans="1:12" ht="14.25">
      <c r="A23" s="7">
        <v>13</v>
      </c>
      <c r="B23" s="2" t="s">
        <v>116</v>
      </c>
      <c r="F23" s="64">
        <f>F19-F21</f>
        <v>0.9304308</v>
      </c>
      <c r="J23" s="64">
        <f>J19-J21</f>
        <v>0.9309948</v>
      </c>
      <c r="L23" s="64">
        <f>L19-L21</f>
        <v>0.94</v>
      </c>
    </row>
    <row r="24" ht="14.25">
      <c r="A24" s="7">
        <v>14</v>
      </c>
    </row>
    <row r="25" spans="1:12" ht="15" thickBot="1">
      <c r="A25" s="7">
        <v>15</v>
      </c>
      <c r="B25" s="2" t="s">
        <v>117</v>
      </c>
      <c r="D25" s="62">
        <v>0.35</v>
      </c>
      <c r="F25" s="59">
        <f>ROUND(D25*F23,7)</f>
        <v>0.3256508</v>
      </c>
      <c r="H25" s="65">
        <v>0.35</v>
      </c>
      <c r="J25" s="59">
        <f>ROUND(H25*J23,7)</f>
        <v>0.3258482</v>
      </c>
      <c r="L25" s="59">
        <v>0.329</v>
      </c>
    </row>
    <row r="26" spans="1:4" ht="15" thickTop="1">
      <c r="A26" s="7">
        <v>16</v>
      </c>
      <c r="D26" s="63"/>
    </row>
    <row r="27" spans="1:12" ht="15" thickBot="1">
      <c r="A27" s="7">
        <v>17</v>
      </c>
      <c r="B27" s="2" t="s">
        <v>118</v>
      </c>
      <c r="F27" s="66">
        <f>ROUND(+F23-F25,7)</f>
        <v>0.60478</v>
      </c>
      <c r="J27" s="66">
        <f>ROUND(+J23-J25,7)</f>
        <v>0.6051466</v>
      </c>
      <c r="L27" s="66">
        <f>ROUND(+L23-L25,7)</f>
        <v>0.611</v>
      </c>
    </row>
    <row r="28" ht="15" thickTop="1">
      <c r="A28" s="7">
        <v>18</v>
      </c>
    </row>
    <row r="29" ht="14.25">
      <c r="A29" s="7">
        <v>19</v>
      </c>
    </row>
    <row r="30" spans="1:12" ht="15" thickBot="1">
      <c r="A30" s="7">
        <v>20</v>
      </c>
      <c r="B30" s="2" t="s">
        <v>119</v>
      </c>
      <c r="F30" s="67">
        <f>ROUND(1/F27,7)</f>
        <v>1.6534938</v>
      </c>
      <c r="J30" s="67">
        <f>ROUND(1/J27,7)</f>
        <v>1.6524921</v>
      </c>
      <c r="L30" s="68"/>
    </row>
    <row r="31" ht="15" thickTop="1">
      <c r="A31" s="7">
        <v>21</v>
      </c>
    </row>
    <row r="32" spans="1:12" ht="14.25">
      <c r="A32" s="7">
        <v>22</v>
      </c>
      <c r="B32" s="2" t="s">
        <v>120</v>
      </c>
      <c r="L32" s="69">
        <f>+L19-L27</f>
        <v>0.389</v>
      </c>
    </row>
    <row r="33" ht="14.25">
      <c r="A33" s="7"/>
    </row>
    <row r="34" spans="1:14" ht="14.25">
      <c r="A34" s="7"/>
      <c r="L34" s="70"/>
      <c r="M34" s="70"/>
      <c r="N34" s="5"/>
    </row>
    <row r="35" spans="1:14" ht="14.25">
      <c r="A35" s="7"/>
      <c r="L35" s="70"/>
      <c r="M35" s="70"/>
      <c r="N35" s="5"/>
    </row>
    <row r="36" spans="1:14" ht="14.25">
      <c r="A36" s="7"/>
      <c r="B36" s="2" t="s">
        <v>121</v>
      </c>
      <c r="L36" s="5"/>
      <c r="M36" s="5"/>
      <c r="N36" s="5"/>
    </row>
    <row r="37" spans="1:14" ht="14.25">
      <c r="A37" s="7"/>
      <c r="B37" s="2" t="s">
        <v>122</v>
      </c>
      <c r="L37" s="71"/>
      <c r="M37" s="5"/>
      <c r="N37" s="5"/>
    </row>
  </sheetData>
  <mergeCells count="5">
    <mergeCell ref="D10:F10"/>
    <mergeCell ref="H10:J10"/>
    <mergeCell ref="A1:M1"/>
    <mergeCell ref="A2:M2"/>
    <mergeCell ref="A3:M3"/>
  </mergeCells>
  <printOptions horizontalCentered="1"/>
  <pageMargins left="0.5" right="0.5" top="0.65" bottom="0.5" header="0" footer="0.25"/>
  <pageSetup fitToHeight="1" fitToWidth="1" horizontalDpi="300" verticalDpi="300" orientation="landscape" r:id="rId1"/>
  <headerFooter alignWithMargins="0">
    <oddHeader>&amp;RExhibit___(MJM-1)
Schedule 3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Snavely King Majoros O'Connor &amp; Lee,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 Kenney</dc:creator>
  <cp:keywords/>
  <dc:description/>
  <cp:lastModifiedBy>DSPENARD</cp:lastModifiedBy>
  <cp:lastPrinted>2007-07-27T18:31:17Z</cp:lastPrinted>
  <dcterms:created xsi:type="dcterms:W3CDTF">2007-07-27T13:32:56Z</dcterms:created>
  <dcterms:modified xsi:type="dcterms:W3CDTF">2007-07-30T18:04:49Z</dcterms:modified>
  <cp:category/>
  <cp:version/>
  <cp:contentType/>
  <cp:contentStatus/>
</cp:coreProperties>
</file>