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firstSheet="13" activeTab="15"/>
  </bookViews>
  <sheets>
    <sheet name="Index" sheetId="1" r:id="rId1"/>
    <sheet name="Sch 1 Con Taxes" sheetId="2" r:id="rId2"/>
    <sheet name="Sch 2 Excess Mgmt fees" sheetId="3" r:id="rId3"/>
    <sheet name="Sch 3 Depreciation" sheetId="4" r:id="rId4"/>
    <sheet name="3- SK Rates" sheetId="5" r:id="rId5"/>
    <sheet name="3 - SK NS FOR 333" sheetId="6" r:id="rId6"/>
    <sheet name="3- NS comp" sheetId="7" r:id="rId7"/>
    <sheet name="Sch 4 Incentive Pay" sheetId="8" r:id="rId8"/>
    <sheet name="Sch 5 Group Insurance" sheetId="9" r:id="rId9"/>
    <sheet name="Sch 6 BD Mgmt Fees" sheetId="10" r:id="rId10"/>
    <sheet name="Sch 7 Maint Tech" sheetId="11" r:id="rId11"/>
    <sheet name="Sch 8 Int Syc" sheetId="12" r:id="rId12"/>
    <sheet name="Sch 9 (new) AFUDC Revenue" sheetId="13" r:id="rId13"/>
    <sheet name="Sch 10 (new) Uncoll exp" sheetId="14" r:id="rId14"/>
    <sheet name="Sch 10 support" sheetId="15" r:id="rId15"/>
    <sheet name="Sch 11 (new) memberships" sheetId="16" r:id="rId16"/>
    <sheet name="Sch 12 (new) Int Syn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000">#REF!</definedName>
    <definedName name="ACCTS">#REF!</definedName>
    <definedName name="ALLOTHER">#REF!</definedName>
    <definedName name="BASEPER">#REF!</definedName>
    <definedName name="DATAW">'[7]Database'!#REF!</definedName>
    <definedName name="DEPR_DB">#REF!</definedName>
    <definedName name="KWH1_A">'[5]A'!#REF!</definedName>
    <definedName name="LABOR">#REF!</definedName>
    <definedName name="LIST">#REF!</definedName>
    <definedName name="LIST2">#REF!</definedName>
    <definedName name="NEWCOSTS" localSheetId="14">#REF!</definedName>
    <definedName name="NEWCOSTS">#REF!</definedName>
    <definedName name="ox" localSheetId="0" hidden="1">{"SchC2",#N/A,FALSE,"Sch C"}</definedName>
    <definedName name="ox" localSheetId="2" hidden="1">{"SchC2",#N/A,FALSE,"Sch C"}</definedName>
    <definedName name="ox" localSheetId="7" hidden="1">{"SchC2",#N/A,FALSE,"Sch C"}</definedName>
    <definedName name="ox" localSheetId="8" hidden="1">{"SchC2",#N/A,FALSE,"Sch C"}</definedName>
    <definedName name="ox" localSheetId="9" hidden="1">{"SchC2",#N/A,FALSE,"Sch C"}</definedName>
    <definedName name="ox" localSheetId="10" hidden="1">{"SchC2",#N/A,FALSE,"Sch C"}</definedName>
    <definedName name="ox" localSheetId="11" hidden="1">{"SchC2",#N/A,FALSE,"Sch C"}</definedName>
    <definedName name="ox" localSheetId="12" hidden="1">{"SchC2",#N/A,FALSE,"Sch C"}</definedName>
    <definedName name="ox" hidden="1">{"SchC2",#N/A,FALSE,"Sch C"}</definedName>
    <definedName name="ox1" localSheetId="0" hidden="1">{"SchC3",#N/A,FALSE,"Sch C"}</definedName>
    <definedName name="ox1" localSheetId="2" hidden="1">{"SchC3",#N/A,FALSE,"Sch C"}</definedName>
    <definedName name="ox1" localSheetId="7" hidden="1">{"SchC3",#N/A,FALSE,"Sch C"}</definedName>
    <definedName name="ox1" localSheetId="8" hidden="1">{"SchC3",#N/A,FALSE,"Sch C"}</definedName>
    <definedName name="ox1" localSheetId="9" hidden="1">{"SchC3",#N/A,FALSE,"Sch C"}</definedName>
    <definedName name="ox1" localSheetId="10" hidden="1">{"SchC3",#N/A,FALSE,"Sch C"}</definedName>
    <definedName name="ox1" localSheetId="11" hidden="1">{"SchC3",#N/A,FALSE,"Sch C"}</definedName>
    <definedName name="ox1" localSheetId="12" hidden="1">{"SchC3",#N/A,FALSE,"Sch C"}</definedName>
    <definedName name="ox1" hidden="1">{"SchC3",#N/A,FALSE,"Sch C"}</definedName>
    <definedName name="_xlnm.Print_Area" localSheetId="6">'3- NS comp'!$A$1:$O$58</definedName>
    <definedName name="_xlnm.Print_Area" localSheetId="4">'3- SK Rates'!$A$16:$AB$94</definedName>
    <definedName name="_xlnm.Print_Area" localSheetId="0">'Index'!$A$1:$E$33</definedName>
    <definedName name="_xlnm.Print_Area" localSheetId="1">'Sch 1 Con Taxes'!$A$1:$E$36</definedName>
    <definedName name="_xlnm.Print_Area" localSheetId="13">'Sch 10 (new) Uncoll exp'!$A$1:$E$37</definedName>
    <definedName name="_xlnm.Print_Area" localSheetId="14">'Sch 10 support'!$A$1:$I$53</definedName>
    <definedName name="_xlnm.Print_Area" localSheetId="15">'Sch 11 (new) memberships'!$A$1:$E$31</definedName>
    <definedName name="_xlnm.Print_Area" localSheetId="16">'Sch 12 (new) Int Syn'!$A$1:$E$37</definedName>
    <definedName name="_xlnm.Print_Area" localSheetId="2">'Sch 2 Excess Mgmt fees'!$A$1:$D$37</definedName>
    <definedName name="_xlnm.Print_Area" localSheetId="3">'Sch 3 Depreciation'!$A$1:$E$41</definedName>
    <definedName name="_xlnm.Print_Area" localSheetId="7">'Sch 4 Incentive Pay'!$A$1:$E$31</definedName>
    <definedName name="_xlnm.Print_Area" localSheetId="8">'Sch 5 Group Insurance'!$A$1:$F$35</definedName>
    <definedName name="_xlnm.Print_Area" localSheetId="9">'Sch 6 BD Mgmt Fees'!$A$1:$E$31</definedName>
    <definedName name="_xlnm.Print_Area" localSheetId="10">'Sch 7 Maint Tech'!$A$1:$E$32</definedName>
    <definedName name="_xlnm.Print_Area" localSheetId="11">'Sch 8 Int Syc'!$A$1:$E$34</definedName>
    <definedName name="_xlnm.Print_Area" localSheetId="12">'Sch 9 (new) AFUDC Revenue'!$A$1:$F$37</definedName>
    <definedName name="_xlnm.Print_Area">'/tmp/tmpbiwhh22g\[OAG_MJM-1 Updated.xls]Sch 2'!$A$1:$D$73</definedName>
    <definedName name="_xlnm.Print_Titles" localSheetId="4">'3- SK Rates'!$1:$15</definedName>
    <definedName name="Rate_Case_Labor">#REF!</definedName>
    <definedName name="SCH_A">'[1]Sch 1'!$A$1:$E$62</definedName>
    <definedName name="SCH_B">'[4]Sch 1'!$A$1:$D$45</definedName>
    <definedName name="SCH_C">'[1]Sch 2'!$A$1:$D$73</definedName>
    <definedName name="SCH_H">'[1]Sch 3'!$A$1:$F$37</definedName>
    <definedName name="WASTE" localSheetId="14">'Sch 10 support'!$A$1:$S$4</definedName>
    <definedName name="wrn.All._.Schedule._.B._.Exhibits." localSheetId="0" hidden="1">{"All Sch B Exhibits",#N/A,FALSE,"Sch B"}</definedName>
    <definedName name="wrn.All._.Schedule._.B._.Exhibits." localSheetId="2" hidden="1">{"All Sch B Exhibits",#N/A,FALSE,"Sch B"}</definedName>
    <definedName name="wrn.All._.Schedule._.B._.Exhibits." localSheetId="7" hidden="1">{"All Sch B Exhibits",#N/A,FALSE,"Sch B"}</definedName>
    <definedName name="wrn.All._.Schedule._.B._.Exhibits." localSheetId="8" hidden="1">{"All Sch B Exhibits",#N/A,FALSE,"Sch B"}</definedName>
    <definedName name="wrn.All._.Schedule._.B._.Exhibits." localSheetId="9" hidden="1">{"All Sch B Exhibits",#N/A,FALSE,"Sch B"}</definedName>
    <definedName name="wrn.All._.Schedule._.B._.Exhibits." localSheetId="10" hidden="1">{"All Sch B Exhibits",#N/A,FALSE,"Sch B"}</definedName>
    <definedName name="wrn.All._.Schedule._.B._.Exhibits." localSheetId="11" hidden="1">{"All Sch B Exhibits",#N/A,FALSE,"Sch B"}</definedName>
    <definedName name="wrn.All._.Schedule._.B._.Exhibits." localSheetId="12" hidden="1">{"All Sch B Exhibits",#N/A,FALSE,"Sch B"}</definedName>
    <definedName name="wrn.All._.Schedule._.B._.Exhibits." hidden="1">{"All Sch B Exhibits",#N/A,FALSE,"Sch B"}</definedName>
    <definedName name="wrn.CA._.CIAC._.Wkp." localSheetId="0" hidden="1">{"CA CIAC Forecasted Activity",#N/A,FALSE,"Cust Adv CIAC";"CA CIAC Balances and Amort of CIAC",#N/A,FALSE,"Cust Adv CIAC"}</definedName>
    <definedName name="wrn.CA._.CIAC._.Wkp." localSheetId="2" hidden="1">{"CA CIAC Forecasted Activity",#N/A,FALSE,"Cust Adv CIAC";"CA CIAC Balances and Amort of CIAC",#N/A,FALSE,"Cust Adv CIAC"}</definedName>
    <definedName name="wrn.CA._.CIAC._.Wkp." localSheetId="7" hidden="1">{"CA CIAC Forecasted Activity",#N/A,FALSE,"Cust Adv CIAC";"CA CIAC Balances and Amort of CIAC",#N/A,FALSE,"Cust Adv CIAC"}</definedName>
    <definedName name="wrn.CA._.CIAC._.Wkp." localSheetId="8" hidden="1">{"CA CIAC Forecasted Activity",#N/A,FALSE,"Cust Adv CIAC";"CA CIAC Balances and Amort of CIAC",#N/A,FALSE,"Cust Adv CIAC"}</definedName>
    <definedName name="wrn.CA._.CIAC._.Wkp." localSheetId="9" hidden="1">{"CA CIAC Forecasted Activity",#N/A,FALSE,"Cust Adv CIAC";"CA CIAC Balances and Amort of CIAC",#N/A,FALSE,"Cust Adv CIAC"}</definedName>
    <definedName name="wrn.CA._.CIAC._.Wkp." localSheetId="10" hidden="1">{"CA CIAC Forecasted Activity",#N/A,FALSE,"Cust Adv CIAC";"CA CIAC Balances and Amort of CIAC",#N/A,FALSE,"Cust Adv CIAC"}</definedName>
    <definedName name="wrn.CA._.CIAC._.Wkp." localSheetId="11" hidden="1">{"CA CIAC Forecasted Activity",#N/A,FALSE,"Cust Adv CIAC";"CA CIAC Balances and Amort of CIAC",#N/A,FALSE,"Cust Adv CIAC"}</definedName>
    <definedName name="wrn.CA._.CIAC._.Wkp." localSheetId="12" hidden="1">{"CA CIAC Forecasted Activity",#N/A,FALSE,"Cust Adv CIAC";"CA CIAC Balances and Amort of CIAC",#N/A,FALSE,"Cust Adv CIAC"}</definedName>
    <definedName name="wrn.CA._.CIAC._.Wkp." hidden="1">{"CA CIAC Forecasted Activity",#N/A,FALSE,"Cust Adv CIAC";"CA CIAC Balances and Amort of CIAC",#N/A,FALSE,"Cust Adv CIAC"}</definedName>
    <definedName name="wrn.COSReport." localSheetId="0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2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7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8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9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10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11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12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SchA." localSheetId="0" hidden="1">{"SchA",#N/A,FALSE,"Sch A"}</definedName>
    <definedName name="wrn.SchA." localSheetId="2" hidden="1">{"SchA",#N/A,FALSE,"Sch A"}</definedName>
    <definedName name="wrn.SchA." localSheetId="7" hidden="1">{"SchA",#N/A,FALSE,"Sch A"}</definedName>
    <definedName name="wrn.SchA." localSheetId="8" hidden="1">{"SchA",#N/A,FALSE,"Sch A"}</definedName>
    <definedName name="wrn.SchA." localSheetId="9" hidden="1">{"SchA",#N/A,FALSE,"Sch A"}</definedName>
    <definedName name="wrn.SchA." localSheetId="10" hidden="1">{"SchA",#N/A,FALSE,"Sch A"}</definedName>
    <definedName name="wrn.SchA." localSheetId="11" hidden="1">{"SchA",#N/A,FALSE,"Sch A"}</definedName>
    <definedName name="wrn.SchA." localSheetId="12" hidden="1">{"SchA",#N/A,FALSE,"Sch A"}</definedName>
    <definedName name="wrn.SchA." hidden="1">{"SchA",#N/A,FALSE,"Sch A"}</definedName>
    <definedName name="wrn.SchB1." localSheetId="0" hidden="1">{"SchB1",#N/A,FALSE,"Sch B"}</definedName>
    <definedName name="wrn.SchB1." localSheetId="2" hidden="1">{"SchB1",#N/A,FALSE,"Sch B"}</definedName>
    <definedName name="wrn.SchB1." localSheetId="7" hidden="1">{"SchB1",#N/A,FALSE,"Sch B"}</definedName>
    <definedName name="wrn.SchB1." localSheetId="8" hidden="1">{"SchB1",#N/A,FALSE,"Sch B"}</definedName>
    <definedName name="wrn.SchB1." localSheetId="9" hidden="1">{"SchB1",#N/A,FALSE,"Sch B"}</definedName>
    <definedName name="wrn.SchB1." localSheetId="10" hidden="1">{"SchB1",#N/A,FALSE,"Sch B"}</definedName>
    <definedName name="wrn.SchB1." localSheetId="11" hidden="1">{"SchB1",#N/A,FALSE,"Sch B"}</definedName>
    <definedName name="wrn.SchB1." localSheetId="12" hidden="1">{"SchB1",#N/A,FALSE,"Sch B"}</definedName>
    <definedName name="wrn.SchB1." hidden="1">{"SchB1",#N/A,FALSE,"Sch B"}</definedName>
    <definedName name="wrn.SchB2." localSheetId="0" hidden="1">{"SchB2",#N/A,FALSE,"Sch B"}</definedName>
    <definedName name="wrn.SchB2." localSheetId="2" hidden="1">{"SchB2",#N/A,FALSE,"Sch B"}</definedName>
    <definedName name="wrn.SchB2." localSheetId="7" hidden="1">{"SchB2",#N/A,FALSE,"Sch B"}</definedName>
    <definedName name="wrn.SchB2." localSheetId="8" hidden="1">{"SchB2",#N/A,FALSE,"Sch B"}</definedName>
    <definedName name="wrn.SchB2." localSheetId="9" hidden="1">{"SchB2",#N/A,FALSE,"Sch B"}</definedName>
    <definedName name="wrn.SchB2." localSheetId="10" hidden="1">{"SchB2",#N/A,FALSE,"Sch B"}</definedName>
    <definedName name="wrn.SchB2." localSheetId="11" hidden="1">{"SchB2",#N/A,FALSE,"Sch B"}</definedName>
    <definedName name="wrn.SchB2." localSheetId="12" hidden="1">{"SchB2",#N/A,FALSE,"Sch B"}</definedName>
    <definedName name="wrn.SchB2." hidden="1">{"SchB2",#N/A,FALSE,"Sch B"}</definedName>
    <definedName name="wrn.SchB2.1." localSheetId="0" hidden="1">{"SchB2.1",#N/A,FALSE,"Sch B"}</definedName>
    <definedName name="wrn.SchB2.1." localSheetId="2" hidden="1">{"SchB2.1",#N/A,FALSE,"Sch B"}</definedName>
    <definedName name="wrn.SchB2.1." localSheetId="7" hidden="1">{"SchB2.1",#N/A,FALSE,"Sch B"}</definedName>
    <definedName name="wrn.SchB2.1." localSheetId="8" hidden="1">{"SchB2.1",#N/A,FALSE,"Sch B"}</definedName>
    <definedName name="wrn.SchB2.1." localSheetId="9" hidden="1">{"SchB2.1",#N/A,FALSE,"Sch B"}</definedName>
    <definedName name="wrn.SchB2.1." localSheetId="10" hidden="1">{"SchB2.1",#N/A,FALSE,"Sch B"}</definedName>
    <definedName name="wrn.SchB2.1." localSheetId="11" hidden="1">{"SchB2.1",#N/A,FALSE,"Sch B"}</definedName>
    <definedName name="wrn.SchB2.1." localSheetId="12" hidden="1">{"SchB2.1",#N/A,FALSE,"Sch B"}</definedName>
    <definedName name="wrn.SchB2.1." hidden="1">{"SchB2.1",#N/A,FALSE,"Sch B"}</definedName>
    <definedName name="wrn.SchB2.2." localSheetId="0" hidden="1">{"SchB2.2",#N/A,FALSE,"Sch B"}</definedName>
    <definedName name="wrn.SchB2.2." localSheetId="2" hidden="1">{"SchB2.2",#N/A,FALSE,"Sch B"}</definedName>
    <definedName name="wrn.SchB2.2." localSheetId="7" hidden="1">{"SchB2.2",#N/A,FALSE,"Sch B"}</definedName>
    <definedName name="wrn.SchB2.2." localSheetId="8" hidden="1">{"SchB2.2",#N/A,FALSE,"Sch B"}</definedName>
    <definedName name="wrn.SchB2.2." localSheetId="9" hidden="1">{"SchB2.2",#N/A,FALSE,"Sch B"}</definedName>
    <definedName name="wrn.SchB2.2." localSheetId="10" hidden="1">{"SchB2.2",#N/A,FALSE,"Sch B"}</definedName>
    <definedName name="wrn.SchB2.2." localSheetId="11" hidden="1">{"SchB2.2",#N/A,FALSE,"Sch B"}</definedName>
    <definedName name="wrn.SchB2.2." localSheetId="12" hidden="1">{"SchB2.2",#N/A,FALSE,"Sch B"}</definedName>
    <definedName name="wrn.SchB2.2." hidden="1">{"SchB2.2",#N/A,FALSE,"Sch B"}</definedName>
    <definedName name="wrn.SchB2.3." localSheetId="0" hidden="1">{"SchB2.3",#N/A,FALSE,"Sch B"}</definedName>
    <definedName name="wrn.SchB2.3." localSheetId="2" hidden="1">{"SchB2.3",#N/A,FALSE,"Sch B"}</definedName>
    <definedName name="wrn.SchB2.3." localSheetId="7" hidden="1">{"SchB2.3",#N/A,FALSE,"Sch B"}</definedName>
    <definedName name="wrn.SchB2.3." localSheetId="8" hidden="1">{"SchB2.3",#N/A,FALSE,"Sch B"}</definedName>
    <definedName name="wrn.SchB2.3." localSheetId="9" hidden="1">{"SchB2.3",#N/A,FALSE,"Sch B"}</definedName>
    <definedName name="wrn.SchB2.3." localSheetId="10" hidden="1">{"SchB2.3",#N/A,FALSE,"Sch B"}</definedName>
    <definedName name="wrn.SchB2.3." localSheetId="11" hidden="1">{"SchB2.3",#N/A,FALSE,"Sch B"}</definedName>
    <definedName name="wrn.SchB2.3." localSheetId="12" hidden="1">{"SchB2.3",#N/A,FALSE,"Sch B"}</definedName>
    <definedName name="wrn.SchB2.3." hidden="1">{"SchB2.3",#N/A,FALSE,"Sch B"}</definedName>
    <definedName name="wrn.SchB2.4." localSheetId="0" hidden="1">{"Schb2.4",#N/A,FALSE,"Sch B"}</definedName>
    <definedName name="wrn.SchB2.4." localSheetId="2" hidden="1">{"Schb2.4",#N/A,FALSE,"Sch B"}</definedName>
    <definedName name="wrn.SchB2.4." localSheetId="7" hidden="1">{"Schb2.4",#N/A,FALSE,"Sch B"}</definedName>
    <definedName name="wrn.SchB2.4." localSheetId="8" hidden="1">{"Schb2.4",#N/A,FALSE,"Sch B"}</definedName>
    <definedName name="wrn.SchB2.4." localSheetId="9" hidden="1">{"Schb2.4",#N/A,FALSE,"Sch B"}</definedName>
    <definedName name="wrn.SchB2.4." localSheetId="10" hidden="1">{"Schb2.4",#N/A,FALSE,"Sch B"}</definedName>
    <definedName name="wrn.SchB2.4." localSheetId="11" hidden="1">{"Schb2.4",#N/A,FALSE,"Sch B"}</definedName>
    <definedName name="wrn.SchB2.4." localSheetId="12" hidden="1">{"Schb2.4",#N/A,FALSE,"Sch B"}</definedName>
    <definedName name="wrn.SchB2.4." hidden="1">{"Schb2.4",#N/A,FALSE,"Sch B"}</definedName>
    <definedName name="wrn.SchB2.5." localSheetId="0" hidden="1">{"SchB2.5",#N/A,FALSE,"Sch B"}</definedName>
    <definedName name="wrn.SchB2.5." localSheetId="2" hidden="1">{"SchB2.5",#N/A,FALSE,"Sch B"}</definedName>
    <definedName name="wrn.SchB2.5." localSheetId="7" hidden="1">{"SchB2.5",#N/A,FALSE,"Sch B"}</definedName>
    <definedName name="wrn.SchB2.5." localSheetId="8" hidden="1">{"SchB2.5",#N/A,FALSE,"Sch B"}</definedName>
    <definedName name="wrn.SchB2.5." localSheetId="9" hidden="1">{"SchB2.5",#N/A,FALSE,"Sch B"}</definedName>
    <definedName name="wrn.SchB2.5." localSheetId="10" hidden="1">{"SchB2.5",#N/A,FALSE,"Sch B"}</definedName>
    <definedName name="wrn.SchB2.5." localSheetId="11" hidden="1">{"SchB2.5",#N/A,FALSE,"Sch B"}</definedName>
    <definedName name="wrn.SchB2.5." localSheetId="12" hidden="1">{"SchB2.5",#N/A,FALSE,"Sch B"}</definedName>
    <definedName name="wrn.SchB2.5." hidden="1">{"SchB2.5",#N/A,FALSE,"Sch B"}</definedName>
    <definedName name="wrn.SchB2.6." localSheetId="0" hidden="1">{"SchB2.6",#N/A,FALSE,"Sch B"}</definedName>
    <definedName name="wrn.SchB2.6." localSheetId="2" hidden="1">{"SchB2.6",#N/A,FALSE,"Sch B"}</definedName>
    <definedName name="wrn.SchB2.6." localSheetId="7" hidden="1">{"SchB2.6",#N/A,FALSE,"Sch B"}</definedName>
    <definedName name="wrn.SchB2.6." localSheetId="8" hidden="1">{"SchB2.6",#N/A,FALSE,"Sch B"}</definedName>
    <definedName name="wrn.SchB2.6." localSheetId="9" hidden="1">{"SchB2.6",#N/A,FALSE,"Sch B"}</definedName>
    <definedName name="wrn.SchB2.6." localSheetId="10" hidden="1">{"SchB2.6",#N/A,FALSE,"Sch B"}</definedName>
    <definedName name="wrn.SchB2.6." localSheetId="11" hidden="1">{"SchB2.6",#N/A,FALSE,"Sch B"}</definedName>
    <definedName name="wrn.SchB2.6." localSheetId="12" hidden="1">{"SchB2.6",#N/A,FALSE,"Sch B"}</definedName>
    <definedName name="wrn.SchB2.6." hidden="1">{"SchB2.6",#N/A,FALSE,"Sch B"}</definedName>
    <definedName name="wrn.SchB2.7." localSheetId="0" hidden="1">{"SchB2.7",#N/A,FALSE,"Sch B"}</definedName>
    <definedName name="wrn.SchB2.7." localSheetId="2" hidden="1">{"SchB2.7",#N/A,FALSE,"Sch B"}</definedName>
    <definedName name="wrn.SchB2.7." localSheetId="7" hidden="1">{"SchB2.7",#N/A,FALSE,"Sch B"}</definedName>
    <definedName name="wrn.SchB2.7." localSheetId="8" hidden="1">{"SchB2.7",#N/A,FALSE,"Sch B"}</definedName>
    <definedName name="wrn.SchB2.7." localSheetId="9" hidden="1">{"SchB2.7",#N/A,FALSE,"Sch B"}</definedName>
    <definedName name="wrn.SchB2.7." localSheetId="10" hidden="1">{"SchB2.7",#N/A,FALSE,"Sch B"}</definedName>
    <definedName name="wrn.SchB2.7." localSheetId="11" hidden="1">{"SchB2.7",#N/A,FALSE,"Sch B"}</definedName>
    <definedName name="wrn.SchB2.7." localSheetId="12" hidden="1">{"SchB2.7",#N/A,FALSE,"Sch B"}</definedName>
    <definedName name="wrn.SchB2.7." hidden="1">{"SchB2.7",#N/A,FALSE,"Sch B"}</definedName>
    <definedName name="wrn.SchB3." localSheetId="0" hidden="1">{"SchB3",#N/A,FALSE,"Sch B"}</definedName>
    <definedName name="wrn.SchB3." localSheetId="2" hidden="1">{"SchB3",#N/A,FALSE,"Sch B"}</definedName>
    <definedName name="wrn.SchB3." localSheetId="7" hidden="1">{"SchB3",#N/A,FALSE,"Sch B"}</definedName>
    <definedName name="wrn.SchB3." localSheetId="8" hidden="1">{"SchB3",#N/A,FALSE,"Sch B"}</definedName>
    <definedName name="wrn.SchB3." localSheetId="9" hidden="1">{"SchB3",#N/A,FALSE,"Sch B"}</definedName>
    <definedName name="wrn.SchB3." localSheetId="10" hidden="1">{"SchB3",#N/A,FALSE,"Sch B"}</definedName>
    <definedName name="wrn.SchB3." localSheetId="11" hidden="1">{"SchB3",#N/A,FALSE,"Sch B"}</definedName>
    <definedName name="wrn.SchB3." localSheetId="12" hidden="1">{"SchB3",#N/A,FALSE,"Sch B"}</definedName>
    <definedName name="wrn.SchB3." hidden="1">{"SchB3",#N/A,FALSE,"Sch B"}</definedName>
    <definedName name="wrn.SchB3.1." localSheetId="0" hidden="1">{"SchB3.1",#N/A,FALSE,"Sch B"}</definedName>
    <definedName name="wrn.SchB3.1." localSheetId="2" hidden="1">{"SchB3.1",#N/A,FALSE,"Sch B"}</definedName>
    <definedName name="wrn.SchB3.1." localSheetId="7" hidden="1">{"SchB3.1",#N/A,FALSE,"Sch B"}</definedName>
    <definedName name="wrn.SchB3.1." localSheetId="8" hidden="1">{"SchB3.1",#N/A,FALSE,"Sch B"}</definedName>
    <definedName name="wrn.SchB3.1." localSheetId="9" hidden="1">{"SchB3.1",#N/A,FALSE,"Sch B"}</definedName>
    <definedName name="wrn.SchB3.1." localSheetId="10" hidden="1">{"SchB3.1",#N/A,FALSE,"Sch B"}</definedName>
    <definedName name="wrn.SchB3.1." localSheetId="11" hidden="1">{"SchB3.1",#N/A,FALSE,"Sch B"}</definedName>
    <definedName name="wrn.SchB3.1." localSheetId="12" hidden="1">{"SchB3.1",#N/A,FALSE,"Sch B"}</definedName>
    <definedName name="wrn.SchB3.1." hidden="1">{"SchB3.1",#N/A,FALSE,"Sch B"}</definedName>
    <definedName name="wrn.SchB3.2." localSheetId="0" hidden="1">{"SchB3.2",#N/A,FALSE,"Sch B"}</definedName>
    <definedName name="wrn.SchB3.2." localSheetId="2" hidden="1">{"SchB3.2",#N/A,FALSE,"Sch B"}</definedName>
    <definedName name="wrn.SchB3.2." localSheetId="7" hidden="1">{"SchB3.2",#N/A,FALSE,"Sch B"}</definedName>
    <definedName name="wrn.SchB3.2." localSheetId="8" hidden="1">{"SchB3.2",#N/A,FALSE,"Sch B"}</definedName>
    <definedName name="wrn.SchB3.2." localSheetId="9" hidden="1">{"SchB3.2",#N/A,FALSE,"Sch B"}</definedName>
    <definedName name="wrn.SchB3.2." localSheetId="10" hidden="1">{"SchB3.2",#N/A,FALSE,"Sch B"}</definedName>
    <definedName name="wrn.SchB3.2." localSheetId="11" hidden="1">{"SchB3.2",#N/A,FALSE,"Sch B"}</definedName>
    <definedName name="wrn.SchB3.2." localSheetId="12" hidden="1">{"SchB3.2",#N/A,FALSE,"Sch B"}</definedName>
    <definedName name="wrn.SchB3.2." hidden="1">{"SchB3.2",#N/A,FALSE,"Sch B"}</definedName>
    <definedName name="wrn.SchB4." localSheetId="0" hidden="1">{"SchB4",#N/A,FALSE,"Sch B"}</definedName>
    <definedName name="wrn.SchB4." localSheetId="2" hidden="1">{"SchB4",#N/A,FALSE,"Sch B"}</definedName>
    <definedName name="wrn.SchB4." localSheetId="7" hidden="1">{"SchB4",#N/A,FALSE,"Sch B"}</definedName>
    <definedName name="wrn.SchB4." localSheetId="8" hidden="1">{"SchB4",#N/A,FALSE,"Sch B"}</definedName>
    <definedName name="wrn.SchB4." localSheetId="9" hidden="1">{"SchB4",#N/A,FALSE,"Sch B"}</definedName>
    <definedName name="wrn.SchB4." localSheetId="10" hidden="1">{"SchB4",#N/A,FALSE,"Sch B"}</definedName>
    <definedName name="wrn.SchB4." localSheetId="11" hidden="1">{"SchB4",#N/A,FALSE,"Sch B"}</definedName>
    <definedName name="wrn.SchB4." localSheetId="12" hidden="1">{"SchB4",#N/A,FALSE,"Sch B"}</definedName>
    <definedName name="wrn.SchB4." hidden="1">{"SchB4",#N/A,FALSE,"Sch B"}</definedName>
    <definedName name="wrn.SchB4.1." localSheetId="0" hidden="1">{"SchB4.1",#N/A,FALSE,"Sch B"}</definedName>
    <definedName name="wrn.SchB4.1." localSheetId="2" hidden="1">{"SchB4.1",#N/A,FALSE,"Sch B"}</definedName>
    <definedName name="wrn.SchB4.1." localSheetId="7" hidden="1">{"SchB4.1",#N/A,FALSE,"Sch B"}</definedName>
    <definedName name="wrn.SchB4.1." localSheetId="8" hidden="1">{"SchB4.1",#N/A,FALSE,"Sch B"}</definedName>
    <definedName name="wrn.SchB4.1." localSheetId="9" hidden="1">{"SchB4.1",#N/A,FALSE,"Sch B"}</definedName>
    <definedName name="wrn.SchB4.1." localSheetId="10" hidden="1">{"SchB4.1",#N/A,FALSE,"Sch B"}</definedName>
    <definedName name="wrn.SchB4.1." localSheetId="11" hidden="1">{"SchB4.1",#N/A,FALSE,"Sch B"}</definedName>
    <definedName name="wrn.SchB4.1." localSheetId="12" hidden="1">{"SchB4.1",#N/A,FALSE,"Sch B"}</definedName>
    <definedName name="wrn.SchB4.1." hidden="1">{"SchB4.1",#N/A,FALSE,"Sch B"}</definedName>
    <definedName name="wrn.SchB5." localSheetId="0" hidden="1">{"SchB5",#N/A,FALSE,"Sch B"}</definedName>
    <definedName name="wrn.SchB5." localSheetId="2" hidden="1">{"SchB5",#N/A,FALSE,"Sch B"}</definedName>
    <definedName name="wrn.SchB5." localSheetId="7" hidden="1">{"SchB5",#N/A,FALSE,"Sch B"}</definedName>
    <definedName name="wrn.SchB5." localSheetId="8" hidden="1">{"SchB5",#N/A,FALSE,"Sch B"}</definedName>
    <definedName name="wrn.SchB5." localSheetId="9" hidden="1">{"SchB5",#N/A,FALSE,"Sch B"}</definedName>
    <definedName name="wrn.SchB5." localSheetId="10" hidden="1">{"SchB5",#N/A,FALSE,"Sch B"}</definedName>
    <definedName name="wrn.SchB5." localSheetId="11" hidden="1">{"SchB5",#N/A,FALSE,"Sch B"}</definedName>
    <definedName name="wrn.SchB5." localSheetId="12" hidden="1">{"SchB5",#N/A,FALSE,"Sch B"}</definedName>
    <definedName name="wrn.SchB5." hidden="1">{"SchB5",#N/A,FALSE,"Sch B"}</definedName>
    <definedName name="wrn.SchB5.1." localSheetId="0" hidden="1">{"SchB5.1",#N/A,FALSE,"Sch B"}</definedName>
    <definedName name="wrn.SchB5.1." localSheetId="2" hidden="1">{"SchB5.1",#N/A,FALSE,"Sch B"}</definedName>
    <definedName name="wrn.SchB5.1." localSheetId="7" hidden="1">{"SchB5.1",#N/A,FALSE,"Sch B"}</definedName>
    <definedName name="wrn.SchB5.1." localSheetId="8" hidden="1">{"SchB5.1",#N/A,FALSE,"Sch B"}</definedName>
    <definedName name="wrn.SchB5.1." localSheetId="9" hidden="1">{"SchB5.1",#N/A,FALSE,"Sch B"}</definedName>
    <definedName name="wrn.SchB5.1." localSheetId="10" hidden="1">{"SchB5.1",#N/A,FALSE,"Sch B"}</definedName>
    <definedName name="wrn.SchB5.1." localSheetId="11" hidden="1">{"SchB5.1",#N/A,FALSE,"Sch B"}</definedName>
    <definedName name="wrn.SchB5.1." localSheetId="12" hidden="1">{"SchB5.1",#N/A,FALSE,"Sch B"}</definedName>
    <definedName name="wrn.SchB5.1." hidden="1">{"SchB5.1",#N/A,FALSE,"Sch B"}</definedName>
    <definedName name="wrn.SchB5.2." localSheetId="0" hidden="1">{"SchB5.2",#N/A,FALSE,"Sch B"}</definedName>
    <definedName name="wrn.SchB5.2." localSheetId="2" hidden="1">{"SchB5.2",#N/A,FALSE,"Sch B"}</definedName>
    <definedName name="wrn.SchB5.2." localSheetId="7" hidden="1">{"SchB5.2",#N/A,FALSE,"Sch B"}</definedName>
    <definedName name="wrn.SchB5.2." localSheetId="8" hidden="1">{"SchB5.2",#N/A,FALSE,"Sch B"}</definedName>
    <definedName name="wrn.SchB5.2." localSheetId="9" hidden="1">{"SchB5.2",#N/A,FALSE,"Sch B"}</definedName>
    <definedName name="wrn.SchB5.2." localSheetId="10" hidden="1">{"SchB5.2",#N/A,FALSE,"Sch B"}</definedName>
    <definedName name="wrn.SchB5.2." localSheetId="11" hidden="1">{"SchB5.2",#N/A,FALSE,"Sch B"}</definedName>
    <definedName name="wrn.SchB5.2." localSheetId="12" hidden="1">{"SchB5.2",#N/A,FALSE,"Sch B"}</definedName>
    <definedName name="wrn.SchB5.2." hidden="1">{"SchB5.2",#N/A,FALSE,"Sch B"}</definedName>
    <definedName name="wrn.SchB6." localSheetId="0" hidden="1">{"SchB6",#N/A,FALSE,"Sch B"}</definedName>
    <definedName name="wrn.SchB6." localSheetId="2" hidden="1">{"SchB6",#N/A,FALSE,"Sch B"}</definedName>
    <definedName name="wrn.SchB6." localSheetId="7" hidden="1">{"SchB6",#N/A,FALSE,"Sch B"}</definedName>
    <definedName name="wrn.SchB6." localSheetId="8" hidden="1">{"SchB6",#N/A,FALSE,"Sch B"}</definedName>
    <definedName name="wrn.SchB6." localSheetId="9" hidden="1">{"SchB6",#N/A,FALSE,"Sch B"}</definedName>
    <definedName name="wrn.SchB6." localSheetId="10" hidden="1">{"SchB6",#N/A,FALSE,"Sch B"}</definedName>
    <definedName name="wrn.SchB6." localSheetId="11" hidden="1">{"SchB6",#N/A,FALSE,"Sch B"}</definedName>
    <definedName name="wrn.SchB6." localSheetId="12" hidden="1">{"SchB6",#N/A,FALSE,"Sch B"}</definedName>
    <definedName name="wrn.SchB6." hidden="1">{"SchB6",#N/A,FALSE,"Sch B"}</definedName>
    <definedName name="wrn.SchB7." localSheetId="0" hidden="1">{"SchB7",#N/A,FALSE,"Sch B"}</definedName>
    <definedName name="wrn.SchB7." localSheetId="2" hidden="1">{"SchB7",#N/A,FALSE,"Sch B"}</definedName>
    <definedName name="wrn.SchB7." localSheetId="7" hidden="1">{"SchB7",#N/A,FALSE,"Sch B"}</definedName>
    <definedName name="wrn.SchB7." localSheetId="8" hidden="1">{"SchB7",#N/A,FALSE,"Sch B"}</definedName>
    <definedName name="wrn.SchB7." localSheetId="9" hidden="1">{"SchB7",#N/A,FALSE,"Sch B"}</definedName>
    <definedName name="wrn.SchB7." localSheetId="10" hidden="1">{"SchB7",#N/A,FALSE,"Sch B"}</definedName>
    <definedName name="wrn.SchB7." localSheetId="11" hidden="1">{"SchB7",#N/A,FALSE,"Sch B"}</definedName>
    <definedName name="wrn.SchB7." localSheetId="12" hidden="1">{"SchB7",#N/A,FALSE,"Sch B"}</definedName>
    <definedName name="wrn.SchB7." hidden="1">{"SchB7",#N/A,FALSE,"Sch B"}</definedName>
    <definedName name="wrn.SchB7.1." localSheetId="0" hidden="1">{"SchB7.1",#N/A,FALSE,"Sch B"}</definedName>
    <definedName name="wrn.SchB7.1." localSheetId="2" hidden="1">{"SchB7.1",#N/A,FALSE,"Sch B"}</definedName>
    <definedName name="wrn.SchB7.1." localSheetId="7" hidden="1">{"SchB7.1",#N/A,FALSE,"Sch B"}</definedName>
    <definedName name="wrn.SchB7.1." localSheetId="8" hidden="1">{"SchB7.1",#N/A,FALSE,"Sch B"}</definedName>
    <definedName name="wrn.SchB7.1." localSheetId="9" hidden="1">{"SchB7.1",#N/A,FALSE,"Sch B"}</definedName>
    <definedName name="wrn.SchB7.1." localSheetId="10" hidden="1">{"SchB7.1",#N/A,FALSE,"Sch B"}</definedName>
    <definedName name="wrn.SchB7.1." localSheetId="11" hidden="1">{"SchB7.1",#N/A,FALSE,"Sch B"}</definedName>
    <definedName name="wrn.SchB7.1." localSheetId="12" hidden="1">{"SchB7.1",#N/A,FALSE,"Sch B"}</definedName>
    <definedName name="wrn.SchB7.1." hidden="1">{"SchB7.1",#N/A,FALSE,"Sch B"}</definedName>
    <definedName name="wrn.SchB7.2." localSheetId="0" hidden="1">{"SchB7.2",#N/A,FALSE,"Sch B"}</definedName>
    <definedName name="wrn.SchB7.2." localSheetId="2" hidden="1">{"SchB7.2",#N/A,FALSE,"Sch B"}</definedName>
    <definedName name="wrn.SchB7.2." localSheetId="7" hidden="1">{"SchB7.2",#N/A,FALSE,"Sch B"}</definedName>
    <definedName name="wrn.SchB7.2." localSheetId="8" hidden="1">{"SchB7.2",#N/A,FALSE,"Sch B"}</definedName>
    <definedName name="wrn.SchB7.2." localSheetId="9" hidden="1">{"SchB7.2",#N/A,FALSE,"Sch B"}</definedName>
    <definedName name="wrn.SchB7.2." localSheetId="10" hidden="1">{"SchB7.2",#N/A,FALSE,"Sch B"}</definedName>
    <definedName name="wrn.SchB7.2." localSheetId="11" hidden="1">{"SchB7.2",#N/A,FALSE,"Sch B"}</definedName>
    <definedName name="wrn.SchB7.2." localSheetId="12" hidden="1">{"SchB7.2",#N/A,FALSE,"Sch B"}</definedName>
    <definedName name="wrn.SchB7.2." hidden="1">{"SchB7.2",#N/A,FALSE,"Sch B"}</definedName>
    <definedName name="wrn.SchB8." localSheetId="0" hidden="1">{"SchB8",#N/A,FALSE,"Sch B"}</definedName>
    <definedName name="wrn.SchB8." localSheetId="2" hidden="1">{"SchB8",#N/A,FALSE,"Sch B"}</definedName>
    <definedName name="wrn.SchB8." localSheetId="7" hidden="1">{"SchB8",#N/A,FALSE,"Sch B"}</definedName>
    <definedName name="wrn.SchB8." localSheetId="8" hidden="1">{"SchB8",#N/A,FALSE,"Sch B"}</definedName>
    <definedName name="wrn.SchB8." localSheetId="9" hidden="1">{"SchB8",#N/A,FALSE,"Sch B"}</definedName>
    <definedName name="wrn.SchB8." localSheetId="10" hidden="1">{"SchB8",#N/A,FALSE,"Sch B"}</definedName>
    <definedName name="wrn.SchB8." localSheetId="11" hidden="1">{"SchB8",#N/A,FALSE,"Sch B"}</definedName>
    <definedName name="wrn.SchB8." localSheetId="12" hidden="1">{"SchB8",#N/A,FALSE,"Sch B"}</definedName>
    <definedName name="wrn.SchB8." hidden="1">{"SchB8",#N/A,FALSE,"Sch B"}</definedName>
    <definedName name="wrn.SchC." localSheetId="0" hidden="1">{"SchC1",#N/A,FALSE,"Sch C";"SchC2",#N/A,FALSE,"Sch C";"SchC3",#N/A,FALSE,"Sch C"}</definedName>
    <definedName name="wrn.SchC." localSheetId="2" hidden="1">{"SchC1",#N/A,FALSE,"Sch C";"SchC2",#N/A,FALSE,"Sch C";"SchC3",#N/A,FALSE,"Sch C"}</definedName>
    <definedName name="wrn.SchC." localSheetId="7" hidden="1">{"SchC1",#N/A,FALSE,"Sch C";"SchC2",#N/A,FALSE,"Sch C";"SchC3",#N/A,FALSE,"Sch C"}</definedName>
    <definedName name="wrn.SchC." localSheetId="8" hidden="1">{"SchC1",#N/A,FALSE,"Sch C";"SchC2",#N/A,FALSE,"Sch C";"SchC3",#N/A,FALSE,"Sch C"}</definedName>
    <definedName name="wrn.SchC." localSheetId="9" hidden="1">{"SchC1",#N/A,FALSE,"Sch C";"SchC2",#N/A,FALSE,"Sch C";"SchC3",#N/A,FALSE,"Sch C"}</definedName>
    <definedName name="wrn.SchC." localSheetId="10" hidden="1">{"SchC1",#N/A,FALSE,"Sch C";"SchC2",#N/A,FALSE,"Sch C";"SchC3",#N/A,FALSE,"Sch C"}</definedName>
    <definedName name="wrn.SchC." localSheetId="11" hidden="1">{"SchC1",#N/A,FALSE,"Sch C";"SchC2",#N/A,FALSE,"Sch C";"SchC3",#N/A,FALSE,"Sch C"}</definedName>
    <definedName name="wrn.SchC." localSheetId="12" hidden="1">{"SchC1",#N/A,FALSE,"Sch C";"SchC2",#N/A,FALSE,"Sch C";"SchC3",#N/A,FALSE,"Sch C"}</definedName>
    <definedName name="wrn.SchC." hidden="1">{"SchC1",#N/A,FALSE,"Sch C";"SchC2",#N/A,FALSE,"Sch C";"SchC3",#N/A,FALSE,"Sch C"}</definedName>
    <definedName name="wrn.SchC1." localSheetId="0" hidden="1">{"SchC1",#N/A,FALSE,"Sch C"}</definedName>
    <definedName name="wrn.SchC1." localSheetId="2" hidden="1">{"SchC1",#N/A,FALSE,"Sch C"}</definedName>
    <definedName name="wrn.SchC1." localSheetId="7" hidden="1">{"SchC1",#N/A,FALSE,"Sch C"}</definedName>
    <definedName name="wrn.SchC1." localSheetId="8" hidden="1">{"SchC1",#N/A,FALSE,"Sch C"}</definedName>
    <definedName name="wrn.SchC1." localSheetId="9" hidden="1">{"SchC1",#N/A,FALSE,"Sch C"}</definedName>
    <definedName name="wrn.SchC1." localSheetId="10" hidden="1">{"SchC1",#N/A,FALSE,"Sch C"}</definedName>
    <definedName name="wrn.SchC1." localSheetId="11" hidden="1">{"SchC1",#N/A,FALSE,"Sch C"}</definedName>
    <definedName name="wrn.SchC1." localSheetId="12" hidden="1">{"SchC1",#N/A,FALSE,"Sch C"}</definedName>
    <definedName name="wrn.SchC1." hidden="1">{"SchC1",#N/A,FALSE,"Sch C"}</definedName>
    <definedName name="wrn.SchC2." localSheetId="0" hidden="1">{"SchC2",#N/A,FALSE,"Sch C"}</definedName>
    <definedName name="wrn.SchC2." localSheetId="2" hidden="1">{"SchC2",#N/A,FALSE,"Sch C"}</definedName>
    <definedName name="wrn.SchC2." localSheetId="7" hidden="1">{"SchC2",#N/A,FALSE,"Sch C"}</definedName>
    <definedName name="wrn.SchC2." localSheetId="8" hidden="1">{"SchC2",#N/A,FALSE,"Sch C"}</definedName>
    <definedName name="wrn.SchC2." localSheetId="9" hidden="1">{"SchC2",#N/A,FALSE,"Sch C"}</definedName>
    <definedName name="wrn.SchC2." localSheetId="10" hidden="1">{"SchC2",#N/A,FALSE,"Sch C"}</definedName>
    <definedName name="wrn.SchC2." localSheetId="11" hidden="1">{"SchC2",#N/A,FALSE,"Sch C"}</definedName>
    <definedName name="wrn.SchC2." localSheetId="12" hidden="1">{"SchC2",#N/A,FALSE,"Sch C"}</definedName>
    <definedName name="wrn.SchC2." hidden="1">{"SchC2",#N/A,FALSE,"Sch C"}</definedName>
    <definedName name="wrn.SchC3." localSheetId="0" hidden="1">{"SchC3",#N/A,FALSE,"Sch C"}</definedName>
    <definedName name="wrn.SchC3." localSheetId="2" hidden="1">{"SchC3",#N/A,FALSE,"Sch C"}</definedName>
    <definedName name="wrn.SchC3." localSheetId="7" hidden="1">{"SchC3",#N/A,FALSE,"Sch C"}</definedName>
    <definedName name="wrn.SchC3." localSheetId="8" hidden="1">{"SchC3",#N/A,FALSE,"Sch C"}</definedName>
    <definedName name="wrn.SchC3." localSheetId="9" hidden="1">{"SchC3",#N/A,FALSE,"Sch C"}</definedName>
    <definedName name="wrn.SchC3." localSheetId="10" hidden="1">{"SchC3",#N/A,FALSE,"Sch C"}</definedName>
    <definedName name="wrn.SchC3." localSheetId="11" hidden="1">{"SchC3",#N/A,FALSE,"Sch C"}</definedName>
    <definedName name="wrn.SchC3." localSheetId="12" hidden="1">{"SchC3",#N/A,FALSE,"Sch C"}</definedName>
    <definedName name="wrn.SchC3." hidden="1">{"SchC3",#N/A,FALSE,"Sch C"}</definedName>
    <definedName name="wrn.SchD." localSheetId="0" hidden="1">{"SchD1",#N/A,FALSE,"Sch D";"SchD2",#N/A,FALSE,"Sch D";"SchD3",#N/A,FALSE,"Sch D";"SchD4",#N/A,FALSE,"Sch D";"SchD5",#N/A,FALSE,"Sch D"}</definedName>
    <definedName name="wrn.SchD." localSheetId="2" hidden="1">{"SchD1",#N/A,FALSE,"Sch D";"SchD2",#N/A,FALSE,"Sch D";"SchD3",#N/A,FALSE,"Sch D";"SchD4",#N/A,FALSE,"Sch D";"SchD5",#N/A,FALSE,"Sch D"}</definedName>
    <definedName name="wrn.SchD." localSheetId="7" hidden="1">{"SchD1",#N/A,FALSE,"Sch D";"SchD2",#N/A,FALSE,"Sch D";"SchD3",#N/A,FALSE,"Sch D";"SchD4",#N/A,FALSE,"Sch D";"SchD5",#N/A,FALSE,"Sch D"}</definedName>
    <definedName name="wrn.SchD." localSheetId="8" hidden="1">{"SchD1",#N/A,FALSE,"Sch D";"SchD2",#N/A,FALSE,"Sch D";"SchD3",#N/A,FALSE,"Sch D";"SchD4",#N/A,FALSE,"Sch D";"SchD5",#N/A,FALSE,"Sch D"}</definedName>
    <definedName name="wrn.SchD." localSheetId="9" hidden="1">{"SchD1",#N/A,FALSE,"Sch D";"SchD2",#N/A,FALSE,"Sch D";"SchD3",#N/A,FALSE,"Sch D";"SchD4",#N/A,FALSE,"Sch D";"SchD5",#N/A,FALSE,"Sch D"}</definedName>
    <definedName name="wrn.SchD." localSheetId="10" hidden="1">{"SchD1",#N/A,FALSE,"Sch D";"SchD2",#N/A,FALSE,"Sch D";"SchD3",#N/A,FALSE,"Sch D";"SchD4",#N/A,FALSE,"Sch D";"SchD5",#N/A,FALSE,"Sch D"}</definedName>
    <definedName name="wrn.SchD." localSheetId="11" hidden="1">{"SchD1",#N/A,FALSE,"Sch D";"SchD2",#N/A,FALSE,"Sch D";"SchD3",#N/A,FALSE,"Sch D";"SchD4",#N/A,FALSE,"Sch D";"SchD5",#N/A,FALSE,"Sch D"}</definedName>
    <definedName name="wrn.SchD." localSheetId="12" hidden="1">{"SchD1",#N/A,FALSE,"Sch D";"SchD2",#N/A,FALSE,"Sch D";"SchD3",#N/A,FALSE,"Sch D";"SchD4",#N/A,FALSE,"Sch D";"SchD5",#N/A,FALSE,"Sch D"}</definedName>
    <definedName name="wrn.SchD." hidden="1">{"SchD1",#N/A,FALSE,"Sch D";"SchD2",#N/A,FALSE,"Sch D";"SchD3",#N/A,FALSE,"Sch D";"SchD4",#N/A,FALSE,"Sch D";"SchD5",#N/A,FALSE,"Sch D"}</definedName>
    <definedName name="wrn.SchD1." localSheetId="0" hidden="1">{"SchD1",#N/A,FALSE,"Sch D"}</definedName>
    <definedName name="wrn.SchD1." localSheetId="2" hidden="1">{"SchD1",#N/A,FALSE,"Sch D"}</definedName>
    <definedName name="wrn.SchD1." localSheetId="7" hidden="1">{"SchD1",#N/A,FALSE,"Sch D"}</definedName>
    <definedName name="wrn.SchD1." localSheetId="8" hidden="1">{"SchD1",#N/A,FALSE,"Sch D"}</definedName>
    <definedName name="wrn.SchD1." localSheetId="9" hidden="1">{"SchD1",#N/A,FALSE,"Sch D"}</definedName>
    <definedName name="wrn.SchD1." localSheetId="10" hidden="1">{"SchD1",#N/A,FALSE,"Sch D"}</definedName>
    <definedName name="wrn.SchD1." localSheetId="11" hidden="1">{"SchD1",#N/A,FALSE,"Sch D"}</definedName>
    <definedName name="wrn.SchD1." localSheetId="12" hidden="1">{"SchD1",#N/A,FALSE,"Sch D"}</definedName>
    <definedName name="wrn.SchD1." hidden="1">{"SchD1",#N/A,FALSE,"Sch D"}</definedName>
    <definedName name="wrn.SchD2." localSheetId="0" hidden="1">{"SchD2",#N/A,FALSE,"Sch D"}</definedName>
    <definedName name="wrn.SchD2." localSheetId="2" hidden="1">{"SchD2",#N/A,FALSE,"Sch D"}</definedName>
    <definedName name="wrn.SchD2." localSheetId="7" hidden="1">{"SchD2",#N/A,FALSE,"Sch D"}</definedName>
    <definedName name="wrn.SchD2." localSheetId="8" hidden="1">{"SchD2",#N/A,FALSE,"Sch D"}</definedName>
    <definedName name="wrn.SchD2." localSheetId="9" hidden="1">{"SchD2",#N/A,FALSE,"Sch D"}</definedName>
    <definedName name="wrn.SchD2." localSheetId="10" hidden="1">{"SchD2",#N/A,FALSE,"Sch D"}</definedName>
    <definedName name="wrn.SchD2." localSheetId="11" hidden="1">{"SchD2",#N/A,FALSE,"Sch D"}</definedName>
    <definedName name="wrn.SchD2." localSheetId="12" hidden="1">{"SchD2",#N/A,FALSE,"Sch D"}</definedName>
    <definedName name="wrn.SchD2." hidden="1">{"SchD2",#N/A,FALSE,"Sch D"}</definedName>
    <definedName name="wrn.SchD3." localSheetId="0" hidden="1">{"SchD3",#N/A,FALSE,"Sch D"}</definedName>
    <definedName name="wrn.SchD3." localSheetId="2" hidden="1">{"SchD3",#N/A,FALSE,"Sch D"}</definedName>
    <definedName name="wrn.SchD3." localSheetId="7" hidden="1">{"SchD3",#N/A,FALSE,"Sch D"}</definedName>
    <definedName name="wrn.SchD3." localSheetId="8" hidden="1">{"SchD3",#N/A,FALSE,"Sch D"}</definedName>
    <definedName name="wrn.SchD3." localSheetId="9" hidden="1">{"SchD3",#N/A,FALSE,"Sch D"}</definedName>
    <definedName name="wrn.SchD3." localSheetId="10" hidden="1">{"SchD3",#N/A,FALSE,"Sch D"}</definedName>
    <definedName name="wrn.SchD3." localSheetId="11" hidden="1">{"SchD3",#N/A,FALSE,"Sch D"}</definedName>
    <definedName name="wrn.SchD3." localSheetId="12" hidden="1">{"SchD3",#N/A,FALSE,"Sch D"}</definedName>
    <definedName name="wrn.SchD3." hidden="1">{"SchD3",#N/A,FALSE,"Sch D"}</definedName>
    <definedName name="wrn.SchD4." localSheetId="0" hidden="1">{"SchD4",#N/A,FALSE,"Sch D"}</definedName>
    <definedName name="wrn.SchD4." localSheetId="2" hidden="1">{"SchD4",#N/A,FALSE,"Sch D"}</definedName>
    <definedName name="wrn.SchD4." localSheetId="7" hidden="1">{"SchD4",#N/A,FALSE,"Sch D"}</definedName>
    <definedName name="wrn.SchD4." localSheetId="8" hidden="1">{"SchD4",#N/A,FALSE,"Sch D"}</definedName>
    <definedName name="wrn.SchD4." localSheetId="9" hidden="1">{"SchD4",#N/A,FALSE,"Sch D"}</definedName>
    <definedName name="wrn.SchD4." localSheetId="10" hidden="1">{"SchD4",#N/A,FALSE,"Sch D"}</definedName>
    <definedName name="wrn.SchD4." localSheetId="11" hidden="1">{"SchD4",#N/A,FALSE,"Sch D"}</definedName>
    <definedName name="wrn.SchD4." localSheetId="12" hidden="1">{"SchD4",#N/A,FALSE,"Sch D"}</definedName>
    <definedName name="wrn.SchD4." hidden="1">{"SchD4",#N/A,FALSE,"Sch D"}</definedName>
    <definedName name="wrn.SchD5." localSheetId="0" hidden="1">{"SchD5",#N/A,FALSE,"Sch D"}</definedName>
    <definedName name="wrn.SchD5." localSheetId="2" hidden="1">{"SchD5",#N/A,FALSE,"Sch D"}</definedName>
    <definedName name="wrn.SchD5." localSheetId="7" hidden="1">{"SchD5",#N/A,FALSE,"Sch D"}</definedName>
    <definedName name="wrn.SchD5." localSheetId="8" hidden="1">{"SchD5",#N/A,FALSE,"Sch D"}</definedName>
    <definedName name="wrn.SchD5." localSheetId="9" hidden="1">{"SchD5",#N/A,FALSE,"Sch D"}</definedName>
    <definedName name="wrn.SchD5." localSheetId="10" hidden="1">{"SchD5",#N/A,FALSE,"Sch D"}</definedName>
    <definedName name="wrn.SchD5." localSheetId="11" hidden="1">{"SchD5",#N/A,FALSE,"Sch D"}</definedName>
    <definedName name="wrn.SchD5." localSheetId="12" hidden="1">{"SchD5",#N/A,FALSE,"Sch D"}</definedName>
    <definedName name="wrn.SchD5." hidden="1">{"SchD5",#N/A,FALSE,"Sch D"}</definedName>
    <definedName name="wrn.SchE." localSheetId="0" hidden="1">{"SchE1.1",#N/A,FALSE,"Sch E";"SchE1.2",#N/A,FALSE,"Sch E";"SchE1.3",#N/A,FALSE,"Sch E";"SchE1.4",#N/A,FALSE,"Sch E";"SchE1.5",#N/A,FALSE,"Sch E";"SchE2",#N/A,FALSE,"Sch E"}</definedName>
    <definedName name="wrn.SchE." localSheetId="2" hidden="1">{"SchE1.1",#N/A,FALSE,"Sch E";"SchE1.2",#N/A,FALSE,"Sch E";"SchE1.3",#N/A,FALSE,"Sch E";"SchE1.4",#N/A,FALSE,"Sch E";"SchE1.5",#N/A,FALSE,"Sch E";"SchE2",#N/A,FALSE,"Sch E"}</definedName>
    <definedName name="wrn.SchE." localSheetId="7" hidden="1">{"SchE1.1",#N/A,FALSE,"Sch E";"SchE1.2",#N/A,FALSE,"Sch E";"SchE1.3",#N/A,FALSE,"Sch E";"SchE1.4",#N/A,FALSE,"Sch E";"SchE1.5",#N/A,FALSE,"Sch E";"SchE2",#N/A,FALSE,"Sch E"}</definedName>
    <definedName name="wrn.SchE." localSheetId="8" hidden="1">{"SchE1.1",#N/A,FALSE,"Sch E";"SchE1.2",#N/A,FALSE,"Sch E";"SchE1.3",#N/A,FALSE,"Sch E";"SchE1.4",#N/A,FALSE,"Sch E";"SchE1.5",#N/A,FALSE,"Sch E";"SchE2",#N/A,FALSE,"Sch E"}</definedName>
    <definedName name="wrn.SchE." localSheetId="9" hidden="1">{"SchE1.1",#N/A,FALSE,"Sch E";"SchE1.2",#N/A,FALSE,"Sch E";"SchE1.3",#N/A,FALSE,"Sch E";"SchE1.4",#N/A,FALSE,"Sch E";"SchE1.5",#N/A,FALSE,"Sch E";"SchE2",#N/A,FALSE,"Sch E"}</definedName>
    <definedName name="wrn.SchE." localSheetId="10" hidden="1">{"SchE1.1",#N/A,FALSE,"Sch E";"SchE1.2",#N/A,FALSE,"Sch E";"SchE1.3",#N/A,FALSE,"Sch E";"SchE1.4",#N/A,FALSE,"Sch E";"SchE1.5",#N/A,FALSE,"Sch E";"SchE2",#N/A,FALSE,"Sch E"}</definedName>
    <definedName name="wrn.SchE." localSheetId="11" hidden="1">{"SchE1.1",#N/A,FALSE,"Sch E";"SchE1.2",#N/A,FALSE,"Sch E";"SchE1.3",#N/A,FALSE,"Sch E";"SchE1.4",#N/A,FALSE,"Sch E";"SchE1.5",#N/A,FALSE,"Sch E";"SchE2",#N/A,FALSE,"Sch E"}</definedName>
    <definedName name="wrn.SchE." localSheetId="12" hidden="1">{"SchE1.1",#N/A,FALSE,"Sch E";"SchE1.2",#N/A,FALSE,"Sch E";"SchE1.3",#N/A,FALSE,"Sch E";"SchE1.4",#N/A,FALSE,"Sch E";"SchE1.5",#N/A,FALSE,"Sch E";"SchE2",#N/A,FALSE,"Sch E"}</definedName>
    <definedName name="wrn.SchE." hidden="1">{"SchE1.1",#N/A,FALSE,"Sch E";"SchE1.2",#N/A,FALSE,"Sch E";"SchE1.3",#N/A,FALSE,"Sch E";"SchE1.4",#N/A,FALSE,"Sch E";"SchE1.5",#N/A,FALSE,"Sch E";"SchE2",#N/A,FALSE,"Sch E"}</definedName>
    <definedName name="wrn.SchE1.1." localSheetId="0" hidden="1">{"SchE1.1",#N/A,FALSE,"Sch E"}</definedName>
    <definedName name="wrn.SchE1.1." localSheetId="2" hidden="1">{"SchE1.1",#N/A,FALSE,"Sch E"}</definedName>
    <definedName name="wrn.SchE1.1." localSheetId="7" hidden="1">{"SchE1.1",#N/A,FALSE,"Sch E"}</definedName>
    <definedName name="wrn.SchE1.1." localSheetId="8" hidden="1">{"SchE1.1",#N/A,FALSE,"Sch E"}</definedName>
    <definedName name="wrn.SchE1.1." localSheetId="9" hidden="1">{"SchE1.1",#N/A,FALSE,"Sch E"}</definedName>
    <definedName name="wrn.SchE1.1." localSheetId="10" hidden="1">{"SchE1.1",#N/A,FALSE,"Sch E"}</definedName>
    <definedName name="wrn.SchE1.1." localSheetId="11" hidden="1">{"SchE1.1",#N/A,FALSE,"Sch E"}</definedName>
    <definedName name="wrn.SchE1.1." localSheetId="12" hidden="1">{"SchE1.1",#N/A,FALSE,"Sch E"}</definedName>
    <definedName name="wrn.SchE1.1." hidden="1">{"SchE1.1",#N/A,FALSE,"Sch E"}</definedName>
    <definedName name="wrn.SchE1.2." localSheetId="0" hidden="1">{"SchE1.2",#N/A,FALSE,"Sch E"}</definedName>
    <definedName name="wrn.SchE1.2." localSheetId="2" hidden="1">{"SchE1.2",#N/A,FALSE,"Sch E"}</definedName>
    <definedName name="wrn.SchE1.2." localSheetId="7" hidden="1">{"SchE1.2",#N/A,FALSE,"Sch E"}</definedName>
    <definedName name="wrn.SchE1.2." localSheetId="8" hidden="1">{"SchE1.2",#N/A,FALSE,"Sch E"}</definedName>
    <definedName name="wrn.SchE1.2." localSheetId="9" hidden="1">{"SchE1.2",#N/A,FALSE,"Sch E"}</definedName>
    <definedName name="wrn.SchE1.2." localSheetId="10" hidden="1">{"SchE1.2",#N/A,FALSE,"Sch E"}</definedName>
    <definedName name="wrn.SchE1.2." localSheetId="11" hidden="1">{"SchE1.2",#N/A,FALSE,"Sch E"}</definedName>
    <definedName name="wrn.SchE1.2." localSheetId="12" hidden="1">{"SchE1.2",#N/A,FALSE,"Sch E"}</definedName>
    <definedName name="wrn.SchE1.2." hidden="1">{"SchE1.2",#N/A,FALSE,"Sch E"}</definedName>
    <definedName name="wrn.SchE1.3." localSheetId="0" hidden="1">{"SchE1.3",#N/A,FALSE,"Sch E"}</definedName>
    <definedName name="wrn.SchE1.3." localSheetId="2" hidden="1">{"SchE1.3",#N/A,FALSE,"Sch E"}</definedName>
    <definedName name="wrn.SchE1.3." localSheetId="7" hidden="1">{"SchE1.3",#N/A,FALSE,"Sch E"}</definedName>
    <definedName name="wrn.SchE1.3." localSheetId="8" hidden="1">{"SchE1.3",#N/A,FALSE,"Sch E"}</definedName>
    <definedName name="wrn.SchE1.3." localSheetId="9" hidden="1">{"SchE1.3",#N/A,FALSE,"Sch E"}</definedName>
    <definedName name="wrn.SchE1.3." localSheetId="10" hidden="1">{"SchE1.3",#N/A,FALSE,"Sch E"}</definedName>
    <definedName name="wrn.SchE1.3." localSheetId="11" hidden="1">{"SchE1.3",#N/A,FALSE,"Sch E"}</definedName>
    <definedName name="wrn.SchE1.3." localSheetId="12" hidden="1">{"SchE1.3",#N/A,FALSE,"Sch E"}</definedName>
    <definedName name="wrn.SchE1.3." hidden="1">{"SchE1.3",#N/A,FALSE,"Sch E"}</definedName>
    <definedName name="wrn.SchE1.4." localSheetId="0" hidden="1">{"SchE1.4",#N/A,FALSE,"Sch E"}</definedName>
    <definedName name="wrn.SchE1.4." localSheetId="2" hidden="1">{"SchE1.4",#N/A,FALSE,"Sch E"}</definedName>
    <definedName name="wrn.SchE1.4." localSheetId="7" hidden="1">{"SchE1.4",#N/A,FALSE,"Sch E"}</definedName>
    <definedName name="wrn.SchE1.4." localSheetId="8" hidden="1">{"SchE1.4",#N/A,FALSE,"Sch E"}</definedName>
    <definedName name="wrn.SchE1.4." localSheetId="9" hidden="1">{"SchE1.4",#N/A,FALSE,"Sch E"}</definedName>
    <definedName name="wrn.SchE1.4." localSheetId="10" hidden="1">{"SchE1.4",#N/A,FALSE,"Sch E"}</definedName>
    <definedName name="wrn.SchE1.4." localSheetId="11" hidden="1">{"SchE1.4",#N/A,FALSE,"Sch E"}</definedName>
    <definedName name="wrn.SchE1.4." localSheetId="12" hidden="1">{"SchE1.4",#N/A,FALSE,"Sch E"}</definedName>
    <definedName name="wrn.SchE1.4." hidden="1">{"SchE1.4",#N/A,FALSE,"Sch E"}</definedName>
    <definedName name="wrn.SchE1.5." localSheetId="0" hidden="1">{"SchE1.5",#N/A,FALSE,"Sch E"}</definedName>
    <definedName name="wrn.SchE1.5." localSheetId="2" hidden="1">{"SchE1.5",#N/A,FALSE,"Sch E"}</definedName>
    <definedName name="wrn.SchE1.5." localSheetId="7" hidden="1">{"SchE1.5",#N/A,FALSE,"Sch E"}</definedName>
    <definedName name="wrn.SchE1.5." localSheetId="8" hidden="1">{"SchE1.5",#N/A,FALSE,"Sch E"}</definedName>
    <definedName name="wrn.SchE1.5." localSheetId="9" hidden="1">{"SchE1.5",#N/A,FALSE,"Sch E"}</definedName>
    <definedName name="wrn.SchE1.5." localSheetId="10" hidden="1">{"SchE1.5",#N/A,FALSE,"Sch E"}</definedName>
    <definedName name="wrn.SchE1.5." localSheetId="11" hidden="1">{"SchE1.5",#N/A,FALSE,"Sch E"}</definedName>
    <definedName name="wrn.SchE1.5." localSheetId="12" hidden="1">{"SchE1.5",#N/A,FALSE,"Sch E"}</definedName>
    <definedName name="wrn.SchE1.5." hidden="1">{"SchE1.5",#N/A,FALSE,"Sch E"}</definedName>
    <definedName name="wrn.SchE2." localSheetId="0" hidden="1">{"SchE2",#N/A,FALSE,"Sch E"}</definedName>
    <definedName name="wrn.SchE2." localSheetId="2" hidden="1">{"SchE2",#N/A,FALSE,"Sch E"}</definedName>
    <definedName name="wrn.SchE2." localSheetId="7" hidden="1">{"SchE2",#N/A,FALSE,"Sch E"}</definedName>
    <definedName name="wrn.SchE2." localSheetId="8" hidden="1">{"SchE2",#N/A,FALSE,"Sch E"}</definedName>
    <definedName name="wrn.SchE2." localSheetId="9" hidden="1">{"SchE2",#N/A,FALSE,"Sch E"}</definedName>
    <definedName name="wrn.SchE2." localSheetId="10" hidden="1">{"SchE2",#N/A,FALSE,"Sch E"}</definedName>
    <definedName name="wrn.SchE2." localSheetId="11" hidden="1">{"SchE2",#N/A,FALSE,"Sch E"}</definedName>
    <definedName name="wrn.SchE2." localSheetId="12" hidden="1">{"SchE2",#N/A,FALSE,"Sch E"}</definedName>
    <definedName name="wrn.SchE2." hidden="1">{"SchE2",#N/A,FALSE,"Sch E"}</definedName>
    <definedName name="wrn.SchH." localSheetId="0" hidden="1">{"SchH",#N/A,FALSE,"Sch H"}</definedName>
    <definedName name="wrn.SchH." localSheetId="2" hidden="1">{"SchH",#N/A,FALSE,"Sch H"}</definedName>
    <definedName name="wrn.SchH." localSheetId="7" hidden="1">{"SchH",#N/A,FALSE,"Sch H"}</definedName>
    <definedName name="wrn.SchH." localSheetId="8" hidden="1">{"SchH",#N/A,FALSE,"Sch H"}</definedName>
    <definedName name="wrn.SchH." localSheetId="9" hidden="1">{"SchH",#N/A,FALSE,"Sch H"}</definedName>
    <definedName name="wrn.SchH." localSheetId="10" hidden="1">{"SchH",#N/A,FALSE,"Sch H"}</definedName>
    <definedName name="wrn.SchH." localSheetId="11" hidden="1">{"SchH",#N/A,FALSE,"Sch H"}</definedName>
    <definedName name="wrn.SchH." localSheetId="12" hidden="1">{"SchH",#N/A,FALSE,"Sch H"}</definedName>
    <definedName name="wrn.SchH." hidden="1">{"SchH",#N/A,FALSE,"Sch H"}</definedName>
    <definedName name="wrn.Waste._.Disposal." localSheetId="14" hidden="1">{"Waste Disposal",#N/A,FALSE,"Waste Disposal"}</definedName>
    <definedName name="wrn.Waste._.Disposal." hidden="1">{"Waste Disposal",#N/A,FALSE,"Waste Disposal"}</definedName>
    <definedName name="Z_7C563BF8_17FC_11D3_9451_0008C780B76A_.wvu.PrintArea" localSheetId="14" hidden="1">'Sch 10 support'!$A$1:$S$4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<sst xmlns="http://schemas.openxmlformats.org/spreadsheetml/2006/main" count="688" uniqueCount="357">
  <si>
    <t>Line</t>
  </si>
  <si>
    <t>Description</t>
  </si>
  <si>
    <t/>
  </si>
  <si>
    <t>Revenue Conversion Factor</t>
  </si>
  <si>
    <t>AG</t>
  </si>
  <si>
    <t>1/</t>
  </si>
  <si>
    <t>KENTUCKY AMERICAN WATER COMPANY</t>
  </si>
  <si>
    <t>FUTURE TEST YEAR ENDING NOVEMBER 30, 2008</t>
  </si>
  <si>
    <t>Adjustment - Pre Tax</t>
  </si>
  <si>
    <t>Amount</t>
  </si>
  <si>
    <t>Tax Effect (L. 3 * L. 4)</t>
  </si>
  <si>
    <t>Tax Effect (L. 2 * L. 3)</t>
  </si>
  <si>
    <t>Adjustment - Pre Tax (L. 2 - L. 1)</t>
  </si>
  <si>
    <t>Tax Rate</t>
  </si>
  <si>
    <t>Revenue Requirement (L. 6 * L. 7)</t>
  </si>
  <si>
    <t>Adjustment - Post Tax (L. 3 + L. 5)</t>
  </si>
  <si>
    <t>Adjustment - Post Tax (L. 2 + L. 4)</t>
  </si>
  <si>
    <t>Revenue Requirement (L. 5 * L. 6)</t>
  </si>
  <si>
    <t>Adjusted to remove 8% increase</t>
  </si>
  <si>
    <t>Eliminate Excess Management Fees</t>
  </si>
  <si>
    <t>Excess Management Fees  1/</t>
  </si>
  <si>
    <t>Total To Be Removed (L. 1 + L. 2)</t>
  </si>
  <si>
    <t>Tax Effect (L. 4 * L. 5)</t>
  </si>
  <si>
    <t>Adjustment - Post Tax (L. 4 + L. 6)</t>
  </si>
  <si>
    <t>Revenue Requirement (L. 7 * L. 8)</t>
  </si>
  <si>
    <t>1/  Response to Staff 3-13</t>
  </si>
  <si>
    <t>Less:  Business Development   2/</t>
  </si>
  <si>
    <t>Remove Management Fees Related to Business Development</t>
  </si>
  <si>
    <t xml:space="preserve">Adjustment - Pre Tax </t>
  </si>
  <si>
    <t xml:space="preserve"> </t>
  </si>
  <si>
    <t>2/</t>
  </si>
  <si>
    <t>Interest Synchronization</t>
  </si>
  <si>
    <t>Pro Forma Rate Base</t>
  </si>
  <si>
    <t>Weighted Cost of Debt</t>
  </si>
  <si>
    <t>Pro Forma Interest Expense</t>
  </si>
  <si>
    <t>Company Claim</t>
  </si>
  <si>
    <t>Increase in Taxable Income</t>
  </si>
  <si>
    <t>Income Taxes</t>
  </si>
  <si>
    <t xml:space="preserve">Kentucky American Water </t>
  </si>
  <si>
    <t>Future Test Year Ending November 30, 2008</t>
  </si>
  <si>
    <t>Consolidated Income Tax Adjustment</t>
  </si>
  <si>
    <t>(A)</t>
  </si>
  <si>
    <t>(B)</t>
  </si>
  <si>
    <t>(C)</t>
  </si>
  <si>
    <t>Positive Taxable Income</t>
  </si>
  <si>
    <t>KAWC Taxable Income</t>
  </si>
  <si>
    <t>Percent KAWC</t>
  </si>
  <si>
    <t>Tax Loses Allocated to KAWC</t>
  </si>
  <si>
    <t>Three Year Average</t>
  </si>
  <si>
    <t>Federal Income Taxes @ 35%</t>
  </si>
  <si>
    <t>Sources:</t>
  </si>
  <si>
    <t>3/</t>
  </si>
  <si>
    <t xml:space="preserve">1/  </t>
  </si>
  <si>
    <t>Tax Losses   1/</t>
  </si>
  <si>
    <t>Response to PSC DR 3-52</t>
  </si>
  <si>
    <t xml:space="preserve">Company Depreciation Expense  </t>
  </si>
  <si>
    <t xml:space="preserve">Snavely King Depreciation Expense   </t>
  </si>
  <si>
    <t>KAWC Schedule C-2, p. 1.</t>
  </si>
  <si>
    <t xml:space="preserve"> by "KAW_R_AGDR2#6_RB07_071607.xls" when AG recommended</t>
  </si>
  <si>
    <t>depreciation rates are used.</t>
  </si>
  <si>
    <t>See PSC DRs 2-5 and 3-3.</t>
  </si>
  <si>
    <t xml:space="preserve">Company Incentive Pay  </t>
  </si>
  <si>
    <t>See KAW_R-PSCDR1#1a_WP_REVISED_062507, p. 61 of 78.</t>
  </si>
  <si>
    <t>Disallow 8% Increase to Group Insurance</t>
  </si>
  <si>
    <t xml:space="preserve">Amount per Company  </t>
  </si>
  <si>
    <t>"KAW_R_AGDR1#46_insgroup_061807.xls" adjusted to remove 8% increase.</t>
  </si>
  <si>
    <t xml:space="preserve">Amount per Company </t>
  </si>
  <si>
    <t xml:space="preserve">1/ </t>
  </si>
  <si>
    <t>Source:</t>
  </si>
  <si>
    <t>Remove Wastewater Portion of Production Tech Position</t>
  </si>
  <si>
    <t>Wastewater portion of position</t>
  </si>
  <si>
    <t>See PSC 3-1.</t>
  </si>
  <si>
    <t>KAWC Schedule E-1.3, page 1 of 2.</t>
  </si>
  <si>
    <t>Index</t>
  </si>
  <si>
    <t>Schedule</t>
  </si>
  <si>
    <t>Adjustment No.</t>
  </si>
  <si>
    <t>Schedule 1</t>
  </si>
  <si>
    <t>Schedule 2</t>
  </si>
  <si>
    <t>Schedule 3</t>
  </si>
  <si>
    <t>Operating Income Adjustments</t>
  </si>
  <si>
    <t>Schedule 4</t>
  </si>
  <si>
    <t>Schedule 5</t>
  </si>
  <si>
    <t>Schedule 6</t>
  </si>
  <si>
    <t>Schedule 7</t>
  </si>
  <si>
    <t>Schedule 8</t>
  </si>
  <si>
    <t>Adjustment for Excess Management Fees</t>
  </si>
  <si>
    <t>Adjustment to Depreciation Expense</t>
  </si>
  <si>
    <t>Adjustment to Group Insurance</t>
  </si>
  <si>
    <t>Adjustment for Wastewater Technician</t>
  </si>
  <si>
    <t>Adjustment for Interest Synchronization</t>
  </si>
  <si>
    <t>AG Adjustment No. 3</t>
  </si>
  <si>
    <t>AG Adjustment No. 4</t>
  </si>
  <si>
    <t>AG Adjustment No. 5</t>
  </si>
  <si>
    <t>Reflect AG Recommended Depreciation Rates</t>
  </si>
  <si>
    <t>ESTIMATED SURVIVOR CURVE, ORIGINAL COST, BOOK DEPRECIATION RESERVE AND CALCULATED</t>
  </si>
  <si>
    <t>ANNUAL DEPRECIATION ACCRUALS RELATED TO UTILITY PLANT AT DECEMBER 31, 2006</t>
  </si>
  <si>
    <t xml:space="preserve">USED TO ALLOCATE </t>
  </si>
  <si>
    <t>COR RESERVE ONLY</t>
  </si>
  <si>
    <t>ALLOCATION</t>
  </si>
  <si>
    <t>CURRENT</t>
  </si>
  <si>
    <t>OF</t>
  </si>
  <si>
    <t>ORIGINAL COST</t>
  </si>
  <si>
    <t>COMPOSITE</t>
  </si>
  <si>
    <t>ANNUAL</t>
  </si>
  <si>
    <t>12/31/06</t>
  </si>
  <si>
    <t>BOOK</t>
  </si>
  <si>
    <t>TOTAL</t>
  </si>
  <si>
    <t>CALCULATED ANNUAL</t>
  </si>
  <si>
    <t xml:space="preserve">AT </t>
  </si>
  <si>
    <t>SURVIVOR</t>
  </si>
  <si>
    <t>REMAINING</t>
  </si>
  <si>
    <t>NET</t>
  </si>
  <si>
    <t>COR</t>
  </si>
  <si>
    <t>DEPRECIATION</t>
  </si>
  <si>
    <t>FUTURE</t>
  </si>
  <si>
    <t>ACCRUAL</t>
  </si>
  <si>
    <t>DEPRECIABLE GROUP</t>
  </si>
  <si>
    <t>DECEMBER 31, 2006</t>
  </si>
  <si>
    <t>CURVE</t>
  </si>
  <si>
    <t>ASL</t>
  </si>
  <si>
    <t>SALVAGE</t>
  </si>
  <si>
    <t>RESERVE</t>
  </si>
  <si>
    <t>ACCRUALS</t>
  </si>
  <si>
    <t>AMOUNT</t>
  </si>
  <si>
    <t>RATE</t>
  </si>
  <si>
    <t>(1)</t>
  </si>
  <si>
    <t>(2)</t>
  </si>
  <si>
    <t>(3)</t>
  </si>
  <si>
    <t>(4)</t>
  </si>
  <si>
    <t>(5)</t>
  </si>
  <si>
    <t>(6)</t>
  </si>
  <si>
    <t>(7)</t>
  </si>
  <si>
    <t>(8)=(6)+(7)</t>
  </si>
  <si>
    <t>(9)</t>
  </si>
  <si>
    <t>(10)=(9)/(4)</t>
  </si>
  <si>
    <t>(11)=(10)/(2)</t>
  </si>
  <si>
    <t>STRUCTURES &amp; IMPROVEMENTS</t>
  </si>
  <si>
    <t xml:space="preserve">SOURCE OF SUPPLY           </t>
  </si>
  <si>
    <t>35-S2</t>
  </si>
  <si>
    <t>S2</t>
  </si>
  <si>
    <t xml:space="preserve">POWER &amp; PUMPING STRUCTURES </t>
  </si>
  <si>
    <t>65-R3</t>
  </si>
  <si>
    <t>R3</t>
  </si>
  <si>
    <t xml:space="preserve">WATER TREATMENT            </t>
  </si>
  <si>
    <t>TRANSMISSION &amp; DISTRIBUTION</t>
  </si>
  <si>
    <t>25-S2</t>
  </si>
  <si>
    <t>0</t>
  </si>
  <si>
    <t xml:space="preserve">OFFICE BUILDINGS           </t>
  </si>
  <si>
    <t>55-R2.5</t>
  </si>
  <si>
    <t>R2.5</t>
  </si>
  <si>
    <t>STORE, SHOP &amp; GARAGE STRUCTURES</t>
  </si>
  <si>
    <t>45-R3</t>
  </si>
  <si>
    <t xml:space="preserve">MISCELLANEOUS STRUCTURES   </t>
  </si>
  <si>
    <t>25-R1.5</t>
  </si>
  <si>
    <t>R1.5</t>
  </si>
  <si>
    <t>TOTAL ACCOUNT 304</t>
  </si>
  <si>
    <t xml:space="preserve">COLLECTING AND IMPOUNDING RESERVOIRS    </t>
  </si>
  <si>
    <t>75-R4</t>
  </si>
  <si>
    <t>R4</t>
  </si>
  <si>
    <t xml:space="preserve">LAKE, RIVER AND OTHER INTAKES           </t>
  </si>
  <si>
    <t>50-R2.5</t>
  </si>
  <si>
    <t xml:space="preserve">SUPPLY MAINS                            </t>
  </si>
  <si>
    <t>65-S2.5</t>
  </si>
  <si>
    <t>S2.5</t>
  </si>
  <si>
    <t xml:space="preserve">OTHER POWER GENERATION EQUIPMENT        </t>
  </si>
  <si>
    <t>35-S2.5</t>
  </si>
  <si>
    <t>PUMPING EQUIPMENT</t>
  </si>
  <si>
    <t xml:space="preserve">ELECTRIC       </t>
  </si>
  <si>
    <t>50-R3</t>
  </si>
  <si>
    <t>DIESEL</t>
  </si>
  <si>
    <t>HYDRAULIC</t>
  </si>
  <si>
    <t>TOTAL ACCOUNT 311</t>
  </si>
  <si>
    <t xml:space="preserve">PURIFICATION SYSTEM - EQUIPMENT         </t>
  </si>
  <si>
    <t>55-S2</t>
  </si>
  <si>
    <t xml:space="preserve">DISTRIBUTION RESERVOIRS AND STANDPIPES   </t>
  </si>
  <si>
    <t>60-R4</t>
  </si>
  <si>
    <t>MAINS &amp; ACCESSORIES</t>
  </si>
  <si>
    <t>75-S2</t>
  </si>
  <si>
    <t xml:space="preserve">SERVICES </t>
  </si>
  <si>
    <t>70-R3</t>
  </si>
  <si>
    <t>METERS</t>
  </si>
  <si>
    <t>40-R1.5</t>
  </si>
  <si>
    <t xml:space="preserve">BRONZE CASE </t>
  </si>
  <si>
    <t>PLASTIC CASE</t>
  </si>
  <si>
    <t xml:space="preserve">OTHER       </t>
  </si>
  <si>
    <t>TOTAL ACCOUNT 334.1</t>
  </si>
  <si>
    <t xml:space="preserve">METER INSTALLATIONS    </t>
  </si>
  <si>
    <t xml:space="preserve">FIRE HYDRANTS          </t>
  </si>
  <si>
    <t>75-R3</t>
  </si>
  <si>
    <t>OTHER SOURCE OF SUPPLY PLANT</t>
  </si>
  <si>
    <t>5-SQ</t>
  </si>
  <si>
    <t>SQ</t>
  </si>
  <si>
    <t>OFFICE FURNITURE &amp; EQUIPMENT</t>
  </si>
  <si>
    <t xml:space="preserve">FURNITURE                 </t>
  </si>
  <si>
    <t>20-SQ</t>
  </si>
  <si>
    <t xml:space="preserve">MAINFRAME                 </t>
  </si>
  <si>
    <t xml:space="preserve">PERSONAL COMPUTERS       </t>
  </si>
  <si>
    <t xml:space="preserve">PERIPHERAL-OTHER          </t>
  </si>
  <si>
    <t xml:space="preserve">COMPUTER SOFTWARE         </t>
  </si>
  <si>
    <t>COMPUTER SOFTWARE-PERSONAL</t>
  </si>
  <si>
    <t xml:space="preserve">COMPUTER SOFTWARE-OTHER   </t>
  </si>
  <si>
    <t xml:space="preserve">OTHER                     </t>
  </si>
  <si>
    <t>15-SQ</t>
  </si>
  <si>
    <t>TOTAL ACCOUNT 340</t>
  </si>
  <si>
    <t>TRANSPORTATION EQUIPMENT</t>
  </si>
  <si>
    <t>LIGHT DUTY TRUCKS</t>
  </si>
  <si>
    <t>13-S2.5</t>
  </si>
  <si>
    <t>20</t>
  </si>
  <si>
    <t>HEAVY DUTY TRUCKS</t>
  </si>
  <si>
    <t>15-S2.5</t>
  </si>
  <si>
    <t>15</t>
  </si>
  <si>
    <t xml:space="preserve">AUTOS            </t>
  </si>
  <si>
    <t>10-R4</t>
  </si>
  <si>
    <t xml:space="preserve">OTHER            </t>
  </si>
  <si>
    <t>16-L2.5</t>
  </si>
  <si>
    <t>L2.5</t>
  </si>
  <si>
    <t>TOTAL ACCOUNT 341</t>
  </si>
  <si>
    <t xml:space="preserve">STORES EQUIPMENT                       </t>
  </si>
  <si>
    <t>25-SQ</t>
  </si>
  <si>
    <t xml:space="preserve">TOOLS, SHOP AND GARAGE EQUIPMENT       </t>
  </si>
  <si>
    <t xml:space="preserve">LABORATORY EQUIPMENT                   </t>
  </si>
  <si>
    <t xml:space="preserve">POWER OPERATED EQUIPMENT               </t>
  </si>
  <si>
    <t>18-L2.5</t>
  </si>
  <si>
    <t>25</t>
  </si>
  <si>
    <t>COMMUNICATION EQUIPMENT - NON-TELEPHONE</t>
  </si>
  <si>
    <t xml:space="preserve">MISCELLANEOUS EQUIPMENT                </t>
  </si>
  <si>
    <t xml:space="preserve">OTHER TANGIBLE PROPERTY                </t>
  </si>
  <si>
    <t>TOTAL DEPRECIABLE PLANT</t>
  </si>
  <si>
    <t>COMPANY PROPOSED</t>
  </si>
  <si>
    <t>DIFFERNCE FROM COMPANY</t>
  </si>
  <si>
    <t>Cols. (1) - (5)  and (7) from Exhibit JJS-1, pages III-4 through III-5.</t>
  </si>
  <si>
    <t xml:space="preserve">Col. (6) total 12/31/06 COR reserve from response to AG 1-228.  Allocated to accounts based on current annual COR accruals (plant multiplied by current NS ratio divided by remaining life).  </t>
  </si>
  <si>
    <t>Allocated to accounts with negative (current) net salvage ratios only.</t>
  </si>
  <si>
    <t>ESTIMATED PRESENT VALUE - FUTURE NET SALVAGE RATIO</t>
  </si>
  <si>
    <t>RECORDED</t>
  </si>
  <si>
    <t>PV</t>
  </si>
  <si>
    <t>GROSS PLANT</t>
  </si>
  <si>
    <t>NS</t>
  </si>
  <si>
    <t>FNS</t>
  </si>
  <si>
    <t>ACCOUNT</t>
  </si>
  <si>
    <t>AS OF 12/31/06</t>
  </si>
  <si>
    <t>AVG. NS</t>
  </si>
  <si>
    <t>FACTOR</t>
  </si>
  <si>
    <t>RATIO</t>
  </si>
  <si>
    <t>(a)</t>
  </si>
  <si>
    <t>(b)</t>
  </si>
  <si>
    <t>(c)=(b)/(a)</t>
  </si>
  <si>
    <t>(d)</t>
  </si>
  <si>
    <t>(e)=(c)*(d)</t>
  </si>
  <si>
    <t>(f)=(e)*(a)</t>
  </si>
  <si>
    <t>Col. (b) from Exhibit JJS-1, page III-89.</t>
  </si>
  <si>
    <t>INCORPORATING COR RESERVE INTO BOOK RESERVE AND REFLECTING AG NET SALVAGE ADJUSTMENT</t>
  </si>
  <si>
    <t>SPANOS</t>
  </si>
  <si>
    <t>CURVE  1/</t>
  </si>
  <si>
    <t>LIFE  2/</t>
  </si>
  <si>
    <t>Spanos proposed lives and curves.</t>
  </si>
  <si>
    <t>Straight-line, Broad Group, Remaining Life method, procedure and technique.</t>
  </si>
  <si>
    <t>ARL</t>
  </si>
  <si>
    <t>Majoros Recommendation</t>
  </si>
  <si>
    <t>Conclusion:</t>
  </si>
  <si>
    <t xml:space="preserve">Negative 20 percent is a reasonable approximation of the present value of the future net </t>
  </si>
  <si>
    <t>salvage ratio for this account.</t>
  </si>
  <si>
    <t>SUMMARY OF SPANOS NET SALVAGE ANALYSIS AND RECOMMENDATIONS</t>
  </si>
  <si>
    <t>REGULAR</t>
  </si>
  <si>
    <t>RETIREMENTS</t>
  </si>
  <si>
    <t>COST OF REMOVAL</t>
  </si>
  <si>
    <t>PERCENT</t>
  </si>
  <si>
    <t>GROSS SALVAGE</t>
  </si>
  <si>
    <t>NET SALVAGE</t>
  </si>
  <si>
    <t>AVERAGE  - 2002 to 2006</t>
  </si>
  <si>
    <t>PROPOSAL</t>
  </si>
  <si>
    <t>304.20 and 304.3</t>
  </si>
  <si>
    <t>POWER &amp; PUMPING STRUCTURES &amp; WATER TREATMENT</t>
  </si>
  <si>
    <t>(e)=(d)/(a)</t>
  </si>
  <si>
    <t>(f)=(d)-(b)</t>
  </si>
  <si>
    <t>(g)=(f)/(a)</t>
  </si>
  <si>
    <t>(h)</t>
  </si>
  <si>
    <t xml:space="preserve">Source:  </t>
  </si>
  <si>
    <t>Cols. (a), (b) and (d) from Exhibit JJS-1, pages III-71 through III-101.</t>
  </si>
  <si>
    <t>Col. (h) from Exhibit JJS-1, pages III-4 through III-5.</t>
  </si>
  <si>
    <t xml:space="preserve">Rates calculated on pages 2-3.  Expense amount as calculated </t>
  </si>
  <si>
    <t>AG change to NS ratio to reflect present value.  See page 4 for reasonableness test.</t>
  </si>
  <si>
    <t>Col. (9) = Col. (2) plus (Col. (2) * Col. (5)) less Col. (8).</t>
  </si>
  <si>
    <t>AG Adjustment No. 6</t>
  </si>
  <si>
    <t>Remove Incentive Pay</t>
  </si>
  <si>
    <t>AG Adjustment No. 7</t>
  </si>
  <si>
    <t>AG Adjustment No. 8</t>
  </si>
  <si>
    <t xml:space="preserve"> Response to PSC 2-22c.</t>
  </si>
  <si>
    <t>AG Adjustment No. 9</t>
  </si>
  <si>
    <t>AG Adjustment No. 10</t>
  </si>
  <si>
    <t>See Exhibit___(MJM-2).</t>
  </si>
  <si>
    <t>See Exhibit___(MJM-3), Schedule 1.</t>
  </si>
  <si>
    <t>2/  See Schedule 6.</t>
  </si>
  <si>
    <t>BASED ON AVERAGE COST FOR 2002 - 2006</t>
  </si>
  <si>
    <t>Adjustment for Consolidated Income Tax Savings</t>
  </si>
  <si>
    <t>Adjustment to Incentive Pay</t>
  </si>
  <si>
    <t>Adjustment to Business Development Management Fees</t>
  </si>
  <si>
    <t>Company AFUDC Revenue above the line</t>
  </si>
  <si>
    <t>Less:  AFUDC Revenue adj. for 7.77 ROE</t>
  </si>
  <si>
    <t>Difference (L. 1 - L. 2)</t>
  </si>
  <si>
    <t>Adjust AFUDC Revenue for Recommended 7.77% ROE</t>
  </si>
  <si>
    <t>2/  KAW_R_AGDR1#46_const_061807.xls, AFUDC tab, with proposed</t>
  </si>
  <si>
    <t>book AFUDC rate set to 7.77%.</t>
  </si>
  <si>
    <t>1/  KAWC Schedule D-1, p. 1 of 19.</t>
  </si>
  <si>
    <t>AG Adjustment No. 11 (Update)</t>
  </si>
  <si>
    <t>AG Adjustment No. 12 (Update)</t>
  </si>
  <si>
    <t>Adjust Uncollectibles Expense for AG Uncollectible Rate</t>
  </si>
  <si>
    <t>Company Uncollectibles Expense</t>
  </si>
  <si>
    <t>AG Uncollectibles Expense</t>
  </si>
  <si>
    <t>1/  KAW_R_AGDR1#46_custacct_061807.xls, Uncollectibles tab.</t>
  </si>
  <si>
    <t>2/  KAW_R_AGDR1#46_const_061807.xls, Uncollectibles tab, using</t>
  </si>
  <si>
    <t>AG uncollectibles rate of 0.79%.</t>
  </si>
  <si>
    <t>Adjustment - Post Tax (L. 4 - L. 6)</t>
  </si>
  <si>
    <t>Additional Interest Synchronization</t>
  </si>
  <si>
    <t>Updated Pro Forma Rate Base</t>
  </si>
  <si>
    <t>See Exhibit___(MJM-3) Updated, Schedule 1.</t>
  </si>
  <si>
    <t>AG Original Interest Synchronization Adj.</t>
  </si>
  <si>
    <t>Additional Interest Synchronization Adj.</t>
  </si>
  <si>
    <t>(L. 7 - L. 8)</t>
  </si>
  <si>
    <t>4/</t>
  </si>
  <si>
    <t>See Exhibit___(MJM-4), Schedule 8.</t>
  </si>
  <si>
    <t>Exhibit___(MJM-4) Updated</t>
  </si>
  <si>
    <t>Schedule 9</t>
  </si>
  <si>
    <t>Schedule 10</t>
  </si>
  <si>
    <t>Schedule 11</t>
  </si>
  <si>
    <t>Adjustment for Uncollectibles Expense</t>
  </si>
  <si>
    <t>Adjustment to AFUDC</t>
  </si>
  <si>
    <t>Adjustment for additional Interest Synchronization</t>
  </si>
  <si>
    <t>Remove Memberships</t>
  </si>
  <si>
    <t>Memberships to Rotary Club, Audubon Society,</t>
  </si>
  <si>
    <t>Lexington Forum and Bluegrass Trust</t>
  </si>
  <si>
    <t>AG Adjustment No. 13 (Update)</t>
  </si>
  <si>
    <t>Schedule 12</t>
  </si>
  <si>
    <t>Adjustment for Membership Expenses</t>
  </si>
  <si>
    <t>AG Adjustment No. 15 (Update)</t>
  </si>
  <si>
    <t>Kentucky-American Water Company</t>
  </si>
  <si>
    <t>Forecasted Uncollectibles Expense</t>
  </si>
  <si>
    <t>CASE NO:  2007-00143</t>
  </si>
  <si>
    <t>Hitorical Information</t>
  </si>
  <si>
    <t>Billed Revenues</t>
  </si>
  <si>
    <t>Lexington</t>
  </si>
  <si>
    <t>Elk Lake</t>
  </si>
  <si>
    <t>Tri Village</t>
  </si>
  <si>
    <t>Owenton</t>
  </si>
  <si>
    <t>Total</t>
  </si>
  <si>
    <t>Net charge-offs</t>
  </si>
  <si>
    <t>Historical Information Lexington</t>
  </si>
  <si>
    <t>Historical Information Tri Village</t>
  </si>
  <si>
    <t>Historical Information Elk Lake</t>
  </si>
  <si>
    <t>Historical information Owenton</t>
  </si>
  <si>
    <t>Forecasted Information Dec 07  Nov 08 at present rates</t>
  </si>
  <si>
    <t>Uncollectibles</t>
  </si>
  <si>
    <t>Three year average</t>
  </si>
  <si>
    <t>Uncollectibles Expense using AG Uncollectibles Rate</t>
  </si>
  <si>
    <t>AG Recommended Rate</t>
  </si>
  <si>
    <t>Source:  KAW_R_AGDR1#46_const_061807.xls, Uncollectibles tab.</t>
  </si>
  <si>
    <t>See KAWC Exhibit 37, Schedule F-1.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</si>
</sst>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000000"/>
    <numFmt numFmtId="166" formatCode="0.000000%"/>
    <numFmt numFmtId="167" formatCode="0.00000%"/>
    <numFmt numFmtId="168" formatCode="#,##0.0000000_);\(#,##0.0000000\)"/>
    <numFmt numFmtId="169" formatCode="_(&quot;$&quot;* #,##0_);_(&quot;$&quot;* \(#,##0\);_(&quot;$&quot;* &quot;-&quot;??_);_(@_)"/>
    <numFmt numFmtId="170" formatCode="#,##0.000"/>
    <numFmt numFmtId="171" formatCode="_(* #,##0_);_(* \(#,##0\);_(* &quot;-&quot;??_);_(@_)"/>
    <numFmt numFmtId="172" formatCode="0.0000%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0.0%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#,##0.0"/>
    <numFmt numFmtId="181" formatCode="#,##0.0000"/>
    <numFmt numFmtId="182" formatCode="#,##0.00000"/>
    <numFmt numFmtId="183" formatCode="0.00_)"/>
    <numFmt numFmtId="184" formatCode="0_);\(0\)"/>
    <numFmt numFmtId="185" formatCode="0.000%"/>
    <numFmt numFmtId="186" formatCode="_(* #,##0.000000000_);_(* \(#,##0.000000000\);_(* &quot;-&quot;??_);_(@_)"/>
    <numFmt numFmtId="187" formatCode="0.0000"/>
    <numFmt numFmtId="188" formatCode="&quot;$&quot;#,##0"/>
    <numFmt numFmtId="189" formatCode="&quot;$&quot;#,##0.000"/>
    <numFmt numFmtId="190" formatCode="&quot;$&quot;#,##0.00000"/>
    <numFmt numFmtId="191" formatCode="0.0"/>
    <numFmt numFmtId="192" formatCode="_(* #,##0.0_);_(* \(#,##0.0\);_(* &quot;-&quot;?_);_(@_)"/>
    <numFmt numFmtId="193" formatCode="[$-409]dddd\,\ mmmm\ dd\,\ yyyy"/>
    <numFmt numFmtId="194" formatCode="[$$-409]#,##0.00"/>
    <numFmt numFmtId="195" formatCode="&quot;$&quot;#,##0.00"/>
    <numFmt numFmtId="196" formatCode="mmm\-yyyy"/>
    <numFmt numFmtId="197" formatCode="0.000"/>
    <numFmt numFmtId="198" formatCode="#,##0.0_);\(#,##0.0\)"/>
    <numFmt numFmtId="199" formatCode="_(* #,##0.00000_);_(* \(#,##0.00000\);_(* &quot;-&quot;?????_);_(@_)"/>
    <numFmt numFmtId="200" formatCode="#,##0.00000000"/>
  </numFmts>
  <fonts count="3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name val="Arial"/>
      <family val="0"/>
    </font>
    <font>
      <b/>
      <u val="single"/>
      <sz val="12"/>
      <name val="Arial"/>
      <family val="0"/>
    </font>
    <font>
      <sz val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37" fontId="32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23" borderId="7" applyNumberFormat="0" applyFont="0" applyAlignment="0" applyProtection="0"/>
    <xf numFmtId="0" fontId="25" fillId="20" borderId="8" applyNumberFormat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169" fontId="8" fillId="0" borderId="0" xfId="44" applyNumberFormat="1" applyFont="1" applyAlignment="1">
      <alignment/>
    </xf>
    <xf numFmtId="37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171" fontId="9" fillId="0" borderId="0" xfId="42" applyNumberFormat="1" applyFont="1" applyAlignment="1">
      <alignment horizontal="center"/>
    </xf>
    <xf numFmtId="171" fontId="4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169" fontId="4" fillId="0" borderId="0" xfId="44" applyNumberFormat="1" applyFont="1" applyAlignment="1">
      <alignment/>
    </xf>
    <xf numFmtId="171" fontId="4" fillId="0" borderId="0" xfId="42" applyNumberFormat="1" applyFont="1" applyAlignment="1">
      <alignment horizontal="center"/>
    </xf>
    <xf numFmtId="169" fontId="4" fillId="0" borderId="0" xfId="44" applyNumberFormat="1" applyFont="1" applyAlignment="1">
      <alignment/>
    </xf>
    <xf numFmtId="0" fontId="4" fillId="0" borderId="0" xfId="0" applyFont="1" applyFill="1" applyAlignment="1">
      <alignment/>
    </xf>
    <xf numFmtId="169" fontId="4" fillId="0" borderId="10" xfId="44" applyNumberFormat="1" applyFont="1" applyBorder="1" applyAlignment="1">
      <alignment/>
    </xf>
    <xf numFmtId="171" fontId="4" fillId="0" borderId="0" xfId="42" applyNumberFormat="1" applyFont="1" applyBorder="1" applyAlignment="1">
      <alignment/>
    </xf>
    <xf numFmtId="169" fontId="4" fillId="0" borderId="11" xfId="44" applyNumberFormat="1" applyFont="1" applyBorder="1" applyAlignment="1">
      <alignment/>
    </xf>
    <xf numFmtId="171" fontId="4" fillId="0" borderId="10" xfId="42" applyNumberFormat="1" applyFont="1" applyBorder="1" applyAlignment="1">
      <alignment horizontal="center"/>
    </xf>
    <xf numFmtId="10" fontId="4" fillId="0" borderId="0" xfId="62" applyNumberFormat="1" applyFont="1" applyAlignment="1">
      <alignment/>
    </xf>
    <xf numFmtId="10" fontId="4" fillId="0" borderId="10" xfId="62" applyNumberFormat="1" applyFont="1" applyBorder="1" applyAlignment="1">
      <alignment/>
    </xf>
    <xf numFmtId="178" fontId="4" fillId="0" borderId="0" xfId="42" applyNumberFormat="1" applyFont="1" applyBorder="1" applyAlignment="1">
      <alignment/>
    </xf>
    <xf numFmtId="178" fontId="4" fillId="0" borderId="0" xfId="42" applyNumberFormat="1" applyFont="1" applyAlignment="1">
      <alignment/>
    </xf>
    <xf numFmtId="10" fontId="4" fillId="0" borderId="0" xfId="6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42" applyNumberFormat="1" applyFont="1" applyBorder="1" applyAlignment="1">
      <alignment/>
    </xf>
    <xf numFmtId="10" fontId="4" fillId="0" borderId="0" xfId="62" applyNumberFormat="1" applyFont="1" applyBorder="1" applyAlignment="1">
      <alignment/>
    </xf>
    <xf numFmtId="171" fontId="4" fillId="0" borderId="12" xfId="42" applyNumberFormat="1" applyFont="1" applyBorder="1" applyAlignment="1">
      <alignment/>
    </xf>
    <xf numFmtId="169" fontId="4" fillId="0" borderId="0" xfId="44" applyNumberFormat="1" applyFont="1" applyBorder="1" applyAlignment="1">
      <alignment/>
    </xf>
    <xf numFmtId="169" fontId="4" fillId="0" borderId="0" xfId="0" applyNumberFormat="1" applyFont="1" applyAlignment="1">
      <alignment/>
    </xf>
    <xf numFmtId="171" fontId="4" fillId="0" borderId="0" xfId="42" applyNumberFormat="1" applyFont="1" applyFill="1" applyBorder="1" applyAlignment="1">
      <alignment horizontal="center"/>
    </xf>
    <xf numFmtId="171" fontId="4" fillId="0" borderId="0" xfId="42" applyNumberFormat="1" applyFont="1" applyFill="1" applyAlignment="1">
      <alignment/>
    </xf>
    <xf numFmtId="171" fontId="4" fillId="0" borderId="0" xfId="42" applyNumberFormat="1" applyFont="1" applyFill="1" applyBorder="1" applyAlignment="1">
      <alignment/>
    </xf>
    <xf numFmtId="10" fontId="4" fillId="0" borderId="10" xfId="62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1" fillId="0" borderId="0" xfId="59" applyFont="1" applyAlignment="1">
      <alignment horizontal="center"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0" fillId="0" borderId="13" xfId="59" applyFont="1" applyBorder="1" applyAlignment="1">
      <alignment horizontal="center"/>
      <protection/>
    </xf>
    <xf numFmtId="169" fontId="10" fillId="0" borderId="0" xfId="44" applyNumberFormat="1" applyFont="1" applyAlignment="1">
      <alignment/>
    </xf>
    <xf numFmtId="171" fontId="10" fillId="0" borderId="0" xfId="42" applyNumberFormat="1" applyFont="1" applyAlignment="1">
      <alignment/>
    </xf>
    <xf numFmtId="10" fontId="10" fillId="0" borderId="0" xfId="62" applyNumberFormat="1" applyFont="1" applyAlignment="1">
      <alignment/>
    </xf>
    <xf numFmtId="43" fontId="10" fillId="0" borderId="0" xfId="59" applyNumberFormat="1" applyFont="1">
      <alignment/>
      <protection/>
    </xf>
    <xf numFmtId="37" fontId="10" fillId="0" borderId="0" xfId="0" applyNumberFormat="1" applyFont="1" applyFill="1" applyAlignment="1">
      <alignment/>
    </xf>
    <xf numFmtId="171" fontId="4" fillId="0" borderId="0" xfId="42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22" borderId="0" xfId="58" applyNumberFormat="1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left"/>
    </xf>
    <xf numFmtId="0" fontId="1" fillId="0" borderId="0" xfId="58" applyNumberFormat="1" applyFont="1" applyAlignment="1">
      <alignment horizontal="center"/>
      <protection/>
    </xf>
    <xf numFmtId="0" fontId="4" fillId="0" borderId="0" xfId="58" applyNumberFormat="1" applyFont="1" applyAlignment="1">
      <alignment/>
      <protection locked="0"/>
    </xf>
    <xf numFmtId="0" fontId="1" fillId="22" borderId="0" xfId="58" applyFont="1" applyFill="1" applyAlignment="1">
      <alignment/>
      <protection/>
    </xf>
    <xf numFmtId="0" fontId="1" fillId="0" borderId="0" xfId="58" applyFont="1" applyAlignment="1">
      <alignment/>
      <protection/>
    </xf>
    <xf numFmtId="0" fontId="1" fillId="0" borderId="0" xfId="58" applyNumberFormat="1" applyFont="1" applyAlignment="1">
      <alignment horizontal="left"/>
      <protection/>
    </xf>
    <xf numFmtId="171" fontId="1" fillId="0" borderId="0" xfId="42" applyNumberFormat="1" applyFont="1" applyAlignment="1">
      <alignment horizontal="center"/>
    </xf>
    <xf numFmtId="0" fontId="1" fillId="20" borderId="0" xfId="58" applyNumberFormat="1" applyFont="1" applyFill="1" applyAlignment="1">
      <alignment horizontal="center"/>
      <protection/>
    </xf>
    <xf numFmtId="171" fontId="1" fillId="22" borderId="0" xfId="42" applyNumberFormat="1" applyFont="1" applyFill="1" applyAlignment="1">
      <alignment horizontal="center"/>
    </xf>
    <xf numFmtId="0" fontId="1" fillId="0" borderId="0" xfId="58" applyFont="1" applyBorder="1" applyAlignment="1">
      <alignment/>
      <protection/>
    </xf>
    <xf numFmtId="0" fontId="1" fillId="0" borderId="0" xfId="58" applyNumberFormat="1" applyFont="1" applyBorder="1" applyAlignment="1">
      <alignment horizontal="center"/>
      <protection/>
    </xf>
    <xf numFmtId="0" fontId="1" fillId="0" borderId="0" xfId="58" applyNumberFormat="1" applyFont="1" applyAlignment="1">
      <alignment horizontal="centerContinuous"/>
      <protection/>
    </xf>
    <xf numFmtId="171" fontId="1" fillId="0" borderId="0" xfId="42" applyNumberFormat="1" applyFont="1" applyAlignment="1">
      <alignment horizontal="centerContinuous"/>
    </xf>
    <xf numFmtId="0" fontId="1" fillId="20" borderId="0" xfId="58" applyNumberFormat="1" applyFont="1" applyFill="1" applyAlignment="1">
      <alignment horizontal="centerContinuous"/>
      <protection/>
    </xf>
    <xf numFmtId="0" fontId="1" fillId="22" borderId="0" xfId="58" applyNumberFormat="1" applyFont="1" applyFill="1" applyAlignment="1">
      <alignment horizontal="centerContinuous"/>
      <protection/>
    </xf>
    <xf numFmtId="171" fontId="1" fillId="22" borderId="0" xfId="42" applyNumberFormat="1" applyFont="1" applyFill="1" applyAlignment="1">
      <alignment horizontal="centerContinuous"/>
    </xf>
    <xf numFmtId="37" fontId="1" fillId="0" borderId="0" xfId="58" applyNumberFormat="1" applyFont="1" applyAlignment="1">
      <alignment horizontal="centerContinuous"/>
      <protection/>
    </xf>
    <xf numFmtId="0" fontId="1" fillId="0" borderId="0" xfId="58" applyFont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171" fontId="1" fillId="0" borderId="0" xfId="42" applyNumberFormat="1" applyFont="1" applyAlignment="1">
      <alignment/>
    </xf>
    <xf numFmtId="0" fontId="1" fillId="20" borderId="0" xfId="58" applyFont="1" applyFill="1" applyAlignment="1">
      <alignment/>
      <protection/>
    </xf>
    <xf numFmtId="37" fontId="1" fillId="0" borderId="0" xfId="58" applyNumberFormat="1" applyFont="1" applyAlignment="1">
      <alignment/>
      <protection/>
    </xf>
    <xf numFmtId="0" fontId="1" fillId="20" borderId="0" xfId="58" applyFont="1" applyFill="1" applyAlignment="1">
      <alignment horizontal="center"/>
      <protection/>
    </xf>
    <xf numFmtId="0" fontId="1" fillId="0" borderId="13" xfId="58" applyNumberFormat="1" applyFont="1" applyBorder="1" applyAlignment="1">
      <alignment horizontal="center"/>
      <protection/>
    </xf>
    <xf numFmtId="0" fontId="1" fillId="22" borderId="0" xfId="58" applyFont="1" applyFill="1" applyAlignment="1">
      <alignment horizontal="center"/>
      <protection/>
    </xf>
    <xf numFmtId="171" fontId="1" fillId="0" borderId="13" xfId="42" applyNumberFormat="1" applyFont="1" applyBorder="1" applyAlignment="1">
      <alignment horizontal="centerContinuous"/>
    </xf>
    <xf numFmtId="37" fontId="1" fillId="0" borderId="0" xfId="58" applyNumberFormat="1" applyFont="1" applyAlignment="1">
      <alignment horizontal="center"/>
      <protection/>
    </xf>
    <xf numFmtId="0" fontId="1" fillId="0" borderId="17" xfId="58" applyFont="1" applyAlignment="1">
      <alignment horizontal="center"/>
      <protection/>
    </xf>
    <xf numFmtId="171" fontId="1" fillId="0" borderId="0" xfId="42" applyNumberFormat="1" applyFont="1" applyAlignment="1" quotePrefix="1">
      <alignment horizontal="centerContinuous"/>
    </xf>
    <xf numFmtId="171" fontId="1" fillId="0" borderId="17" xfId="42" applyNumberFormat="1" applyFont="1" applyAlignment="1" quotePrefix="1">
      <alignment horizontal="center"/>
    </xf>
    <xf numFmtId="0" fontId="1" fillId="0" borderId="17" xfId="58" applyFont="1" applyAlignment="1" quotePrefix="1">
      <alignment horizontal="center"/>
      <protection/>
    </xf>
    <xf numFmtId="0" fontId="1" fillId="20" borderId="17" xfId="58" applyFont="1" applyFill="1" applyAlignment="1" quotePrefix="1">
      <alignment horizontal="center"/>
      <protection/>
    </xf>
    <xf numFmtId="0" fontId="1" fillId="0" borderId="0" xfId="58" applyFont="1" applyBorder="1" applyAlignment="1" quotePrefix="1">
      <alignment horizontal="center"/>
      <protection/>
    </xf>
    <xf numFmtId="171" fontId="1" fillId="22" borderId="17" xfId="42" applyNumberFormat="1" applyFont="1" applyFill="1" applyAlignment="1" quotePrefix="1">
      <alignment horizontal="center"/>
    </xf>
    <xf numFmtId="0" fontId="4" fillId="0" borderId="0" xfId="58" applyNumberFormat="1" applyFont="1" applyAlignment="1">
      <alignment horizontal="center"/>
      <protection locked="0"/>
    </xf>
    <xf numFmtId="171" fontId="1" fillId="0" borderId="0" xfId="42" applyNumberFormat="1" applyFont="1" applyBorder="1" applyAlignment="1">
      <alignment/>
    </xf>
    <xf numFmtId="0" fontId="1" fillId="20" borderId="0" xfId="58" applyFont="1" applyFill="1" applyBorder="1" applyAlignment="1">
      <alignment/>
      <protection/>
    </xf>
    <xf numFmtId="0" fontId="1" fillId="22" borderId="0" xfId="58" applyFont="1" applyFill="1" applyBorder="1" applyAlignment="1">
      <alignment/>
      <protection/>
    </xf>
    <xf numFmtId="171" fontId="1" fillId="22" borderId="0" xfId="42" applyNumberFormat="1" applyFont="1" applyFill="1" applyBorder="1" applyAlignment="1">
      <alignment/>
    </xf>
    <xf numFmtId="37" fontId="1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 locked="0"/>
    </xf>
    <xf numFmtId="0" fontId="9" fillId="0" borderId="0" xfId="58" applyFont="1" applyBorder="1" applyAlignment="1">
      <alignment/>
      <protection/>
    </xf>
    <xf numFmtId="2" fontId="4" fillId="0" borderId="0" xfId="58" applyNumberFormat="1" applyFont="1" applyFill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0" fontId="4" fillId="0" borderId="0" xfId="58" applyFont="1" applyFill="1" applyAlignment="1">
      <alignment/>
      <protection/>
    </xf>
    <xf numFmtId="0" fontId="1" fillId="0" borderId="0" xfId="58" applyFont="1" applyFill="1" applyAlignment="1">
      <alignment/>
      <protection/>
    </xf>
    <xf numFmtId="171" fontId="4" fillId="0" borderId="0" xfId="42" applyNumberFormat="1" applyAlignment="1">
      <alignment/>
    </xf>
    <xf numFmtId="0" fontId="4" fillId="0" borderId="0" xfId="58" applyFont="1" applyFill="1" applyAlignment="1">
      <alignment horizontal="center"/>
      <protection/>
    </xf>
    <xf numFmtId="0" fontId="4" fillId="20" borderId="0" xfId="58" applyFont="1" applyFill="1" applyAlignment="1">
      <alignment horizontal="center"/>
      <protection/>
    </xf>
    <xf numFmtId="191" fontId="4" fillId="0" borderId="0" xfId="58" applyNumberFormat="1" applyFont="1" applyAlignment="1">
      <alignment/>
      <protection/>
    </xf>
    <xf numFmtId="184" fontId="4" fillId="0" borderId="0" xfId="58" applyNumberFormat="1" applyFont="1" applyFill="1" applyAlignment="1" quotePrefix="1">
      <alignment horizontal="center"/>
      <protection/>
    </xf>
    <xf numFmtId="184" fontId="4" fillId="22" borderId="0" xfId="58" applyNumberFormat="1" applyFont="1" applyFill="1" applyAlignment="1" quotePrefix="1">
      <alignment horizontal="center"/>
      <protection/>
    </xf>
    <xf numFmtId="171" fontId="4" fillId="22" borderId="0" xfId="42" applyNumberFormat="1" applyFill="1" applyAlignment="1">
      <alignment/>
    </xf>
    <xf numFmtId="37" fontId="4" fillId="0" borderId="0" xfId="58" applyNumberFormat="1">
      <alignment/>
      <protection/>
    </xf>
    <xf numFmtId="2" fontId="4" fillId="0" borderId="0" xfId="58" applyNumberFormat="1" applyFont="1" applyAlignment="1">
      <alignment/>
      <protection/>
    </xf>
    <xf numFmtId="0" fontId="4" fillId="0" borderId="0" xfId="58" applyFont="1" applyAlignment="1">
      <alignment/>
      <protection/>
    </xf>
    <xf numFmtId="0" fontId="4" fillId="22" borderId="0" xfId="58" applyFont="1" applyFill="1" applyAlignment="1">
      <alignment/>
      <protection/>
    </xf>
    <xf numFmtId="171" fontId="4" fillId="0" borderId="13" xfId="42" applyNumberFormat="1" applyBorder="1" applyAlignment="1">
      <alignment/>
    </xf>
    <xf numFmtId="171" fontId="4" fillId="22" borderId="13" xfId="42" applyNumberFormat="1" applyFill="1" applyBorder="1" applyAlignment="1">
      <alignment/>
    </xf>
    <xf numFmtId="171" fontId="4" fillId="0" borderId="0" xfId="42" applyNumberFormat="1" applyFont="1" applyAlignment="1">
      <alignment/>
    </xf>
    <xf numFmtId="184" fontId="4" fillId="0" borderId="0" xfId="58" applyNumberFormat="1" applyFont="1" applyFill="1" applyAlignment="1">
      <alignment horizontal="center"/>
      <protection/>
    </xf>
    <xf numFmtId="37" fontId="4" fillId="22" borderId="0" xfId="58" applyNumberFormat="1" applyFont="1" applyFill="1" applyAlignment="1">
      <alignment horizontal="center"/>
      <protection/>
    </xf>
    <xf numFmtId="171" fontId="4" fillId="22" borderId="0" xfId="42" applyNumberFormat="1" applyFont="1" applyFill="1" applyAlignment="1">
      <alignment/>
    </xf>
    <xf numFmtId="37" fontId="4" fillId="0" borderId="0" xfId="58" applyNumberFormat="1" applyFont="1" applyAlignment="1">
      <alignment/>
      <protection/>
    </xf>
    <xf numFmtId="184" fontId="4" fillId="22" borderId="0" xfId="58" applyNumberFormat="1" applyFont="1" applyFill="1" applyAlignment="1">
      <alignment horizontal="center"/>
      <protection/>
    </xf>
    <xf numFmtId="0" fontId="9" fillId="0" borderId="0" xfId="58" applyFont="1" applyFill="1" applyAlignment="1">
      <alignment/>
      <protection/>
    </xf>
    <xf numFmtId="2" fontId="4" fillId="0" borderId="0" xfId="58" applyNumberFormat="1" applyFont="1" applyAlignment="1">
      <alignment horizontal="center"/>
      <protection/>
    </xf>
    <xf numFmtId="0" fontId="9" fillId="0" borderId="0" xfId="58" applyFont="1" applyAlignment="1">
      <alignment/>
      <protection/>
    </xf>
    <xf numFmtId="191" fontId="4" fillId="0" borderId="0" xfId="58" applyNumberFormat="1" applyFont="1" applyFill="1" applyAlignment="1">
      <alignment/>
      <protection/>
    </xf>
    <xf numFmtId="2" fontId="4" fillId="0" borderId="0" xfId="58" applyNumberFormat="1" applyFont="1" applyFill="1" applyAlignment="1">
      <alignment/>
      <protection/>
    </xf>
    <xf numFmtId="192" fontId="4" fillId="0" borderId="0" xfId="58" applyNumberFormat="1" applyFont="1" applyFill="1" applyAlignment="1">
      <alignment/>
      <protection/>
    </xf>
    <xf numFmtId="43" fontId="4" fillId="0" borderId="0" xfId="58" applyNumberFormat="1" applyFont="1" applyFill="1" applyAlignment="1">
      <alignment/>
      <protection/>
    </xf>
    <xf numFmtId="171" fontId="4" fillId="0" borderId="0" xfId="42" applyNumberFormat="1" applyFont="1" applyBorder="1" applyAlignment="1">
      <alignment/>
    </xf>
    <xf numFmtId="184" fontId="4" fillId="0" borderId="0" xfId="58" applyNumberFormat="1" applyFont="1" applyAlignment="1">
      <alignment horizontal="center"/>
      <protection/>
    </xf>
    <xf numFmtId="191" fontId="1" fillId="0" borderId="0" xfId="58" applyNumberFormat="1" applyFont="1" applyAlignment="1">
      <alignment/>
      <protection/>
    </xf>
    <xf numFmtId="3" fontId="1" fillId="0" borderId="0" xfId="58" applyNumberFormat="1" applyFont="1" applyAlignment="1">
      <alignment horizontal="center"/>
      <protection/>
    </xf>
    <xf numFmtId="171" fontId="1" fillId="22" borderId="0" xfId="42" applyNumberFormat="1" applyFont="1" applyFill="1" applyAlignment="1">
      <alignment/>
    </xf>
    <xf numFmtId="171" fontId="4" fillId="0" borderId="18" xfId="42" applyNumberFormat="1" applyFont="1" applyAlignment="1">
      <alignment/>
    </xf>
    <xf numFmtId="0" fontId="4" fillId="20" borderId="0" xfId="58" applyFont="1" applyFill="1" applyAlignment="1">
      <alignment/>
      <protection/>
    </xf>
    <xf numFmtId="3" fontId="4" fillId="0" borderId="0" xfId="58" applyNumberFormat="1" applyFont="1" applyAlignment="1">
      <alignment horizontal="center"/>
      <protection/>
    </xf>
    <xf numFmtId="171" fontId="4" fillId="22" borderId="18" xfId="42" applyNumberFormat="1" applyFont="1" applyFill="1" applyAlignment="1">
      <alignment/>
    </xf>
    <xf numFmtId="0" fontId="1" fillId="0" borderId="0" xfId="58" applyNumberFormat="1" applyFont="1" applyAlignment="1">
      <alignment horizontal="center"/>
      <protection locked="0"/>
    </xf>
    <xf numFmtId="0" fontId="1" fillId="0" borderId="0" xfId="58" applyNumberFormat="1" applyFont="1" applyBorder="1" applyAlignment="1">
      <alignment horizontal="center"/>
      <protection locked="0"/>
    </xf>
    <xf numFmtId="0" fontId="1" fillId="0" borderId="0" xfId="58" applyNumberFormat="1" applyFont="1" applyFill="1" applyAlignment="1" applyProtection="1">
      <alignment/>
      <protection/>
    </xf>
    <xf numFmtId="0" fontId="1" fillId="0" borderId="0" xfId="58" applyNumberFormat="1" applyFont="1" applyAlignment="1">
      <alignment/>
      <protection locked="0"/>
    </xf>
    <xf numFmtId="171" fontId="1" fillId="0" borderId="0" xfId="42" applyNumberFormat="1" applyFont="1" applyAlignment="1">
      <alignment/>
    </xf>
    <xf numFmtId="0" fontId="1" fillId="20" borderId="0" xfId="58" applyNumberFormat="1" applyFont="1" applyFill="1" applyAlignment="1">
      <alignment/>
      <protection locked="0"/>
    </xf>
    <xf numFmtId="0" fontId="1" fillId="22" borderId="0" xfId="58" applyNumberFormat="1" applyFont="1" applyFill="1" applyAlignment="1">
      <alignment/>
      <protection locked="0"/>
    </xf>
    <xf numFmtId="171" fontId="1" fillId="22" borderId="0" xfId="42" applyNumberFormat="1" applyFont="1" applyFill="1" applyAlignment="1">
      <alignment/>
    </xf>
    <xf numFmtId="37" fontId="1" fillId="0" borderId="0" xfId="58" applyNumberFormat="1" applyFont="1" applyAlignment="1">
      <alignment/>
      <protection locked="0"/>
    </xf>
    <xf numFmtId="0" fontId="4" fillId="0" borderId="0" xfId="58" applyNumberFormat="1" applyFont="1" applyAlignment="1">
      <alignment horizontal="left"/>
      <protection locked="0"/>
    </xf>
    <xf numFmtId="0" fontId="4" fillId="0" borderId="0" xfId="58" applyNumberFormat="1" applyFont="1" applyBorder="1" applyAlignment="1">
      <alignment horizontal="center"/>
      <protection locked="0"/>
    </xf>
    <xf numFmtId="171" fontId="4" fillId="0" borderId="0" xfId="42" applyNumberFormat="1" applyFont="1" applyAlignment="1">
      <alignment/>
    </xf>
    <xf numFmtId="0" fontId="4" fillId="20" borderId="0" xfId="58" applyNumberFormat="1" applyFont="1" applyFill="1" applyAlignment="1">
      <alignment/>
      <protection locked="0"/>
    </xf>
    <xf numFmtId="0" fontId="4" fillId="22" borderId="0" xfId="58" applyNumberFormat="1" applyFont="1" applyFill="1" applyAlignment="1">
      <alignment/>
      <protection locked="0"/>
    </xf>
    <xf numFmtId="171" fontId="4" fillId="22" borderId="0" xfId="42" applyNumberFormat="1" applyFont="1" applyFill="1" applyAlignment="1">
      <alignment/>
    </xf>
    <xf numFmtId="37" fontId="4" fillId="0" borderId="0" xfId="58" applyNumberFormat="1" applyFont="1" applyAlignment="1">
      <alignment/>
      <protection locked="0"/>
    </xf>
    <xf numFmtId="37" fontId="4" fillId="0" borderId="0" xfId="57" applyFont="1" applyFill="1" applyBorder="1">
      <alignment/>
      <protection/>
    </xf>
    <xf numFmtId="37" fontId="4" fillId="0" borderId="0" xfId="57" applyFont="1" applyFill="1" applyBorder="1" applyAlignment="1">
      <alignment horizontal="center"/>
      <protection/>
    </xf>
    <xf numFmtId="10" fontId="4" fillId="0" borderId="0" xfId="62" applyNumberFormat="1" applyFont="1" applyFill="1" applyBorder="1" applyAlignment="1">
      <alignment horizontal="center"/>
    </xf>
    <xf numFmtId="171" fontId="9" fillId="0" borderId="0" xfId="42" applyNumberFormat="1" applyFont="1" applyFill="1" applyBorder="1" applyAlignment="1">
      <alignment horizontal="center"/>
    </xf>
    <xf numFmtId="37" fontId="9" fillId="0" borderId="0" xfId="57" applyFont="1" applyFill="1" applyBorder="1">
      <alignment/>
      <protection/>
    </xf>
    <xf numFmtId="37" fontId="9" fillId="0" borderId="0" xfId="57" applyFont="1" applyFill="1" applyBorder="1" applyAlignment="1">
      <alignment horizontal="center"/>
      <protection/>
    </xf>
    <xf numFmtId="10" fontId="9" fillId="0" borderId="0" xfId="62" applyNumberFormat="1" applyFont="1" applyFill="1" applyBorder="1" applyAlignment="1">
      <alignment horizontal="center"/>
    </xf>
    <xf numFmtId="171" fontId="4" fillId="0" borderId="0" xfId="42" applyNumberFormat="1" applyFont="1" applyFill="1" applyBorder="1" applyAlignment="1" quotePrefix="1">
      <alignment horizontal="center"/>
    </xf>
    <xf numFmtId="10" fontId="4" fillId="0" borderId="0" xfId="62" applyNumberFormat="1" applyFont="1" applyFill="1" applyBorder="1" applyAlignment="1" quotePrefix="1">
      <alignment horizontal="center"/>
    </xf>
    <xf numFmtId="37" fontId="4" fillId="0" borderId="0" xfId="57" applyFont="1" applyFill="1" applyBorder="1" applyAlignment="1" quotePrefix="1">
      <alignment horizontal="center"/>
      <protection/>
    </xf>
    <xf numFmtId="10" fontId="4" fillId="0" borderId="0" xfId="62" applyNumberFormat="1" applyFont="1" applyFill="1" applyBorder="1" applyAlignment="1">
      <alignment/>
    </xf>
    <xf numFmtId="171" fontId="4" fillId="0" borderId="0" xfId="42" applyNumberFormat="1" applyFont="1" applyFill="1" applyBorder="1" applyAlignment="1" applyProtection="1">
      <alignment/>
      <protection locked="0"/>
    </xf>
    <xf numFmtId="9" fontId="4" fillId="0" borderId="0" xfId="58" applyNumberFormat="1" applyFont="1" applyAlignment="1">
      <alignment/>
      <protection locked="0"/>
    </xf>
    <xf numFmtId="169" fontId="1" fillId="0" borderId="0" xfId="44" applyNumberFormat="1" applyFont="1" applyAlignment="1">
      <alignment/>
    </xf>
    <xf numFmtId="169" fontId="1" fillId="0" borderId="0" xfId="44" applyNumberFormat="1" applyFont="1" applyAlignment="1">
      <alignment/>
    </xf>
    <xf numFmtId="0" fontId="9" fillId="0" borderId="0" xfId="58" applyFont="1" applyBorder="1" applyAlignment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/>
    </xf>
    <xf numFmtId="171" fontId="4" fillId="0" borderId="0" xfId="42" applyNumberFormat="1" applyFont="1" applyAlignment="1">
      <alignment/>
    </xf>
    <xf numFmtId="171" fontId="4" fillId="0" borderId="0" xfId="42" applyNumberFormat="1" applyFont="1" applyBorder="1" applyAlignment="1">
      <alignment horizontal="center"/>
    </xf>
    <xf numFmtId="171" fontId="9" fillId="0" borderId="0" xfId="42" applyNumberFormat="1" applyFont="1" applyBorder="1" applyAlignment="1">
      <alignment/>
    </xf>
    <xf numFmtId="171" fontId="4" fillId="0" borderId="0" xfId="42" applyNumberFormat="1" applyFont="1" applyFill="1" applyAlignment="1">
      <alignment/>
    </xf>
    <xf numFmtId="171" fontId="9" fillId="0" borderId="0" xfId="42" applyNumberFormat="1" applyFont="1" applyFill="1" applyAlignment="1">
      <alignment/>
    </xf>
    <xf numFmtId="171" fontId="1" fillId="0" borderId="0" xfId="42" applyNumberFormat="1" applyFont="1" applyFill="1" applyAlignment="1">
      <alignment/>
    </xf>
    <xf numFmtId="9" fontId="4" fillId="0" borderId="0" xfId="62" applyFont="1" applyFill="1" applyAlignment="1">
      <alignment/>
    </xf>
    <xf numFmtId="0" fontId="9" fillId="0" borderId="0" xfId="0" applyFont="1" applyBorder="1" applyAlignment="1">
      <alignment horizontal="center"/>
    </xf>
    <xf numFmtId="171" fontId="9" fillId="0" borderId="0" xfId="42" applyNumberFormat="1" applyFont="1" applyBorder="1" applyAlignment="1">
      <alignment horizontal="center"/>
    </xf>
    <xf numFmtId="0" fontId="9" fillId="0" borderId="0" xfId="0" applyFont="1" applyAlignment="1">
      <alignment/>
    </xf>
    <xf numFmtId="171" fontId="4" fillId="0" borderId="0" xfId="42" applyNumberFormat="1" applyFont="1" applyAlignment="1">
      <alignment horizontal="center"/>
    </xf>
    <xf numFmtId="0" fontId="9" fillId="0" borderId="0" xfId="0" applyFont="1" applyAlignment="1">
      <alignment horizontal="center"/>
    </xf>
    <xf numFmtId="171" fontId="9" fillId="0" borderId="0" xfId="42" applyNumberFormat="1" applyFont="1" applyAlignment="1">
      <alignment horizontal="center"/>
    </xf>
    <xf numFmtId="171" fontId="4" fillId="0" borderId="0" xfId="42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3" xfId="0" applyNumberFormat="1" applyFont="1" applyBorder="1" applyAlignment="1">
      <alignment horizontal="center"/>
    </xf>
    <xf numFmtId="37" fontId="4" fillId="0" borderId="0" xfId="0" applyNumberFormat="1" applyFont="1" applyAlignment="1">
      <alignment/>
    </xf>
    <xf numFmtId="171" fontId="4" fillId="0" borderId="0" xfId="42" applyNumberFormat="1" applyFont="1" applyAlignment="1">
      <alignment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5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171" fontId="4" fillId="0" borderId="0" xfId="42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171" fontId="4" fillId="0" borderId="13" xfId="42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1" fillId="0" borderId="0" xfId="59" applyFont="1" applyAlignment="1">
      <alignment horizontal="center"/>
      <protection/>
    </xf>
    <xf numFmtId="37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58" applyNumberFormat="1" applyFont="1" applyBorder="1" applyAlignment="1">
      <alignment horizontal="center"/>
      <protection/>
    </xf>
    <xf numFmtId="0" fontId="1" fillId="0" borderId="19" xfId="58" applyFont="1" applyBorder="1" applyAlignment="1" quotePrefix="1">
      <alignment horizontal="center"/>
      <protection/>
    </xf>
    <xf numFmtId="0" fontId="1" fillId="22" borderId="0" xfId="58" applyNumberFormat="1" applyFont="1" applyFill="1" applyAlignment="1">
      <alignment horizontal="center"/>
      <protection/>
    </xf>
    <xf numFmtId="0" fontId="1" fillId="0" borderId="0" xfId="58" applyNumberFormat="1" applyFont="1" applyAlignment="1">
      <alignment horizontal="center"/>
      <protection/>
    </xf>
    <xf numFmtId="0" fontId="9" fillId="0" borderId="0" xfId="58" applyNumberFormat="1" applyFont="1" applyAlignment="1">
      <alignment horizontal="center"/>
      <protection locked="0"/>
    </xf>
    <xf numFmtId="0" fontId="1" fillId="0" borderId="0" xfId="58" applyNumberFormat="1" applyFont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1" fontId="4" fillId="0" borderId="0" xfId="42" applyNumberFormat="1" applyFont="1" applyBorder="1" applyAlignment="1">
      <alignment horizontal="center"/>
    </xf>
    <xf numFmtId="171" fontId="4" fillId="0" borderId="0" xfId="42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tesForROModel" xfId="57"/>
    <cellStyle name="Normal_SK Reserve Calculation for rates" xfId="58"/>
    <cellStyle name="Normal_Tax Savings Workpape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AG_MJM-1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\Rates\1999\Wkp\Misc%20Expens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21%20Kentucky%20American%20Water\SK%20Analysis\Final%20Exhibits\MJM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AG_MJM-3%20Updat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DR%20Responses\Company%20Schedules%20and%20Workpapers\MP%20and%20PE%20Combined\WV%20STATEMENT%20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SK%20Analysis\sheets%20not%20us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penard\Local%20Settings\Temporary%20Internet%20Files\OLK102\KAW_R_AGDR1#46_custacct_061807%20-%20uncol%20exp%20for%20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1">
        <row r="1">
          <cell r="A1" t="str">
            <v>KENTUCKY-AMERICAN WATER COMPANY</v>
          </cell>
        </row>
        <row r="2">
          <cell r="A2" t="str">
            <v>CASE NO:  2007-00143</v>
          </cell>
        </row>
        <row r="3">
          <cell r="A3" t="str">
            <v>COMPARATIVE OVERALL FINANCIAL SUMMARY</v>
          </cell>
        </row>
        <row r="4">
          <cell r="A4" t="str">
            <v>FOR THE TWELVE MONTHS ENDED:  NOVEMBER 30, 2008</v>
          </cell>
        </row>
        <row r="9">
          <cell r="C9" t="str">
            <v>Company</v>
          </cell>
          <cell r="E9" t="str">
            <v>AG</v>
          </cell>
        </row>
        <row r="10">
          <cell r="C10" t="str">
            <v>Forecast</v>
          </cell>
          <cell r="E10" t="str">
            <v>Forecast</v>
          </cell>
        </row>
        <row r="11">
          <cell r="A11" t="str">
            <v>Line</v>
          </cell>
          <cell r="C11" t="str">
            <v>Jurisdictional</v>
          </cell>
          <cell r="E11" t="str">
            <v>Jurisdictional</v>
          </cell>
        </row>
        <row r="12">
          <cell r="A12" t="str">
            <v>No.</v>
          </cell>
          <cell r="B12" t="str">
            <v>Description</v>
          </cell>
          <cell r="C12" t="str">
            <v>Rev Req</v>
          </cell>
          <cell r="E12" t="str">
            <v>Rev Req</v>
          </cell>
        </row>
        <row r="13">
          <cell r="A13">
            <v>1</v>
          </cell>
          <cell r="C13" t="str">
            <v>(a)</v>
          </cell>
          <cell r="E13" t="str">
            <v>(b)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  <cell r="B16" t="str">
            <v>RATE BASE</v>
          </cell>
          <cell r="C16">
            <v>202100689.58333334</v>
          </cell>
          <cell r="E16">
            <v>202114238.58333334</v>
          </cell>
        </row>
        <row r="17">
          <cell r="A17">
            <v>5</v>
          </cell>
        </row>
        <row r="18">
          <cell r="A18">
            <v>6</v>
          </cell>
          <cell r="B18" t="str">
            <v>FORECASTED OPERATING INCOME AT CURRENT RATES</v>
          </cell>
          <cell r="C18">
            <v>10805614.429196618</v>
          </cell>
          <cell r="E18">
            <v>12689880.396569543</v>
          </cell>
        </row>
        <row r="19">
          <cell r="A19">
            <v>7</v>
          </cell>
        </row>
        <row r="20">
          <cell r="A20">
            <v>8</v>
          </cell>
          <cell r="B20" t="str">
            <v>EARNED RATE OF RETURN</v>
          </cell>
          <cell r="C20">
            <v>0.05347</v>
          </cell>
          <cell r="E20">
            <v>0.06279</v>
          </cell>
        </row>
        <row r="21">
          <cell r="A21">
            <v>9</v>
          </cell>
        </row>
        <row r="22">
          <cell r="A22">
            <v>10</v>
          </cell>
          <cell r="B22" t="str">
            <v>RATE OF RETURN</v>
          </cell>
          <cell r="C22">
            <v>0.0864</v>
          </cell>
          <cell r="E22">
            <v>0.0777</v>
          </cell>
        </row>
        <row r="23">
          <cell r="A23">
            <v>11</v>
          </cell>
        </row>
        <row r="24">
          <cell r="A24">
            <v>12</v>
          </cell>
          <cell r="B24" t="str">
            <v>REQUIRED OPERATING INCOME</v>
          </cell>
          <cell r="C24">
            <v>17461500</v>
          </cell>
          <cell r="E24">
            <v>15704276</v>
          </cell>
        </row>
        <row r="25">
          <cell r="A25">
            <v>13</v>
          </cell>
        </row>
        <row r="26">
          <cell r="A26">
            <v>14</v>
          </cell>
          <cell r="B26" t="str">
            <v>OPERATING INCOME DEFICIENCY</v>
          </cell>
          <cell r="C26">
            <v>6655885.5708033815</v>
          </cell>
          <cell r="E26">
            <v>3014395.6034304574</v>
          </cell>
        </row>
        <row r="27">
          <cell r="A27">
            <v>15</v>
          </cell>
        </row>
        <row r="28">
          <cell r="A28">
            <v>16</v>
          </cell>
          <cell r="B28" t="str">
            <v>GROSS REVENUE CONVERSION FACTOR</v>
          </cell>
          <cell r="C28">
            <v>1.6534938</v>
          </cell>
          <cell r="E28">
            <v>1.6524921</v>
          </cell>
        </row>
        <row r="29">
          <cell r="A29">
            <v>17</v>
          </cell>
        </row>
        <row r="30">
          <cell r="A30">
            <v>18</v>
          </cell>
          <cell r="B30" t="str">
            <v>REVENUE DEFICIENCY (1)</v>
          </cell>
          <cell r="C30">
            <v>11005464.5</v>
          </cell>
          <cell r="E30">
            <v>4981263.9</v>
          </cell>
        </row>
        <row r="31">
          <cell r="A31">
            <v>19</v>
          </cell>
        </row>
        <row r="32">
          <cell r="A32">
            <v>20</v>
          </cell>
          <cell r="B32" t="str">
            <v>ADJUSTED OPERATING REVENUES</v>
          </cell>
          <cell r="C32">
            <v>53003297</v>
          </cell>
          <cell r="E32">
            <v>52817408</v>
          </cell>
        </row>
        <row r="33">
          <cell r="A33">
            <v>21</v>
          </cell>
        </row>
        <row r="34">
          <cell r="A34">
            <v>22</v>
          </cell>
          <cell r="B34" t="str">
            <v>REVENUE REQUIREMENT</v>
          </cell>
          <cell r="C34">
            <v>64008761.5</v>
          </cell>
          <cell r="E34">
            <v>57798671.9</v>
          </cell>
        </row>
      </sheetData>
      <sheetData sheetId="2">
        <row r="1">
          <cell r="A1" t="str">
            <v>KENTUCKY-AMERICAN WATER COMPANY</v>
          </cell>
        </row>
        <row r="3">
          <cell r="A3" t="str">
            <v>SUMMARY OF ATTORNEY GENERAL ADJUSTMENTS</v>
          </cell>
        </row>
        <row r="7">
          <cell r="D7" t="str">
            <v>Company</v>
          </cell>
        </row>
        <row r="8">
          <cell r="D8" t="str">
            <v>Forecasted</v>
          </cell>
        </row>
        <row r="9">
          <cell r="A9" t="str">
            <v>Line</v>
          </cell>
          <cell r="D9" t="str">
            <v>Revenues &amp;</v>
          </cell>
        </row>
        <row r="10">
          <cell r="A10" t="str">
            <v>No.</v>
          </cell>
          <cell r="B10" t="str">
            <v>Major Group Classification</v>
          </cell>
          <cell r="D10" t="str">
            <v>Expenses</v>
          </cell>
        </row>
        <row r="12">
          <cell r="A12">
            <v>1</v>
          </cell>
        </row>
        <row r="13">
          <cell r="A13">
            <v>2</v>
          </cell>
          <cell r="B13" t="str">
            <v>Operating Revenues</v>
          </cell>
        </row>
        <row r="14">
          <cell r="A14">
            <v>3</v>
          </cell>
          <cell r="B14" t="str">
            <v>     Water Sales</v>
          </cell>
          <cell r="D14">
            <v>49242905</v>
          </cell>
        </row>
        <row r="15">
          <cell r="A15">
            <v>4</v>
          </cell>
          <cell r="B15" t="str">
            <v>     Other Operating Revenues</v>
          </cell>
          <cell r="D15">
            <v>3760392</v>
          </cell>
        </row>
        <row r="16">
          <cell r="A16">
            <v>5</v>
          </cell>
          <cell r="D16">
            <v>53003297</v>
          </cell>
        </row>
        <row r="17">
          <cell r="A17">
            <v>6</v>
          </cell>
          <cell r="B17" t="str">
            <v>Operating Expenses</v>
          </cell>
        </row>
        <row r="18">
          <cell r="A18">
            <v>7</v>
          </cell>
          <cell r="B18" t="str">
            <v>     Labor</v>
          </cell>
          <cell r="D18">
            <v>6248477</v>
          </cell>
        </row>
        <row r="19">
          <cell r="A19">
            <v>8</v>
          </cell>
          <cell r="B19" t="str">
            <v>     Purchased Water</v>
          </cell>
          <cell r="D19">
            <v>477462.973597864</v>
          </cell>
        </row>
        <row r="20">
          <cell r="A20">
            <v>9</v>
          </cell>
          <cell r="B20" t="str">
            <v>     Fuel and Power</v>
          </cell>
          <cell r="D20">
            <v>2986276.9749717405</v>
          </cell>
        </row>
        <row r="21">
          <cell r="A21">
            <v>10</v>
          </cell>
          <cell r="B21" t="str">
            <v>     Chemicals</v>
          </cell>
          <cell r="D21">
            <v>1505218.0783944097</v>
          </cell>
        </row>
        <row r="22">
          <cell r="A22">
            <v>11</v>
          </cell>
          <cell r="B22" t="str">
            <v>     Waste Disposal</v>
          </cell>
          <cell r="D22">
            <v>262237</v>
          </cell>
        </row>
        <row r="23">
          <cell r="A23">
            <v>12</v>
          </cell>
          <cell r="B23" t="str">
            <v>     Management Fees</v>
          </cell>
          <cell r="D23">
            <v>6201194.48</v>
          </cell>
        </row>
        <row r="24">
          <cell r="A24">
            <v>13</v>
          </cell>
          <cell r="B24" t="str">
            <v>     Group Insurance</v>
          </cell>
          <cell r="D24">
            <v>1876895</v>
          </cell>
        </row>
        <row r="25">
          <cell r="A25">
            <v>14</v>
          </cell>
          <cell r="B25" t="str">
            <v>     Pensions</v>
          </cell>
          <cell r="D25">
            <v>502684</v>
          </cell>
        </row>
        <row r="26">
          <cell r="A26">
            <v>15</v>
          </cell>
          <cell r="B26" t="str">
            <v>     Regulatory Expense</v>
          </cell>
          <cell r="D26">
            <v>292195</v>
          </cell>
        </row>
        <row r="27">
          <cell r="A27">
            <v>16</v>
          </cell>
          <cell r="B27" t="str">
            <v>     Insurance Other than Group</v>
          </cell>
          <cell r="D27">
            <v>663910</v>
          </cell>
        </row>
        <row r="28">
          <cell r="A28">
            <v>17</v>
          </cell>
          <cell r="B28" t="str">
            <v>     Customer Accounting</v>
          </cell>
          <cell r="D28">
            <v>1376372.1835</v>
          </cell>
        </row>
        <row r="29">
          <cell r="A29">
            <v>18</v>
          </cell>
          <cell r="B29" t="str">
            <v>     Rents</v>
          </cell>
          <cell r="D29">
            <v>52165</v>
          </cell>
        </row>
        <row r="30">
          <cell r="A30">
            <v>19</v>
          </cell>
          <cell r="B30" t="str">
            <v>     General Office Expense</v>
          </cell>
          <cell r="D30">
            <v>475196</v>
          </cell>
        </row>
        <row r="31">
          <cell r="A31">
            <v>20</v>
          </cell>
          <cell r="B31" t="str">
            <v>     Miscellaneous</v>
          </cell>
          <cell r="D31">
            <v>3002288.878</v>
          </cell>
        </row>
        <row r="32">
          <cell r="A32">
            <v>21</v>
          </cell>
          <cell r="B32" t="str">
            <v>     Maintenance - Other</v>
          </cell>
          <cell r="D32">
            <v>1507210.12</v>
          </cell>
        </row>
        <row r="33">
          <cell r="A33">
            <v>22</v>
          </cell>
        </row>
        <row r="34">
          <cell r="A34">
            <v>23</v>
          </cell>
          <cell r="B34" t="str">
            <v>Total O &amp; M Expenses</v>
          </cell>
          <cell r="D34">
            <v>27429782.688464012</v>
          </cell>
        </row>
        <row r="35">
          <cell r="A35">
            <v>24</v>
          </cell>
        </row>
        <row r="36">
          <cell r="A36">
            <v>25</v>
          </cell>
          <cell r="B36" t="str">
            <v>Depreciation</v>
          </cell>
          <cell r="D36">
            <v>8038652.96233937</v>
          </cell>
        </row>
        <row r="37">
          <cell r="A37">
            <v>26</v>
          </cell>
          <cell r="B37" t="str">
            <v>Amortization</v>
          </cell>
          <cell r="D37">
            <v>450970.92</v>
          </cell>
        </row>
        <row r="38">
          <cell r="A38">
            <v>27</v>
          </cell>
        </row>
        <row r="39">
          <cell r="A39">
            <v>28</v>
          </cell>
          <cell r="B39" t="str">
            <v>General Taxes</v>
          </cell>
        </row>
        <row r="40">
          <cell r="A40">
            <v>29</v>
          </cell>
          <cell r="B40" t="str">
            <v>     Property and Capital Stock</v>
          </cell>
          <cell r="D40">
            <v>2729050</v>
          </cell>
        </row>
        <row r="41">
          <cell r="A41">
            <v>30</v>
          </cell>
          <cell r="B41" t="str">
            <v>     Gross Receipts and Sales</v>
          </cell>
          <cell r="D41">
            <v>85932</v>
          </cell>
        </row>
        <row r="42">
          <cell r="A42">
            <v>31</v>
          </cell>
          <cell r="B42" t="str">
            <v>     Payroll</v>
          </cell>
          <cell r="D42">
            <v>482787</v>
          </cell>
        </row>
        <row r="43">
          <cell r="A43">
            <v>32</v>
          </cell>
          <cell r="B43" t="str">
            <v>     Miscellaneous</v>
          </cell>
          <cell r="D43">
            <v>0</v>
          </cell>
        </row>
        <row r="44">
          <cell r="A44">
            <v>33</v>
          </cell>
          <cell r="B44" t="str">
            <v>Total General Taxes</v>
          </cell>
          <cell r="D44">
            <v>3297769</v>
          </cell>
        </row>
        <row r="45">
          <cell r="A45">
            <v>34</v>
          </cell>
        </row>
        <row r="46">
          <cell r="A46">
            <v>35</v>
          </cell>
          <cell r="B46" t="str">
            <v>State Income Taxes</v>
          </cell>
        </row>
        <row r="47">
          <cell r="A47">
            <v>36</v>
          </cell>
          <cell r="B47" t="str">
            <v>     Current</v>
          </cell>
          <cell r="D47">
            <v>305161</v>
          </cell>
        </row>
        <row r="48">
          <cell r="A48">
            <v>37</v>
          </cell>
          <cell r="B48" t="str">
            <v>     Deferred</v>
          </cell>
          <cell r="D48">
            <v>181660</v>
          </cell>
        </row>
        <row r="49">
          <cell r="A49">
            <v>38</v>
          </cell>
          <cell r="B49" t="str">
            <v>Federal Income Taxes</v>
          </cell>
        </row>
        <row r="50">
          <cell r="A50">
            <v>39</v>
          </cell>
          <cell r="B50" t="str">
            <v>     Current</v>
          </cell>
          <cell r="D50">
            <v>1673301</v>
          </cell>
        </row>
        <row r="51">
          <cell r="A51">
            <v>40</v>
          </cell>
          <cell r="B51" t="str">
            <v>     Deferred</v>
          </cell>
          <cell r="D51">
            <v>905182</v>
          </cell>
        </row>
        <row r="52">
          <cell r="A52">
            <v>41</v>
          </cell>
          <cell r="B52" t="str">
            <v>     Deferred - ITC</v>
          </cell>
          <cell r="D52">
            <v>-84797</v>
          </cell>
        </row>
        <row r="53">
          <cell r="A53">
            <v>42</v>
          </cell>
          <cell r="B53" t="str">
            <v>Total Income Taxes</v>
          </cell>
          <cell r="D53">
            <v>2980507</v>
          </cell>
        </row>
        <row r="54">
          <cell r="A54">
            <v>43</v>
          </cell>
        </row>
        <row r="55">
          <cell r="A55">
            <v>44</v>
          </cell>
        </row>
        <row r="56">
          <cell r="A56">
            <v>45</v>
          </cell>
          <cell r="B56" t="str">
            <v>Total Operating Expenses</v>
          </cell>
          <cell r="D56">
            <v>42197682.57080338</v>
          </cell>
        </row>
        <row r="57">
          <cell r="A57">
            <v>46</v>
          </cell>
        </row>
        <row r="58">
          <cell r="A58">
            <v>47</v>
          </cell>
          <cell r="B58" t="str">
            <v>Utility Operating Income</v>
          </cell>
          <cell r="D58">
            <v>10805614.429196618</v>
          </cell>
        </row>
        <row r="59">
          <cell r="A59">
            <v>48</v>
          </cell>
        </row>
        <row r="60">
          <cell r="A60">
            <v>49</v>
          </cell>
        </row>
        <row r="61">
          <cell r="A61">
            <v>50</v>
          </cell>
          <cell r="B61" t="str">
            <v>Rate Base</v>
          </cell>
          <cell r="D61">
            <v>202100689.58333334</v>
          </cell>
        </row>
        <row r="62">
          <cell r="A62">
            <v>51</v>
          </cell>
        </row>
        <row r="63">
          <cell r="A63">
            <v>52</v>
          </cell>
          <cell r="B63" t="str">
            <v>KAWC Proposed ROR</v>
          </cell>
          <cell r="D63">
            <v>0.0864</v>
          </cell>
        </row>
        <row r="64">
          <cell r="A64">
            <v>53</v>
          </cell>
        </row>
        <row r="65">
          <cell r="A65">
            <v>54</v>
          </cell>
          <cell r="B65" t="str">
            <v>AG Recommended ROR</v>
          </cell>
          <cell r="D65">
            <v>0.0777</v>
          </cell>
        </row>
        <row r="66">
          <cell r="A66">
            <v>55</v>
          </cell>
        </row>
        <row r="67">
          <cell r="A67">
            <v>56</v>
          </cell>
          <cell r="B67" t="str">
            <v>NOI Effect</v>
          </cell>
          <cell r="D67">
            <v>-1758275.999375</v>
          </cell>
        </row>
        <row r="68">
          <cell r="A68">
            <v>57</v>
          </cell>
        </row>
        <row r="69">
          <cell r="A69">
            <v>58</v>
          </cell>
          <cell r="B69" t="str">
            <v>KAWC Revenue Conversion Factor</v>
          </cell>
        </row>
        <row r="70">
          <cell r="A70">
            <v>59</v>
          </cell>
        </row>
        <row r="71">
          <cell r="A71">
            <v>60</v>
          </cell>
          <cell r="B71" t="str">
            <v>AG Revenue Conversion Factor</v>
          </cell>
          <cell r="D71">
            <v>1.6524921</v>
          </cell>
        </row>
        <row r="72">
          <cell r="A72">
            <v>61</v>
          </cell>
        </row>
        <row r="73">
          <cell r="A73">
            <v>62</v>
          </cell>
          <cell r="B73" t="str">
            <v>Incremental Revenue Requirement</v>
          </cell>
          <cell r="D73">
            <v>-2905537.198586792</v>
          </cell>
        </row>
      </sheetData>
      <sheetData sheetId="3">
        <row r="1">
          <cell r="A1" t="str">
            <v>KENTUCKY-AMERICAN WATER COMPANY</v>
          </cell>
        </row>
        <row r="2">
          <cell r="A2" t="str">
            <v>GROSS REVENUE CONVERSION FACTOR AND INCOME TAX FACTORS</v>
          </cell>
        </row>
        <row r="3">
          <cell r="A3" t="str">
            <v>FOR THE TWELVE MONTHS ENDED:  NOVEMBER 30, 2008</v>
          </cell>
        </row>
        <row r="9">
          <cell r="A9" t="str">
            <v>Line</v>
          </cell>
        </row>
        <row r="10">
          <cell r="A10" t="str">
            <v>No.</v>
          </cell>
          <cell r="B10" t="str">
            <v>Description</v>
          </cell>
          <cell r="D10" t="str">
            <v>Company</v>
          </cell>
        </row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  <cell r="B13" t="str">
            <v>Operating Revenues</v>
          </cell>
          <cell r="F13">
            <v>1</v>
          </cell>
        </row>
        <row r="14">
          <cell r="A14">
            <v>4</v>
          </cell>
        </row>
        <row r="15">
          <cell r="A15">
            <v>5</v>
          </cell>
          <cell r="B15" t="str">
            <v>Less: Uncollectibles</v>
          </cell>
          <cell r="F15">
            <v>0.0085</v>
          </cell>
        </row>
        <row r="16">
          <cell r="A16">
            <v>6</v>
          </cell>
        </row>
        <row r="17">
          <cell r="A17">
            <v>7</v>
          </cell>
          <cell r="B17" t="str">
            <v>Less: PSC Fees</v>
          </cell>
          <cell r="F17">
            <v>0.00168</v>
          </cell>
        </row>
        <row r="18">
          <cell r="A18">
            <v>8</v>
          </cell>
        </row>
        <row r="19">
          <cell r="A19">
            <v>9</v>
          </cell>
          <cell r="B19" t="str">
            <v>Net Revenues</v>
          </cell>
          <cell r="F19">
            <v>0.98982</v>
          </cell>
        </row>
        <row r="20">
          <cell r="A20">
            <v>10</v>
          </cell>
        </row>
        <row r="21">
          <cell r="A21">
            <v>11</v>
          </cell>
          <cell r="B21" t="str">
            <v>SIT Rate:</v>
          </cell>
          <cell r="D21">
            <v>0.06</v>
          </cell>
          <cell r="F21">
            <v>0.0593892</v>
          </cell>
        </row>
        <row r="22">
          <cell r="A22">
            <v>12</v>
          </cell>
        </row>
        <row r="23">
          <cell r="A23">
            <v>13</v>
          </cell>
          <cell r="B23" t="str">
            <v>Income before Federal Income Taxes</v>
          </cell>
          <cell r="F23">
            <v>0.9304308</v>
          </cell>
        </row>
        <row r="24">
          <cell r="A24">
            <v>14</v>
          </cell>
        </row>
        <row r="25">
          <cell r="A25">
            <v>15</v>
          </cell>
          <cell r="B25" t="str">
            <v>FIT Rate:</v>
          </cell>
          <cell r="D25">
            <v>0.35</v>
          </cell>
          <cell r="F25">
            <v>0.3256508</v>
          </cell>
        </row>
        <row r="26">
          <cell r="A26">
            <v>16</v>
          </cell>
        </row>
        <row r="27">
          <cell r="A27">
            <v>17</v>
          </cell>
          <cell r="B27" t="str">
            <v>Operating Income Percentage</v>
          </cell>
          <cell r="F27">
            <v>0.60478</v>
          </cell>
        </row>
        <row r="28">
          <cell r="A28">
            <v>18</v>
          </cell>
        </row>
        <row r="29">
          <cell r="A29">
            <v>19</v>
          </cell>
        </row>
        <row r="30">
          <cell r="A30">
            <v>20</v>
          </cell>
          <cell r="B30" t="str">
            <v>Gross Revenue Conversion Factor (1)</v>
          </cell>
          <cell r="F30">
            <v>1.6534938</v>
          </cell>
          <cell r="J30">
            <v>1.6524921</v>
          </cell>
        </row>
        <row r="31">
          <cell r="A31">
            <v>21</v>
          </cell>
        </row>
        <row r="32">
          <cell r="A32">
            <v>22</v>
          </cell>
          <cell r="B32" t="str">
            <v>Tax Rate</v>
          </cell>
          <cell r="L32">
            <v>0.389</v>
          </cell>
        </row>
        <row r="36">
          <cell r="B36" t="str">
            <v>1/  2006 percentage.  See response to PSC 2-32.</v>
          </cell>
        </row>
        <row r="37">
          <cell r="B37" t="str">
            <v>2/  Net of uncollectibles and PSC Assessments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In"/>
      <sheetName val="Link Out"/>
      <sheetName val="Miscellaneous"/>
      <sheetName val="Other Amort"/>
      <sheetName val="401k Exp"/>
      <sheetName val="Transp Exp"/>
      <sheetName val="Community Education"/>
      <sheetName val="Database"/>
      <sheetName val="Pivot Table"/>
      <sheetName val="Histori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1">
        <row r="1">
          <cell r="A1" t="str">
            <v>KENTUCKY AMERICAN WATER COMPANY</v>
          </cell>
        </row>
        <row r="2">
          <cell r="A2" t="str">
            <v>FUTURE TEST YEAR ENDING NOVEMBER 30, 2008</v>
          </cell>
        </row>
        <row r="3">
          <cell r="A3" t="str">
            <v>RATE BASE SUMMARY</v>
          </cell>
        </row>
        <row r="7">
          <cell r="A7" t="str">
            <v>Line</v>
          </cell>
          <cell r="D7" t="str">
            <v>Company</v>
          </cell>
        </row>
        <row r="8">
          <cell r="A8" t="str">
            <v>No.</v>
          </cell>
          <cell r="B8" t="str">
            <v>Rate Base Component</v>
          </cell>
          <cell r="D8" t="str">
            <v>Claim  1/</v>
          </cell>
        </row>
        <row r="9">
          <cell r="D9" t="str">
            <v>(a)</v>
          </cell>
        </row>
        <row r="10">
          <cell r="A10">
            <v>1</v>
          </cell>
        </row>
        <row r="11">
          <cell r="A11">
            <v>2</v>
          </cell>
          <cell r="B11" t="str">
            <v>Utility Plant In Service</v>
          </cell>
          <cell r="D11">
            <v>366185081</v>
          </cell>
        </row>
        <row r="12">
          <cell r="A12">
            <v>3</v>
          </cell>
        </row>
        <row r="13">
          <cell r="A13">
            <v>4</v>
          </cell>
          <cell r="B13" t="str">
            <v>Property Held for Future Use</v>
          </cell>
          <cell r="D13">
            <v>0</v>
          </cell>
        </row>
        <row r="14">
          <cell r="A14">
            <v>5</v>
          </cell>
        </row>
        <row r="15">
          <cell r="A15">
            <v>6</v>
          </cell>
          <cell r="B15" t="str">
            <v>Utility Plant Acquisition Adjustments</v>
          </cell>
          <cell r="D15">
            <v>38065</v>
          </cell>
        </row>
        <row r="16">
          <cell r="A16">
            <v>7</v>
          </cell>
        </row>
        <row r="17">
          <cell r="A17">
            <v>8</v>
          </cell>
          <cell r="B17" t="str">
            <v>Accumulated Depreciation</v>
          </cell>
          <cell r="D17">
            <v>-94623187</v>
          </cell>
        </row>
        <row r="18">
          <cell r="A18">
            <v>9</v>
          </cell>
        </row>
        <row r="19">
          <cell r="A19">
            <v>10</v>
          </cell>
          <cell r="B19" t="str">
            <v>Accumulated Amortization</v>
          </cell>
          <cell r="D19">
            <v>0</v>
          </cell>
        </row>
        <row r="20">
          <cell r="A20">
            <v>11</v>
          </cell>
        </row>
        <row r="21">
          <cell r="A21">
            <v>12</v>
          </cell>
          <cell r="B21" t="str">
            <v>Net Utility Plant In Service</v>
          </cell>
          <cell r="D21">
            <v>271599959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  <cell r="B24" t="str">
            <v>Construction Work in Progress</v>
          </cell>
          <cell r="D24">
            <v>23186818</v>
          </cell>
        </row>
        <row r="25">
          <cell r="A25">
            <v>16</v>
          </cell>
        </row>
        <row r="26">
          <cell r="A26">
            <v>17</v>
          </cell>
          <cell r="B26" t="str">
            <v>Working Capital Allowance</v>
          </cell>
          <cell r="D26">
            <v>3596000</v>
          </cell>
        </row>
        <row r="27">
          <cell r="A27">
            <v>18</v>
          </cell>
        </row>
        <row r="28">
          <cell r="A28">
            <v>19</v>
          </cell>
          <cell r="B28" t="str">
            <v>Other  Working Capital Allowance</v>
          </cell>
          <cell r="D28">
            <v>523761</v>
          </cell>
        </row>
        <row r="29">
          <cell r="A29">
            <v>20</v>
          </cell>
        </row>
        <row r="30">
          <cell r="A30">
            <v>21</v>
          </cell>
          <cell r="B30" t="str">
            <v>Contributions in Aid of Construction</v>
          </cell>
          <cell r="D30">
            <v>-46562799</v>
          </cell>
        </row>
        <row r="31">
          <cell r="A31">
            <v>22</v>
          </cell>
        </row>
        <row r="32">
          <cell r="A32">
            <v>23</v>
          </cell>
          <cell r="B32" t="str">
            <v>Customer Advances</v>
          </cell>
          <cell r="D32">
            <v>-21380918</v>
          </cell>
        </row>
        <row r="33">
          <cell r="A33">
            <v>24</v>
          </cell>
        </row>
        <row r="34">
          <cell r="A34">
            <v>25</v>
          </cell>
          <cell r="B34" t="str">
            <v>Deferred Income Taxes</v>
          </cell>
          <cell r="D34">
            <v>-30854190</v>
          </cell>
        </row>
        <row r="35">
          <cell r="A35">
            <v>26</v>
          </cell>
        </row>
        <row r="36">
          <cell r="A36">
            <v>27</v>
          </cell>
          <cell r="B36" t="str">
            <v>Deferred Investment Tax Credits </v>
          </cell>
          <cell r="D36">
            <v>-94805</v>
          </cell>
        </row>
        <row r="37">
          <cell r="A37">
            <v>28</v>
          </cell>
        </row>
        <row r="38">
          <cell r="A38">
            <v>29</v>
          </cell>
          <cell r="B38" t="str">
            <v>Deferred Maintenance</v>
          </cell>
          <cell r="D38">
            <v>1741451</v>
          </cell>
        </row>
        <row r="39">
          <cell r="A39">
            <v>30</v>
          </cell>
        </row>
        <row r="40">
          <cell r="A40">
            <v>31</v>
          </cell>
          <cell r="B40" t="str">
            <v>Deferred Debits</v>
          </cell>
          <cell r="D40">
            <v>1897923</v>
          </cell>
        </row>
        <row r="41">
          <cell r="A41">
            <v>32</v>
          </cell>
        </row>
        <row r="42">
          <cell r="A42">
            <v>33</v>
          </cell>
          <cell r="B42" t="str">
            <v>Other Rate Base Elements</v>
          </cell>
          <cell r="D42">
            <v>-1552510.4166666667</v>
          </cell>
        </row>
        <row r="43">
          <cell r="A43">
            <v>34</v>
          </cell>
        </row>
        <row r="44">
          <cell r="A44">
            <v>45</v>
          </cell>
          <cell r="B44" t="str">
            <v>Jurisdictional Rate Base</v>
          </cell>
          <cell r="D44">
            <v>202100689.58333334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-Combined"/>
      <sheetName val="Combined A&amp;R"/>
      <sheetName val="Combined B&amp;G"/>
      <sheetName val="Combined C&amp;E"/>
      <sheetName val="Combined CSH"/>
      <sheetName val="Combined D&amp;PH"/>
      <sheetName val="Combined K&amp;PP"/>
      <sheetName val="Combined P&amp;LP"/>
      <sheetName val="Combined AGS"/>
      <sheetName val="Combined Lighting"/>
      <sheetName val="Summary-MP"/>
      <sheetName val="A"/>
      <sheetName val="B"/>
      <sheetName val="C"/>
      <sheetName val="CSH-MP"/>
      <sheetName val="D"/>
      <sheetName val="K"/>
      <sheetName val="P"/>
      <sheetName val="AGS-MP"/>
      <sheetName val="SL-P"/>
      <sheetName val="MV"/>
      <sheetName val="SV"/>
      <sheetName val="EMU-MP"/>
      <sheetName val="MU-MP"/>
      <sheetName val="EM-MP"/>
      <sheetName val="LIT"/>
      <sheetName val="Summary-PE"/>
      <sheetName val="R"/>
      <sheetName val="G"/>
      <sheetName val="E"/>
      <sheetName val="CSH-PE"/>
      <sheetName val="PH"/>
      <sheetName val="PP"/>
      <sheetName val="LP"/>
      <sheetName val="AGS-PE"/>
      <sheetName val="OL"/>
      <sheetName val="AL"/>
      <sheetName val="MSL"/>
      <sheetName val="SL"/>
      <sheetName val="EMU-PE"/>
      <sheetName val="MU-PE"/>
      <sheetName val="EM-PE"/>
      <sheetName val="Revenue Requirement"/>
      <sheetName val="ENE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mt. B"/>
      <sheetName val="Stmt. B, S. 1"/>
      <sheetName val="old summary"/>
      <sheetName val="Byron ENEC calculation"/>
      <sheetName val="15 -Cons. Tax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nk In"/>
      <sheetName val="Link Out"/>
      <sheetName val="Cust Acctg-Uncoll"/>
      <sheetName val="Uncoll 01 thru 06"/>
      <sheetName val="Uncollectibles"/>
      <sheetName val="Database"/>
      <sheetName val="Pivot Table AWW"/>
      <sheetName val="Historic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A16">
      <selection activeCell="C35" sqref="C35"/>
    </sheetView>
  </sheetViews>
  <sheetFormatPr defaultColWidth="8.88671875" defaultRowHeight="15"/>
  <cols>
    <col min="1" max="1" width="10.5546875" style="53" customWidth="1"/>
    <col min="2" max="2" width="2.77734375" style="53" customWidth="1"/>
    <col min="3" max="3" width="14.10546875" style="53" bestFit="1" customWidth="1"/>
    <col min="4" max="4" width="2.77734375" style="53" customWidth="1"/>
    <col min="5" max="5" width="46.21484375" style="53" bestFit="1" customWidth="1"/>
    <col min="6" max="16384" width="8.88671875" style="53" customWidth="1"/>
  </cols>
  <sheetData>
    <row r="2" spans="1:5" ht="15.75">
      <c r="A2" s="205" t="s">
        <v>321</v>
      </c>
      <c r="B2" s="206"/>
      <c r="C2" s="206"/>
      <c r="D2" s="206"/>
      <c r="E2" s="207"/>
    </row>
    <row r="3" spans="1:5" ht="23.25" customHeight="1">
      <c r="A3" s="205" t="s">
        <v>79</v>
      </c>
      <c r="B3" s="206"/>
      <c r="C3" s="206"/>
      <c r="D3" s="206"/>
      <c r="E3" s="207"/>
    </row>
    <row r="6" spans="1:5" ht="15.75">
      <c r="A6" s="208" t="s">
        <v>73</v>
      </c>
      <c r="B6" s="209"/>
      <c r="C6" s="209"/>
      <c r="D6" s="209"/>
      <c r="E6" s="210"/>
    </row>
    <row r="7" spans="1:5" ht="15.75">
      <c r="A7" s="35"/>
      <c r="B7" s="34"/>
      <c r="C7" s="34"/>
      <c r="D7" s="34"/>
      <c r="E7" s="47"/>
    </row>
    <row r="8" spans="1:5" ht="15.75">
      <c r="A8" s="35"/>
      <c r="B8" s="34"/>
      <c r="C8" s="46" t="s">
        <v>4</v>
      </c>
      <c r="D8" s="34"/>
      <c r="E8" s="47"/>
    </row>
    <row r="9" spans="1:5" ht="15.75">
      <c r="A9" s="48" t="s">
        <v>74</v>
      </c>
      <c r="B9" s="34"/>
      <c r="C9" s="49" t="s">
        <v>75</v>
      </c>
      <c r="D9" s="34"/>
      <c r="E9" s="50" t="s">
        <v>1</v>
      </c>
    </row>
    <row r="10" spans="1:5" ht="15">
      <c r="A10" s="54"/>
      <c r="C10" s="54"/>
      <c r="E10" s="54"/>
    </row>
    <row r="11" spans="1:5" ht="15">
      <c r="A11" s="53" t="s">
        <v>76</v>
      </c>
      <c r="C11" s="56">
        <v>3</v>
      </c>
      <c r="E11" s="53" t="s">
        <v>294</v>
      </c>
    </row>
    <row r="12" ht="15">
      <c r="C12" s="56"/>
    </row>
    <row r="13" spans="1:5" ht="15">
      <c r="A13" s="53" t="s">
        <v>77</v>
      </c>
      <c r="C13" s="56">
        <v>4</v>
      </c>
      <c r="E13" s="53" t="s">
        <v>85</v>
      </c>
    </row>
    <row r="14" ht="15">
      <c r="C14" s="56"/>
    </row>
    <row r="15" spans="1:5" ht="15">
      <c r="A15" s="57" t="s">
        <v>78</v>
      </c>
      <c r="C15" s="56">
        <v>5</v>
      </c>
      <c r="E15" s="53" t="s">
        <v>86</v>
      </c>
    </row>
    <row r="16" spans="1:3" ht="15">
      <c r="A16" s="57"/>
      <c r="C16" s="56"/>
    </row>
    <row r="17" spans="1:5" ht="15">
      <c r="A17" s="53" t="s">
        <v>80</v>
      </c>
      <c r="C17" s="56">
        <v>6</v>
      </c>
      <c r="E17" s="53" t="s">
        <v>295</v>
      </c>
    </row>
    <row r="19" spans="1:5" ht="15">
      <c r="A19" s="57" t="s">
        <v>81</v>
      </c>
      <c r="C19" s="56">
        <v>7</v>
      </c>
      <c r="E19" s="53" t="s">
        <v>87</v>
      </c>
    </row>
    <row r="20" spans="1:3" ht="15">
      <c r="A20" s="57"/>
      <c r="C20" s="56"/>
    </row>
    <row r="21" spans="1:5" ht="15">
      <c r="A21" s="53" t="s">
        <v>82</v>
      </c>
      <c r="C21" s="56">
        <v>8</v>
      </c>
      <c r="E21" s="53" t="s">
        <v>296</v>
      </c>
    </row>
    <row r="22" ht="15">
      <c r="C22" s="56"/>
    </row>
    <row r="23" spans="1:5" ht="15">
      <c r="A23" s="57" t="s">
        <v>83</v>
      </c>
      <c r="C23" s="56">
        <v>9</v>
      </c>
      <c r="E23" s="53" t="s">
        <v>88</v>
      </c>
    </row>
    <row r="24" spans="1:3" ht="15">
      <c r="A24" s="57"/>
      <c r="C24" s="56"/>
    </row>
    <row r="25" spans="1:5" ht="15">
      <c r="A25" s="53" t="s">
        <v>84</v>
      </c>
      <c r="C25" s="56">
        <v>10</v>
      </c>
      <c r="E25" s="53" t="s">
        <v>89</v>
      </c>
    </row>
    <row r="27" spans="1:5" ht="15">
      <c r="A27" s="53" t="s">
        <v>322</v>
      </c>
      <c r="C27" s="56">
        <v>11</v>
      </c>
      <c r="E27" s="53" t="s">
        <v>326</v>
      </c>
    </row>
    <row r="28" ht="15">
      <c r="C28" s="56"/>
    </row>
    <row r="29" spans="1:5" ht="15">
      <c r="A29" s="53" t="s">
        <v>323</v>
      </c>
      <c r="C29" s="56">
        <v>12</v>
      </c>
      <c r="E29" s="53" t="s">
        <v>325</v>
      </c>
    </row>
    <row r="30" ht="15">
      <c r="C30" s="56"/>
    </row>
    <row r="31" spans="1:5" ht="15">
      <c r="A31" s="53" t="s">
        <v>324</v>
      </c>
      <c r="C31" s="56">
        <v>13</v>
      </c>
      <c r="E31" s="53" t="s">
        <v>333</v>
      </c>
    </row>
    <row r="32" ht="15">
      <c r="C32" s="56"/>
    </row>
    <row r="33" spans="1:5" ht="15">
      <c r="A33" s="53" t="s">
        <v>332</v>
      </c>
      <c r="C33" s="56">
        <v>15</v>
      </c>
      <c r="E33" s="53" t="s">
        <v>327</v>
      </c>
    </row>
    <row r="34" ht="15">
      <c r="C34" s="56"/>
    </row>
  </sheetData>
  <mergeCells count="3">
    <mergeCell ref="A2:E2"/>
    <mergeCell ref="A3:E3"/>
    <mergeCell ref="A6:E6"/>
  </mergeCells>
  <printOptions horizontalCentered="1"/>
  <pageMargins left="0.75" right="0.75" top="1" bottom="1" header="0.5" footer="0.5"/>
  <pageSetup horizontalDpi="600" verticalDpi="600" orientation="portrait" scale="96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35" sqref="E35"/>
    </sheetView>
  </sheetViews>
  <sheetFormatPr defaultColWidth="8.88671875" defaultRowHeight="15"/>
  <cols>
    <col min="1" max="1" width="5.3359375" style="3" customWidth="1"/>
    <col min="2" max="2" width="30.4453125" style="3" customWidth="1"/>
    <col min="3" max="3" width="1.5625" style="3" customWidth="1"/>
    <col min="4" max="4" width="13.6640625" style="6" customWidth="1"/>
    <col min="5" max="5" width="3.3359375" style="3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212" t="s">
        <v>6</v>
      </c>
      <c r="B1" s="212"/>
      <c r="C1" s="212"/>
      <c r="D1" s="212"/>
      <c r="E1" s="212"/>
      <c r="F1" s="2"/>
      <c r="G1" s="2"/>
      <c r="H1" s="2"/>
      <c r="I1" s="2"/>
    </row>
    <row r="2" spans="1:9" ht="12.75">
      <c r="A2" s="212" t="s">
        <v>7</v>
      </c>
      <c r="B2" s="212"/>
      <c r="C2" s="212"/>
      <c r="D2" s="212"/>
      <c r="E2" s="212"/>
      <c r="F2" s="2"/>
      <c r="G2" s="2"/>
      <c r="H2" s="2"/>
      <c r="I2" s="2"/>
    </row>
    <row r="4" spans="1:5" ht="12.75">
      <c r="A4" s="215" t="s">
        <v>286</v>
      </c>
      <c r="B4" s="216"/>
      <c r="C4" s="216"/>
      <c r="D4" s="216"/>
      <c r="E4" s="217"/>
    </row>
    <row r="6" spans="1:5" ht="12.75">
      <c r="A6" s="213" t="s">
        <v>27</v>
      </c>
      <c r="B6" s="213"/>
      <c r="C6" s="213"/>
      <c r="D6" s="213"/>
      <c r="E6" s="214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2.75">
      <c r="A13" s="7">
        <v>1</v>
      </c>
      <c r="B13" s="3" t="s">
        <v>66</v>
      </c>
      <c r="D13" s="10">
        <v>79365</v>
      </c>
      <c r="E13" s="7" t="s">
        <v>5</v>
      </c>
    </row>
    <row r="14" spans="1:6" ht="12.75">
      <c r="A14" s="7"/>
      <c r="D14" s="9"/>
      <c r="E14" s="7"/>
      <c r="F14" s="7"/>
    </row>
    <row r="15" spans="1:8" ht="12.75">
      <c r="A15" s="7">
        <v>2</v>
      </c>
      <c r="B15" s="3" t="s">
        <v>28</v>
      </c>
      <c r="D15" s="10">
        <f>-D13</f>
        <v>-79365</v>
      </c>
      <c r="H15" s="11"/>
    </row>
    <row r="16" spans="1:8" ht="12.75">
      <c r="A16" s="7"/>
      <c r="H16" s="11"/>
    </row>
    <row r="17" spans="1:8" ht="12.75">
      <c r="A17" s="7">
        <v>3</v>
      </c>
      <c r="B17" s="3" t="s">
        <v>13</v>
      </c>
      <c r="D17" s="16">
        <f>+'[1]Sch 3'!L32</f>
        <v>0.389</v>
      </c>
      <c r="H17" s="11"/>
    </row>
    <row r="18" spans="1:8" ht="12.75">
      <c r="A18" s="7"/>
      <c r="H18" s="11"/>
    </row>
    <row r="19" spans="1:8" ht="12.75">
      <c r="A19" s="7">
        <v>4</v>
      </c>
      <c r="B19" s="3" t="s">
        <v>11</v>
      </c>
      <c r="D19" s="12">
        <f>-D15*D17</f>
        <v>30872.985</v>
      </c>
      <c r="H19" s="11"/>
    </row>
    <row r="20" spans="1:4" ht="12.75">
      <c r="A20" s="7"/>
      <c r="D20" s="13"/>
    </row>
    <row r="21" spans="1:4" ht="13.5" thickBot="1">
      <c r="A21" s="7">
        <v>5</v>
      </c>
      <c r="B21" s="3" t="s">
        <v>16</v>
      </c>
      <c r="D21" s="14">
        <f>+D15+D19</f>
        <v>-48492.015</v>
      </c>
    </row>
    <row r="22" ht="13.5" thickTop="1">
      <c r="D22" s="13"/>
    </row>
    <row r="23" spans="1:4" ht="12.75">
      <c r="A23" s="7">
        <v>6</v>
      </c>
      <c r="B23" s="3" t="s">
        <v>3</v>
      </c>
      <c r="D23" s="18">
        <f>+'[1]Sch 3'!J30</f>
        <v>1.6524921</v>
      </c>
    </row>
    <row r="24" spans="1:4" ht="12.75">
      <c r="A24" s="7"/>
      <c r="D24" s="13"/>
    </row>
    <row r="25" spans="1:4" ht="13.5" thickBot="1">
      <c r="A25" s="7">
        <v>7</v>
      </c>
      <c r="B25" s="3" t="s">
        <v>17</v>
      </c>
      <c r="D25" s="14">
        <f>+D21*D23</f>
        <v>-80132.6717005815</v>
      </c>
    </row>
    <row r="26" ht="13.5" thickTop="1">
      <c r="D26" s="13"/>
    </row>
    <row r="29" ht="12.75">
      <c r="A29" s="3" t="s">
        <v>68</v>
      </c>
    </row>
    <row r="30" spans="1:2" ht="12.75">
      <c r="A30" s="7" t="s">
        <v>67</v>
      </c>
      <c r="B30" s="3" t="s">
        <v>287</v>
      </c>
    </row>
  </sheetData>
  <mergeCells count="4">
    <mergeCell ref="A4:E4"/>
    <mergeCell ref="A1:E1"/>
    <mergeCell ref="A2:E2"/>
    <mergeCell ref="A6:E6"/>
  </mergeCells>
  <printOptions horizontalCentered="1"/>
  <pageMargins left="0.75" right="0.75" top="1.17" bottom="1" header="0.5" footer="0.5"/>
  <pageSetup horizontalDpi="600" verticalDpi="600" orientation="portrait" r:id="rId1"/>
  <headerFooter alignWithMargins="0">
    <oddHeader>&amp;RExhibit___(MJM-4) Updated
Schedule 6
Page 1 of 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35" sqref="E35"/>
    </sheetView>
  </sheetViews>
  <sheetFormatPr defaultColWidth="8.88671875" defaultRowHeight="15"/>
  <cols>
    <col min="1" max="1" width="4.4453125" style="3" customWidth="1"/>
    <col min="2" max="2" width="30.4453125" style="3" customWidth="1"/>
    <col min="3" max="3" width="1.5625" style="3" customWidth="1"/>
    <col min="4" max="4" width="13.6640625" style="6" customWidth="1"/>
    <col min="5" max="5" width="3.21484375" style="3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212" t="s">
        <v>6</v>
      </c>
      <c r="B1" s="212"/>
      <c r="C1" s="212"/>
      <c r="D1" s="212"/>
      <c r="E1" s="212"/>
      <c r="F1" s="2"/>
      <c r="G1" s="2"/>
      <c r="H1" s="2"/>
      <c r="I1" s="2"/>
    </row>
    <row r="2" spans="1:9" ht="12.75">
      <c r="A2" s="212" t="s">
        <v>7</v>
      </c>
      <c r="B2" s="212"/>
      <c r="C2" s="212"/>
      <c r="D2" s="212"/>
      <c r="E2" s="212"/>
      <c r="F2" s="2"/>
      <c r="G2" s="2"/>
      <c r="H2" s="2"/>
      <c r="I2" s="2"/>
    </row>
    <row r="4" spans="1:5" ht="12.75">
      <c r="A4" s="215" t="s">
        <v>288</v>
      </c>
      <c r="B4" s="216"/>
      <c r="C4" s="216"/>
      <c r="D4" s="216"/>
      <c r="E4" s="217"/>
    </row>
    <row r="6" spans="1:5" ht="12.75">
      <c r="A6" s="213" t="s">
        <v>69</v>
      </c>
      <c r="B6" s="213"/>
      <c r="C6" s="213"/>
      <c r="D6" s="213"/>
      <c r="E6" s="214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4.25">
      <c r="A13" s="7">
        <v>1</v>
      </c>
      <c r="B13" s="3" t="s">
        <v>70</v>
      </c>
      <c r="D13" s="1">
        <v>12497</v>
      </c>
      <c r="E13" s="7" t="s">
        <v>5</v>
      </c>
    </row>
    <row r="14" spans="1:6" ht="12.75">
      <c r="A14" s="7"/>
      <c r="D14" s="9"/>
      <c r="E14" s="7"/>
      <c r="F14" s="7"/>
    </row>
    <row r="15" spans="1:8" ht="12.75">
      <c r="A15" s="7">
        <v>2</v>
      </c>
      <c r="B15" s="3" t="s">
        <v>8</v>
      </c>
      <c r="D15" s="10">
        <f>-D13</f>
        <v>-12497</v>
      </c>
      <c r="H15" s="11"/>
    </row>
    <row r="16" spans="1:8" ht="12.75">
      <c r="A16" s="7"/>
      <c r="D16" s="23"/>
      <c r="H16" s="11"/>
    </row>
    <row r="17" spans="1:8" ht="12.75">
      <c r="A17" s="7">
        <v>3</v>
      </c>
      <c r="B17" s="3" t="s">
        <v>13</v>
      </c>
      <c r="C17" s="21"/>
      <c r="D17" s="24">
        <f>+'[1]Sch 3'!L32</f>
        <v>0.389</v>
      </c>
      <c r="E17" s="22"/>
      <c r="H17" s="11"/>
    </row>
    <row r="18" spans="1:4" ht="12.75">
      <c r="A18" s="7"/>
      <c r="D18" s="13"/>
    </row>
    <row r="19" spans="1:4" ht="12.75">
      <c r="A19" s="7">
        <v>4</v>
      </c>
      <c r="B19" s="3" t="s">
        <v>11</v>
      </c>
      <c r="D19" s="25">
        <f>-D15*D17</f>
        <v>4861.3330000000005</v>
      </c>
    </row>
    <row r="20" spans="1:4" ht="12.75">
      <c r="A20" s="7"/>
      <c r="D20" s="20"/>
    </row>
    <row r="21" spans="1:4" ht="13.5" thickBot="1">
      <c r="A21" s="7">
        <v>5</v>
      </c>
      <c r="B21" s="3" t="s">
        <v>16</v>
      </c>
      <c r="D21" s="14">
        <f>+D15+D19</f>
        <v>-7635.6669999999995</v>
      </c>
    </row>
    <row r="22" ht="13.5" thickTop="1">
      <c r="D22" s="13"/>
    </row>
    <row r="23" spans="1:4" ht="12.75">
      <c r="A23" s="7">
        <v>6</v>
      </c>
      <c r="B23" s="3" t="s">
        <v>3</v>
      </c>
      <c r="D23" s="19">
        <f>+'[1]Sch 3'!J30</f>
        <v>1.6524921</v>
      </c>
    </row>
    <row r="24" ht="12.75">
      <c r="A24" s="7"/>
    </row>
    <row r="25" spans="1:4" ht="13.5" thickBot="1">
      <c r="A25" s="7">
        <v>7</v>
      </c>
      <c r="B25" s="3" t="s">
        <v>17</v>
      </c>
      <c r="D25" s="14">
        <f>+D21*D23</f>
        <v>-12617.879395730699</v>
      </c>
    </row>
    <row r="26" spans="1:4" ht="13.5" thickTop="1">
      <c r="A26" s="7"/>
      <c r="D26" s="23"/>
    </row>
    <row r="27" spans="1:4" ht="12.75">
      <c r="A27" s="7"/>
      <c r="D27" s="45"/>
    </row>
    <row r="28" spans="1:4" ht="12.75">
      <c r="A28" s="7"/>
      <c r="D28" s="45"/>
    </row>
    <row r="29" spans="1:5" ht="12.75">
      <c r="A29" s="33" t="s">
        <v>68</v>
      </c>
      <c r="C29" s="21"/>
      <c r="D29" s="26"/>
      <c r="E29" s="22"/>
    </row>
    <row r="30" spans="1:4" ht="12.75">
      <c r="A30" s="7" t="s">
        <v>5</v>
      </c>
      <c r="B30" s="3" t="s">
        <v>71</v>
      </c>
      <c r="D30" s="13"/>
    </row>
  </sheetData>
  <mergeCells count="4">
    <mergeCell ref="A4:E4"/>
    <mergeCell ref="A1:E1"/>
    <mergeCell ref="A2:E2"/>
    <mergeCell ref="A6:E6"/>
  </mergeCells>
  <printOptions horizontalCentered="1"/>
  <pageMargins left="0.75" right="0.75" top="1.21" bottom="1" header="0.5" footer="0.5"/>
  <pageSetup horizontalDpi="600" verticalDpi="600" orientation="portrait" r:id="rId1"/>
  <headerFooter alignWithMargins="0">
    <oddHeader>&amp;RExhibit___(MJM-4) Updated
Schedule 7
Page 1 of 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3">
      <selection activeCell="E35" sqref="E35"/>
    </sheetView>
  </sheetViews>
  <sheetFormatPr defaultColWidth="8.88671875" defaultRowHeight="15"/>
  <cols>
    <col min="1" max="1" width="4.88671875" style="3" customWidth="1"/>
    <col min="2" max="2" width="30.4453125" style="3" customWidth="1"/>
    <col min="3" max="3" width="1.5625" style="3" customWidth="1"/>
    <col min="4" max="4" width="13.6640625" style="6" customWidth="1"/>
    <col min="5" max="5" width="4.5546875" style="7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212" t="s">
        <v>6</v>
      </c>
      <c r="B1" s="212"/>
      <c r="C1" s="212"/>
      <c r="D1" s="212"/>
      <c r="E1" s="212"/>
      <c r="F1" s="2"/>
      <c r="G1" s="2"/>
      <c r="H1" s="2"/>
      <c r="I1" s="2"/>
    </row>
    <row r="2" spans="1:9" ht="12.75">
      <c r="A2" s="212" t="s">
        <v>7</v>
      </c>
      <c r="B2" s="212"/>
      <c r="C2" s="212"/>
      <c r="D2" s="212"/>
      <c r="E2" s="212"/>
      <c r="F2" s="2"/>
      <c r="G2" s="2"/>
      <c r="H2" s="2"/>
      <c r="I2" s="2"/>
    </row>
    <row r="4" spans="1:5" ht="12.75">
      <c r="A4" s="215" t="s">
        <v>289</v>
      </c>
      <c r="B4" s="216"/>
      <c r="C4" s="216"/>
      <c r="D4" s="216"/>
      <c r="E4" s="217"/>
    </row>
    <row r="6" spans="1:5" ht="12.75">
      <c r="A6" s="213" t="s">
        <v>31</v>
      </c>
      <c r="B6" s="213"/>
      <c r="C6" s="213"/>
      <c r="D6" s="213"/>
      <c r="E6" s="214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2.75">
      <c r="A13" s="7">
        <v>1</v>
      </c>
      <c r="B13" s="3" t="s">
        <v>32</v>
      </c>
      <c r="D13" s="10">
        <v>202245239</v>
      </c>
      <c r="E13" s="7" t="s">
        <v>5</v>
      </c>
    </row>
    <row r="14" spans="1:6" ht="12.75">
      <c r="A14" s="7"/>
      <c r="D14" s="9"/>
      <c r="F14" s="7"/>
    </row>
    <row r="15" spans="1:8" ht="12.75">
      <c r="A15" s="7">
        <v>2</v>
      </c>
      <c r="B15" s="3" t="s">
        <v>33</v>
      </c>
      <c r="D15" s="31">
        <v>0.0347</v>
      </c>
      <c r="E15" s="7" t="s">
        <v>30</v>
      </c>
      <c r="F15" s="7"/>
      <c r="H15" s="7"/>
    </row>
    <row r="16" spans="1:8" ht="12.75">
      <c r="A16" s="7"/>
      <c r="D16" s="13"/>
      <c r="H16" s="11"/>
    </row>
    <row r="17" spans="1:8" ht="12.75">
      <c r="A17" s="7">
        <v>3</v>
      </c>
      <c r="B17" s="3" t="s">
        <v>34</v>
      </c>
      <c r="D17" s="13">
        <f>+D13*D15</f>
        <v>7017909.7933</v>
      </c>
      <c r="H17" s="11"/>
    </row>
    <row r="18" spans="1:8" ht="12.75">
      <c r="A18" s="7"/>
      <c r="D18" s="13"/>
      <c r="H18" s="11"/>
    </row>
    <row r="19" spans="1:8" ht="12.75">
      <c r="A19" s="7">
        <v>4</v>
      </c>
      <c r="B19" s="3" t="s">
        <v>35</v>
      </c>
      <c r="D19" s="10">
        <v>7053314</v>
      </c>
      <c r="E19" s="7" t="s">
        <v>51</v>
      </c>
      <c r="H19" s="11"/>
    </row>
    <row r="20" spans="1:8" ht="12.75">
      <c r="A20" s="7"/>
      <c r="H20" s="11"/>
    </row>
    <row r="21" spans="1:8" ht="12.75">
      <c r="A21" s="7">
        <v>5</v>
      </c>
      <c r="B21" s="3" t="s">
        <v>36</v>
      </c>
      <c r="D21" s="6">
        <f>+D19-D17</f>
        <v>35404.20669999998</v>
      </c>
      <c r="H21" s="11"/>
    </row>
    <row r="22" spans="1:8" ht="12.75">
      <c r="A22" s="7"/>
      <c r="H22" s="11"/>
    </row>
    <row r="23" spans="1:8" ht="12.75">
      <c r="A23" s="7">
        <v>6</v>
      </c>
      <c r="B23" s="3" t="s">
        <v>13</v>
      </c>
      <c r="D23" s="17">
        <f>+'[1]Sch 3'!L32</f>
        <v>0.389</v>
      </c>
      <c r="H23" s="11"/>
    </row>
    <row r="24" ht="12.75">
      <c r="D24" s="13"/>
    </row>
    <row r="25" spans="1:4" ht="13.5" thickBot="1">
      <c r="A25" s="7">
        <v>7</v>
      </c>
      <c r="B25" s="3" t="s">
        <v>37</v>
      </c>
      <c r="D25" s="14">
        <f>+D21*D23</f>
        <v>13772.236406299993</v>
      </c>
    </row>
    <row r="26" spans="1:4" ht="13.5" thickTop="1">
      <c r="A26" s="7"/>
      <c r="D26" s="13"/>
    </row>
    <row r="27" ht="12.75">
      <c r="D27" s="13"/>
    </row>
    <row r="29" ht="12.75">
      <c r="A29" s="3" t="s">
        <v>50</v>
      </c>
    </row>
    <row r="30" spans="1:2" ht="12.75">
      <c r="A30" s="7" t="s">
        <v>5</v>
      </c>
      <c r="B30" s="3" t="s">
        <v>291</v>
      </c>
    </row>
    <row r="31" spans="1:2" ht="12.75">
      <c r="A31" s="7" t="s">
        <v>30</v>
      </c>
      <c r="B31" s="3" t="s">
        <v>290</v>
      </c>
    </row>
    <row r="32" spans="1:2" ht="12.75">
      <c r="A32" s="7" t="s">
        <v>51</v>
      </c>
      <c r="B32" s="3" t="s">
        <v>72</v>
      </c>
    </row>
  </sheetData>
  <mergeCells count="4">
    <mergeCell ref="A1:E1"/>
    <mergeCell ref="A2:E2"/>
    <mergeCell ref="A4:E4"/>
    <mergeCell ref="A6:E6"/>
  </mergeCells>
  <printOptions horizontalCentered="1"/>
  <pageMargins left="0.75" right="0.75" top="1.16" bottom="1" header="0.5" footer="0.5"/>
  <pageSetup horizontalDpi="600" verticalDpi="600" orientation="portrait" r:id="rId1"/>
  <headerFooter alignWithMargins="0">
    <oddHeader>&amp;RExhibit___(MJM-4) Updated
Schedule 8
Page 1 of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I37"/>
  <sheetViews>
    <sheetView workbookViewId="0" topLeftCell="A1">
      <selection activeCell="E35" sqref="E35"/>
    </sheetView>
  </sheetViews>
  <sheetFormatPr defaultColWidth="8.88671875" defaultRowHeight="15"/>
  <cols>
    <col min="1" max="1" width="7.3359375" style="3" customWidth="1"/>
    <col min="2" max="2" width="30.4453125" style="3" customWidth="1"/>
    <col min="3" max="3" width="1.5625" style="3" customWidth="1"/>
    <col min="4" max="4" width="13.6640625" style="6" customWidth="1"/>
    <col min="5" max="5" width="1.99609375" style="3" bestFit="1" customWidth="1"/>
    <col min="6" max="6" width="7.3359375" style="3" customWidth="1"/>
    <col min="7" max="7" width="1.4375" style="3" customWidth="1"/>
    <col min="8" max="16384" width="8.88671875" style="3" customWidth="1"/>
  </cols>
  <sheetData>
    <row r="1" spans="1:9" ht="12.75">
      <c r="A1" s="212" t="s">
        <v>6</v>
      </c>
      <c r="B1" s="212"/>
      <c r="C1" s="212"/>
      <c r="D1" s="212"/>
      <c r="E1" s="2"/>
      <c r="F1" s="2"/>
      <c r="G1" s="2"/>
      <c r="H1" s="2"/>
      <c r="I1" s="2"/>
    </row>
    <row r="2" spans="1:9" ht="12.75">
      <c r="A2" s="212" t="s">
        <v>7</v>
      </c>
      <c r="B2" s="212"/>
      <c r="C2" s="212"/>
      <c r="D2" s="212"/>
      <c r="E2" s="2"/>
      <c r="F2" s="2"/>
      <c r="G2" s="2"/>
      <c r="H2" s="2"/>
      <c r="I2" s="2"/>
    </row>
    <row r="4" spans="1:5" ht="12.75">
      <c r="A4" s="211" t="s">
        <v>304</v>
      </c>
      <c r="B4" s="211"/>
      <c r="C4" s="211"/>
      <c r="D4" s="211"/>
      <c r="E4" s="36"/>
    </row>
    <row r="6" spans="1:4" ht="12.75">
      <c r="A6" s="212" t="s">
        <v>300</v>
      </c>
      <c r="B6" s="212"/>
      <c r="C6" s="212"/>
      <c r="D6" s="212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2.75">
      <c r="A13" s="7">
        <v>1</v>
      </c>
      <c r="B13" s="3" t="s">
        <v>297</v>
      </c>
      <c r="D13" s="10">
        <v>1858197</v>
      </c>
      <c r="E13" s="7" t="s">
        <v>5</v>
      </c>
    </row>
    <row r="14" spans="1:6" ht="12.75">
      <c r="A14" s="7"/>
      <c r="D14" s="9"/>
      <c r="E14" s="7"/>
      <c r="F14" s="7"/>
    </row>
    <row r="15" spans="1:8" ht="12.75">
      <c r="A15" s="7">
        <v>2</v>
      </c>
      <c r="B15" s="3" t="s">
        <v>298</v>
      </c>
      <c r="D15" s="15">
        <v>1672308</v>
      </c>
      <c r="E15" s="7" t="s">
        <v>30</v>
      </c>
      <c r="F15" s="7"/>
      <c r="H15" s="7"/>
    </row>
    <row r="16" spans="1:8" ht="12.75">
      <c r="A16" s="7"/>
      <c r="D16" s="13"/>
      <c r="H16" s="11"/>
    </row>
    <row r="17" spans="1:8" ht="12.75">
      <c r="A17" s="7">
        <v>3</v>
      </c>
      <c r="B17" s="3" t="s">
        <v>299</v>
      </c>
      <c r="D17" s="13">
        <f>+D13-D15</f>
        <v>185889</v>
      </c>
      <c r="H17" s="11"/>
    </row>
    <row r="18" spans="1:8" ht="12.75">
      <c r="A18" s="7"/>
      <c r="D18" s="13"/>
      <c r="H18" s="11"/>
    </row>
    <row r="19" spans="1:8" ht="12.75">
      <c r="A19" s="7">
        <v>4</v>
      </c>
      <c r="B19" s="3" t="s">
        <v>8</v>
      </c>
      <c r="D19" s="10">
        <f>-D17</f>
        <v>-185889</v>
      </c>
      <c r="E19" s="27"/>
      <c r="H19" s="11"/>
    </row>
    <row r="20" spans="1:8" ht="12.75">
      <c r="A20" s="7"/>
      <c r="H20" s="11"/>
    </row>
    <row r="21" spans="1:8" ht="12.75">
      <c r="A21" s="7">
        <v>5</v>
      </c>
      <c r="B21" s="3" t="s">
        <v>13</v>
      </c>
      <c r="D21" s="16">
        <f>+'[1]Sch 3'!L32</f>
        <v>0.389</v>
      </c>
      <c r="H21" s="11"/>
    </row>
    <row r="22" spans="1:8" ht="12.75">
      <c r="A22" s="7"/>
      <c r="H22" s="11"/>
    </row>
    <row r="23" spans="1:8" ht="12.75">
      <c r="A23" s="7">
        <v>6</v>
      </c>
      <c r="B23" s="3" t="s">
        <v>22</v>
      </c>
      <c r="D23" s="12">
        <f>+D19*D21</f>
        <v>-72310.821</v>
      </c>
      <c r="H23" s="11"/>
    </row>
    <row r="24" ht="12.75">
      <c r="D24" s="13"/>
    </row>
    <row r="25" spans="1:4" ht="13.5" thickBot="1">
      <c r="A25" s="7">
        <v>7</v>
      </c>
      <c r="B25" s="3" t="s">
        <v>312</v>
      </c>
      <c r="D25" s="14">
        <f>+D19-D23</f>
        <v>-113578.179</v>
      </c>
    </row>
    <row r="26" spans="1:4" ht="13.5" thickTop="1">
      <c r="A26" s="7"/>
      <c r="D26" s="13"/>
    </row>
    <row r="27" spans="1:4" ht="12.75">
      <c r="A27" s="7">
        <v>8</v>
      </c>
      <c r="B27" s="3" t="s">
        <v>3</v>
      </c>
      <c r="D27" s="18">
        <f>+'[1]Sch 3'!J30</f>
        <v>1.6524921</v>
      </c>
    </row>
    <row r="28" ht="12.75">
      <c r="D28" s="13"/>
    </row>
    <row r="29" spans="1:4" ht="13.5" thickBot="1">
      <c r="A29" s="7">
        <v>9</v>
      </c>
      <c r="B29" s="3" t="s">
        <v>24</v>
      </c>
      <c r="D29" s="14">
        <f>+D25*D27</f>
        <v>-187687.0435298859</v>
      </c>
    </row>
    <row r="30" ht="13.5" thickTop="1">
      <c r="D30" s="13"/>
    </row>
    <row r="34" ht="12.75">
      <c r="A34" s="3" t="s">
        <v>50</v>
      </c>
    </row>
    <row r="35" ht="12.75">
      <c r="B35" s="3" t="s">
        <v>303</v>
      </c>
    </row>
    <row r="36" ht="12.75">
      <c r="B36" s="3" t="s">
        <v>301</v>
      </c>
    </row>
    <row r="37" ht="12.75">
      <c r="B37" s="3" t="s">
        <v>302</v>
      </c>
    </row>
  </sheetData>
  <mergeCells count="4">
    <mergeCell ref="A6:D6"/>
    <mergeCell ref="A1:D1"/>
    <mergeCell ref="A2:D2"/>
    <mergeCell ref="A4:D4"/>
  </mergeCells>
  <printOptions horizontalCentered="1"/>
  <pageMargins left="0.75" right="0.75" top="1.38" bottom="1" header="0.5" footer="0.5"/>
  <pageSetup horizontalDpi="600" verticalDpi="600" orientation="portrait" r:id="rId1"/>
  <headerFooter alignWithMargins="0">
    <oddHeader>&amp;RExhibit___(MJM-4) Updated
Schedule 9
Page 1 of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I37"/>
  <sheetViews>
    <sheetView workbookViewId="0" topLeftCell="A7">
      <selection activeCell="B36" sqref="B36"/>
    </sheetView>
  </sheetViews>
  <sheetFormatPr defaultColWidth="8.88671875" defaultRowHeight="15"/>
  <cols>
    <col min="1" max="1" width="7.3359375" style="3" customWidth="1"/>
    <col min="2" max="2" width="30.4453125" style="3" customWidth="1"/>
    <col min="3" max="3" width="1.5625" style="3" customWidth="1"/>
    <col min="4" max="4" width="13.6640625" style="6" customWidth="1"/>
    <col min="5" max="5" width="1.99609375" style="3" bestFit="1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212" t="s">
        <v>6</v>
      </c>
      <c r="B1" s="212"/>
      <c r="C1" s="212"/>
      <c r="D1" s="212"/>
      <c r="E1" s="2"/>
      <c r="F1" s="2"/>
      <c r="G1" s="2"/>
      <c r="H1" s="2"/>
      <c r="I1" s="2"/>
    </row>
    <row r="2" spans="1:9" ht="12.75">
      <c r="A2" s="212" t="s">
        <v>7</v>
      </c>
      <c r="B2" s="212"/>
      <c r="C2" s="212"/>
      <c r="D2" s="212"/>
      <c r="E2" s="2"/>
      <c r="F2" s="2"/>
      <c r="G2" s="2"/>
      <c r="H2" s="2"/>
      <c r="I2" s="2"/>
    </row>
    <row r="4" spans="1:5" ht="12.75">
      <c r="A4" s="211" t="s">
        <v>305</v>
      </c>
      <c r="B4" s="211"/>
      <c r="C4" s="211"/>
      <c r="D4" s="211"/>
      <c r="E4" s="36"/>
    </row>
    <row r="6" spans="1:4" ht="12.75">
      <c r="A6" s="212" t="s">
        <v>306</v>
      </c>
      <c r="B6" s="212"/>
      <c r="C6" s="212"/>
      <c r="D6" s="212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2.75">
      <c r="A13" s="7">
        <v>1</v>
      </c>
      <c r="B13" s="3" t="s">
        <v>307</v>
      </c>
      <c r="D13" s="10">
        <v>418563</v>
      </c>
      <c r="E13" s="7" t="s">
        <v>5</v>
      </c>
    </row>
    <row r="14" spans="1:6" ht="12.75">
      <c r="A14" s="7"/>
      <c r="D14" s="9"/>
      <c r="E14" s="7"/>
      <c r="F14" s="7"/>
    </row>
    <row r="15" spans="1:8" ht="12.75">
      <c r="A15" s="7">
        <v>2</v>
      </c>
      <c r="B15" s="3" t="s">
        <v>308</v>
      </c>
      <c r="D15" s="15">
        <v>389019</v>
      </c>
      <c r="E15" s="7" t="s">
        <v>30</v>
      </c>
      <c r="F15" s="7"/>
      <c r="H15" s="7"/>
    </row>
    <row r="16" spans="1:8" ht="12.75">
      <c r="A16" s="7"/>
      <c r="D16" s="13"/>
      <c r="H16" s="11"/>
    </row>
    <row r="17" spans="1:8" ht="12.75">
      <c r="A17" s="7">
        <v>3</v>
      </c>
      <c r="B17" s="3" t="s">
        <v>299</v>
      </c>
      <c r="D17" s="13">
        <f>+D13-D15</f>
        <v>29544</v>
      </c>
      <c r="H17" s="11"/>
    </row>
    <row r="18" spans="1:8" ht="12.75">
      <c r="A18" s="7"/>
      <c r="D18" s="13"/>
      <c r="H18" s="11"/>
    </row>
    <row r="19" spans="1:8" ht="12.75">
      <c r="A19" s="7">
        <v>4</v>
      </c>
      <c r="B19" s="3" t="s">
        <v>8</v>
      </c>
      <c r="D19" s="10">
        <f>-D17</f>
        <v>-29544</v>
      </c>
      <c r="E19" s="27"/>
      <c r="H19" s="11"/>
    </row>
    <row r="20" spans="1:8" ht="12.75">
      <c r="A20" s="7"/>
      <c r="H20" s="11"/>
    </row>
    <row r="21" spans="1:8" ht="12.75">
      <c r="A21" s="7">
        <v>5</v>
      </c>
      <c r="B21" s="3" t="s">
        <v>13</v>
      </c>
      <c r="D21" s="16">
        <f>+'[1]Sch 3'!L32</f>
        <v>0.389</v>
      </c>
      <c r="H21" s="11"/>
    </row>
    <row r="22" spans="1:8" ht="12.75">
      <c r="A22" s="7"/>
      <c r="H22" s="11"/>
    </row>
    <row r="23" spans="1:8" ht="12.75">
      <c r="A23" s="7">
        <v>6</v>
      </c>
      <c r="B23" s="3" t="s">
        <v>22</v>
      </c>
      <c r="D23" s="12">
        <f>-D19*D21</f>
        <v>11492.616</v>
      </c>
      <c r="H23" s="11"/>
    </row>
    <row r="24" ht="12.75">
      <c r="D24" s="13"/>
    </row>
    <row r="25" spans="1:4" ht="13.5" thickBot="1">
      <c r="A25" s="7">
        <v>7</v>
      </c>
      <c r="B25" s="3" t="s">
        <v>23</v>
      </c>
      <c r="D25" s="14">
        <f>+D19+D23</f>
        <v>-18051.384</v>
      </c>
    </row>
    <row r="26" spans="1:4" ht="13.5" thickTop="1">
      <c r="A26" s="7"/>
      <c r="D26" s="13"/>
    </row>
    <row r="27" spans="1:4" ht="12.75">
      <c r="A27" s="7">
        <v>8</v>
      </c>
      <c r="B27" s="3" t="s">
        <v>3</v>
      </c>
      <c r="D27" s="18">
        <f>+'[1]Sch 3'!J30</f>
        <v>1.6524921</v>
      </c>
    </row>
    <row r="28" ht="12.75">
      <c r="D28" s="13"/>
    </row>
    <row r="29" spans="1:4" ht="13.5" thickBot="1">
      <c r="A29" s="7">
        <v>9</v>
      </c>
      <c r="B29" s="3" t="s">
        <v>24</v>
      </c>
      <c r="D29" s="14">
        <f>+D25*D27</f>
        <v>-29829.769454066394</v>
      </c>
    </row>
    <row r="30" ht="13.5" thickTop="1">
      <c r="D30" s="13"/>
    </row>
    <row r="34" ht="12.75">
      <c r="A34" s="3" t="s">
        <v>50</v>
      </c>
    </row>
    <row r="35" ht="12.75">
      <c r="B35" s="3" t="s">
        <v>309</v>
      </c>
    </row>
    <row r="36" ht="12.75">
      <c r="B36" s="3" t="s">
        <v>310</v>
      </c>
    </row>
    <row r="37" ht="12.75">
      <c r="B37" s="3" t="s">
        <v>311</v>
      </c>
    </row>
  </sheetData>
  <mergeCells count="4">
    <mergeCell ref="A1:D1"/>
    <mergeCell ref="A2:D2"/>
    <mergeCell ref="A4:D4"/>
    <mergeCell ref="A6:D6"/>
  </mergeCells>
  <printOptions horizontalCentered="1"/>
  <pageMargins left="0.75" right="0.75" top="1.33" bottom="1" header="0.5" footer="0.5"/>
  <pageSetup horizontalDpi="600" verticalDpi="600" orientation="portrait" r:id="rId1"/>
  <headerFooter alignWithMargins="0">
    <oddHeader>&amp;RExhibit___(MJM-4) Updated 
Schedule 10
Page 1 of 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53"/>
  <sheetViews>
    <sheetView showOutlineSymbols="0" zoomScale="87" zoomScaleNormal="87" workbookViewId="0" topLeftCell="A24">
      <selection activeCell="B36" sqref="B36"/>
    </sheetView>
  </sheetViews>
  <sheetFormatPr defaultColWidth="8.88671875" defaultRowHeight="15"/>
  <cols>
    <col min="1" max="16384" width="12.77734375" style="188" customWidth="1"/>
  </cols>
  <sheetData>
    <row r="1" spans="1:25" s="3" customFormat="1" ht="12.75">
      <c r="A1" s="187" t="s">
        <v>335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s="3" customFormat="1" ht="12.75">
      <c r="A2" s="187" t="s">
        <v>336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1:25" s="3" customFormat="1" ht="12.75">
      <c r="A3" s="187" t="s">
        <v>337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5" ht="12.75">
      <c r="A5" s="187" t="s">
        <v>338</v>
      </c>
    </row>
    <row r="6" spans="2:4" ht="12.75">
      <c r="B6" s="188" t="s">
        <v>339</v>
      </c>
      <c r="C6" s="189"/>
      <c r="D6" s="189"/>
    </row>
    <row r="7" spans="2:7" ht="12.75">
      <c r="B7" s="190" t="s">
        <v>340</v>
      </c>
      <c r="C7" s="190" t="s">
        <v>341</v>
      </c>
      <c r="D7" s="190" t="s">
        <v>342</v>
      </c>
      <c r="E7" s="190" t="s">
        <v>343</v>
      </c>
      <c r="F7" s="190" t="s">
        <v>344</v>
      </c>
      <c r="G7" s="190" t="s">
        <v>345</v>
      </c>
    </row>
    <row r="9" spans="1:8" ht="12.75">
      <c r="A9" s="189">
        <v>2004</v>
      </c>
      <c r="B9" s="191">
        <f>21229060+10443014+1356009+1898742+854523+3156654+824589+9780</f>
        <v>39772371</v>
      </c>
      <c r="C9" s="191"/>
      <c r="D9" s="191">
        <v>830893</v>
      </c>
      <c r="E9" s="192">
        <v>0</v>
      </c>
      <c r="F9" s="192">
        <f>B9+D9+E9</f>
        <v>40603264</v>
      </c>
      <c r="G9" s="193">
        <v>376473.37</v>
      </c>
      <c r="H9" s="194">
        <f>+G9/F9</f>
        <v>0.009271997689643867</v>
      </c>
    </row>
    <row r="10" spans="1:8" ht="12.75">
      <c r="A10" s="189">
        <v>2005</v>
      </c>
      <c r="B10" s="191">
        <f>25485147+12148115+1566349+2096410+1007204+3754089+1000284+4008</f>
        <v>47061606</v>
      </c>
      <c r="C10" s="191"/>
      <c r="D10" s="191">
        <v>919435</v>
      </c>
      <c r="E10" s="192">
        <v>1760</v>
      </c>
      <c r="F10" s="192">
        <f>B10+D10+E10</f>
        <v>47982801</v>
      </c>
      <c r="G10" s="193">
        <v>398108.09</v>
      </c>
      <c r="H10" s="194">
        <f>+G10/F10</f>
        <v>0.008296891421574158</v>
      </c>
    </row>
    <row r="11" spans="1:8" ht="12.75">
      <c r="A11" s="189">
        <v>2006</v>
      </c>
      <c r="B11" s="192">
        <f>25845959+12026959+1441235+2182373+1052049+3546837+882305+9024</f>
        <v>46986741</v>
      </c>
      <c r="C11" s="192">
        <v>0</v>
      </c>
      <c r="D11" s="192">
        <v>970979</v>
      </c>
      <c r="E11" s="192">
        <f>393165+80157+194+227088+10489</f>
        <v>711093</v>
      </c>
      <c r="F11" s="192">
        <f>B11+D11+E11</f>
        <v>48668813</v>
      </c>
      <c r="G11" s="193">
        <v>384317.63</v>
      </c>
      <c r="H11" s="194">
        <f>+G11/F11</f>
        <v>0.007896589341515273</v>
      </c>
    </row>
    <row r="12" spans="6:9" ht="12.75">
      <c r="F12" s="195" t="s">
        <v>29</v>
      </c>
      <c r="H12" s="194">
        <f>+H9+H10+H11</f>
        <v>0.0254654784527333</v>
      </c>
      <c r="I12" s="194">
        <f>+H12/3</f>
        <v>0.008488492817577766</v>
      </c>
    </row>
    <row r="14" ht="12.75">
      <c r="A14" s="187" t="s">
        <v>346</v>
      </c>
    </row>
    <row r="15" spans="1:2" ht="12.75">
      <c r="A15" s="188">
        <v>2004</v>
      </c>
      <c r="B15" s="191">
        <f>+B9</f>
        <v>39772371</v>
      </c>
    </row>
    <row r="16" spans="1:12" ht="12.75">
      <c r="A16" s="188">
        <v>2005</v>
      </c>
      <c r="B16" s="191">
        <f>+B10</f>
        <v>47061606</v>
      </c>
      <c r="J16" s="196"/>
      <c r="K16" s="196"/>
      <c r="L16" s="196"/>
    </row>
    <row r="17" spans="1:12" ht="12.75">
      <c r="A17" s="188">
        <v>2006</v>
      </c>
      <c r="B17" s="195">
        <f>+B11</f>
        <v>46986741</v>
      </c>
      <c r="J17" s="196"/>
      <c r="K17" s="196"/>
      <c r="L17" s="196"/>
    </row>
    <row r="18" spans="10:12" ht="12.75">
      <c r="J18" s="196"/>
      <c r="K18" s="196"/>
      <c r="L18" s="196"/>
    </row>
    <row r="19" spans="1:12" ht="12.75">
      <c r="A19" s="187" t="s">
        <v>347</v>
      </c>
      <c r="J19" s="196"/>
      <c r="K19" s="196"/>
      <c r="L19" s="196"/>
    </row>
    <row r="20" spans="1:12" ht="12.75">
      <c r="A20" s="188">
        <v>2004</v>
      </c>
      <c r="B20" s="191">
        <f>+D9</f>
        <v>830893</v>
      </c>
      <c r="J20" s="196"/>
      <c r="K20" s="196"/>
      <c r="L20" s="196"/>
    </row>
    <row r="21" spans="1:12" ht="12.75">
      <c r="A21" s="188">
        <v>2005</v>
      </c>
      <c r="B21" s="191">
        <f>+D10</f>
        <v>919435</v>
      </c>
      <c r="J21" s="196"/>
      <c r="K21" s="196"/>
      <c r="L21" s="196"/>
    </row>
    <row r="22" spans="1:12" ht="12.75">
      <c r="A22" s="188">
        <v>2006</v>
      </c>
      <c r="B22" s="195">
        <f>+D11</f>
        <v>970979</v>
      </c>
      <c r="J22" s="196"/>
      <c r="K22" s="196"/>
      <c r="L22" s="196"/>
    </row>
    <row r="23" spans="10:12" ht="12.75">
      <c r="J23" s="196"/>
      <c r="K23" s="196"/>
      <c r="L23" s="196"/>
    </row>
    <row r="24" ht="12.75">
      <c r="A24" s="187" t="s">
        <v>348</v>
      </c>
    </row>
    <row r="25" ht="12.75">
      <c r="A25" s="188">
        <v>2001</v>
      </c>
    </row>
    <row r="26" ht="12.75">
      <c r="A26" s="188">
        <v>2002</v>
      </c>
    </row>
    <row r="27" ht="12.75">
      <c r="A27" s="188">
        <v>2003</v>
      </c>
    </row>
    <row r="29" ht="12.75">
      <c r="A29" s="187" t="s">
        <v>349</v>
      </c>
    </row>
    <row r="30" ht="12.75">
      <c r="A30" s="188">
        <v>2004</v>
      </c>
    </row>
    <row r="31" spans="1:2" ht="12.75">
      <c r="A31" s="188">
        <v>2005</v>
      </c>
      <c r="B31" s="195">
        <f>+E10</f>
        <v>1760</v>
      </c>
    </row>
    <row r="32" spans="1:2" ht="12.75">
      <c r="A32" s="188">
        <v>2006</v>
      </c>
      <c r="B32" s="195">
        <f>+E11</f>
        <v>711093</v>
      </c>
    </row>
    <row r="34" ht="12.75">
      <c r="A34" s="187" t="s">
        <v>350</v>
      </c>
    </row>
    <row r="35" spans="1:8" ht="12.75">
      <c r="A35" s="188" t="s">
        <v>340</v>
      </c>
      <c r="B35" s="191">
        <v>47387575</v>
      </c>
      <c r="C35" s="192">
        <f>ROUND(+B35*B41,0)-1</f>
        <v>402793</v>
      </c>
      <c r="D35" s="197"/>
      <c r="E35" s="192"/>
      <c r="F35" s="195"/>
      <c r="G35" s="191"/>
      <c r="H35" s="191"/>
    </row>
    <row r="36" spans="1:6" ht="12.75">
      <c r="A36" s="188" t="s">
        <v>342</v>
      </c>
      <c r="B36" s="191">
        <v>1156141</v>
      </c>
      <c r="C36" s="192">
        <f>ROUND(B36*B41,0)</f>
        <v>9827</v>
      </c>
      <c r="D36" s="197"/>
      <c r="E36" s="192"/>
      <c r="F36" s="195"/>
    </row>
    <row r="37" spans="1:6" ht="12.75">
      <c r="A37" s="188" t="s">
        <v>341</v>
      </c>
      <c r="B37" s="198">
        <v>93638</v>
      </c>
      <c r="C37" s="199">
        <f>ROUND(B37*B41,0)</f>
        <v>796</v>
      </c>
      <c r="D37" s="197"/>
      <c r="E37" s="192"/>
      <c r="F37" s="195"/>
    </row>
    <row r="38" spans="1:6" ht="12.75">
      <c r="A38" s="188" t="s">
        <v>343</v>
      </c>
      <c r="B38" s="200">
        <v>605551</v>
      </c>
      <c r="C38" s="201">
        <f>+B38*B41</f>
        <v>5147.1835</v>
      </c>
      <c r="D38" s="202"/>
      <c r="E38" s="192"/>
      <c r="F38" s="195"/>
    </row>
    <row r="39" spans="2:8" ht="12.75">
      <c r="B39" s="191">
        <f>SUM(B35:B38)</f>
        <v>49242905</v>
      </c>
      <c r="C39" s="192">
        <f>SUM(C35:C38)</f>
        <v>418563.1835</v>
      </c>
      <c r="D39" s="203"/>
      <c r="E39" s="192"/>
      <c r="F39" s="195"/>
      <c r="G39" s="191"/>
      <c r="H39" s="191"/>
    </row>
    <row r="40" spans="1:4" ht="12.75">
      <c r="A40" s="188" t="s">
        <v>351</v>
      </c>
      <c r="B40" s="200">
        <f>+B39*0.0085</f>
        <v>418564.6925</v>
      </c>
      <c r="D40" s="191"/>
    </row>
    <row r="41" spans="2:4" ht="12.75">
      <c r="B41" s="204">
        <f>ROUND(B40/B39,8)</f>
        <v>0.0085</v>
      </c>
      <c r="C41" s="188" t="s">
        <v>352</v>
      </c>
      <c r="D41" s="204"/>
    </row>
    <row r="44" ht="12.75">
      <c r="A44" s="188" t="s">
        <v>353</v>
      </c>
    </row>
    <row r="45" spans="1:3" ht="12.75">
      <c r="A45" s="188" t="s">
        <v>340</v>
      </c>
      <c r="B45" s="191">
        <f>+B35</f>
        <v>47387575</v>
      </c>
      <c r="C45" s="192">
        <f>ROUND(+B45*B51,0)-1</f>
        <v>374361</v>
      </c>
    </row>
    <row r="46" spans="1:3" ht="12.75">
      <c r="A46" s="188" t="s">
        <v>342</v>
      </c>
      <c r="B46" s="191">
        <f>+B36</f>
        <v>1156141</v>
      </c>
      <c r="C46" s="192">
        <f>ROUND(B46*B51,0)</f>
        <v>9134</v>
      </c>
    </row>
    <row r="47" spans="1:3" ht="12.75">
      <c r="A47" s="188" t="s">
        <v>341</v>
      </c>
      <c r="B47" s="198">
        <f>+B37</f>
        <v>93638</v>
      </c>
      <c r="C47" s="199">
        <f>ROUND(B47*B51,0)</f>
        <v>740</v>
      </c>
    </row>
    <row r="48" spans="1:3" ht="12.75">
      <c r="A48" s="188" t="s">
        <v>343</v>
      </c>
      <c r="B48" s="200">
        <f>+B38</f>
        <v>605551</v>
      </c>
      <c r="C48" s="201">
        <f>+B48*B51</f>
        <v>4783.852900000001</v>
      </c>
    </row>
    <row r="49" spans="2:3" ht="12.75">
      <c r="B49" s="191">
        <f>SUM(B45:B48)</f>
        <v>49242905</v>
      </c>
      <c r="C49" s="192">
        <f>SUM(C45:C48)</f>
        <v>389018.8529</v>
      </c>
    </row>
    <row r="50" spans="1:2" ht="12.75">
      <c r="A50" s="188" t="s">
        <v>351</v>
      </c>
      <c r="B50" s="200">
        <f>+B49*0.0079</f>
        <v>389018.94950000005</v>
      </c>
    </row>
    <row r="51" spans="2:3" ht="12.75">
      <c r="B51" s="204">
        <f>ROUND(B50/B49,8)</f>
        <v>0.0079</v>
      </c>
      <c r="C51" s="188" t="s">
        <v>354</v>
      </c>
    </row>
    <row r="53" spans="1:2" ht="12.75">
      <c r="A53" s="188" t="s">
        <v>355</v>
      </c>
      <c r="B53" s="3"/>
    </row>
  </sheetData>
  <printOptions horizontalCentered="1"/>
  <pageMargins left="0.75" right="0.5" top="0.75" bottom="0.5" header="0.5" footer="0.25"/>
  <pageSetup fitToHeight="1" fitToWidth="1" horizontalDpi="600" verticalDpi="600" orientation="landscape" scale="78" r:id="rId1"/>
  <headerFooter alignWithMargins="0">
    <oddHeader>&amp;RExhibit___(MJM-4) Updated
Schedule 10
Page 2 of 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I31"/>
  <sheetViews>
    <sheetView tabSelected="1" workbookViewId="0" topLeftCell="A5">
      <selection activeCell="D29" sqref="D29"/>
    </sheetView>
  </sheetViews>
  <sheetFormatPr defaultColWidth="8.88671875" defaultRowHeight="15"/>
  <cols>
    <col min="1" max="1" width="4.5546875" style="3" customWidth="1"/>
    <col min="2" max="2" width="31.77734375" style="3" customWidth="1"/>
    <col min="3" max="3" width="1.5625" style="3" customWidth="1"/>
    <col min="4" max="4" width="13.6640625" style="6" customWidth="1"/>
    <col min="5" max="5" width="3.77734375" style="7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212" t="s">
        <v>6</v>
      </c>
      <c r="B1" s="212"/>
      <c r="C1" s="212"/>
      <c r="D1" s="212"/>
      <c r="E1" s="212"/>
      <c r="F1" s="2"/>
      <c r="G1" s="2"/>
      <c r="H1" s="2"/>
      <c r="I1" s="2"/>
    </row>
    <row r="2" spans="1:9" ht="12.75">
      <c r="A2" s="212" t="s">
        <v>7</v>
      </c>
      <c r="B2" s="212"/>
      <c r="C2" s="212"/>
      <c r="D2" s="212"/>
      <c r="E2" s="212"/>
      <c r="F2" s="2"/>
      <c r="G2" s="2"/>
      <c r="H2" s="2"/>
      <c r="I2" s="2"/>
    </row>
    <row r="4" spans="1:5" ht="12.75">
      <c r="A4" s="215" t="s">
        <v>331</v>
      </c>
      <c r="B4" s="216"/>
      <c r="C4" s="216"/>
      <c r="D4" s="216"/>
      <c r="E4" s="217"/>
    </row>
    <row r="6" spans="1:5" ht="12.75">
      <c r="A6" s="213" t="s">
        <v>328</v>
      </c>
      <c r="B6" s="213"/>
      <c r="C6" s="213"/>
      <c r="D6" s="213"/>
      <c r="E6" s="214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2.75">
      <c r="A13" s="7">
        <v>1</v>
      </c>
      <c r="B13" s="3" t="s">
        <v>329</v>
      </c>
      <c r="D13" s="8">
        <v>3386</v>
      </c>
      <c r="E13" s="7" t="s">
        <v>5</v>
      </c>
    </row>
    <row r="14" spans="1:6" ht="12.75">
      <c r="A14" s="7"/>
      <c r="B14" s="3" t="s">
        <v>330</v>
      </c>
      <c r="D14" s="9"/>
      <c r="F14" s="7"/>
    </row>
    <row r="15" spans="1:6" ht="12.75">
      <c r="A15" s="7"/>
      <c r="D15" s="9"/>
      <c r="F15" s="7"/>
    </row>
    <row r="16" spans="1:8" ht="12.75">
      <c r="A16" s="7">
        <v>2</v>
      </c>
      <c r="B16" s="3" t="s">
        <v>8</v>
      </c>
      <c r="D16" s="10">
        <f>-D13</f>
        <v>-3386</v>
      </c>
      <c r="H16" s="11"/>
    </row>
    <row r="17" spans="1:8" ht="12.75">
      <c r="A17" s="7"/>
      <c r="D17" s="23"/>
      <c r="H17" s="11"/>
    </row>
    <row r="18" spans="1:8" ht="12.75">
      <c r="A18" s="7">
        <v>3</v>
      </c>
      <c r="B18" s="3" t="s">
        <v>13</v>
      </c>
      <c r="C18" s="21"/>
      <c r="D18" s="24">
        <f>+'[1]Sch 3'!L32</f>
        <v>0.389</v>
      </c>
      <c r="E18" s="32"/>
      <c r="H18" s="11"/>
    </row>
    <row r="19" spans="1:8" ht="12.75">
      <c r="A19" s="7"/>
      <c r="D19" s="20"/>
      <c r="H19" s="11"/>
    </row>
    <row r="20" spans="1:8" ht="12.75">
      <c r="A20" s="7">
        <v>4</v>
      </c>
      <c r="B20" s="3" t="s">
        <v>11</v>
      </c>
      <c r="D20" s="25">
        <f>-D16*D18</f>
        <v>1317.154</v>
      </c>
      <c r="H20" s="11"/>
    </row>
    <row r="21" spans="1:8" ht="12.75">
      <c r="A21" s="7"/>
      <c r="D21" s="20"/>
      <c r="H21" s="11"/>
    </row>
    <row r="22" spans="1:4" ht="13.5" thickBot="1">
      <c r="A22" s="7">
        <v>5</v>
      </c>
      <c r="B22" s="3" t="s">
        <v>16</v>
      </c>
      <c r="D22" s="14">
        <f>+D16+D20</f>
        <v>-2068.846</v>
      </c>
    </row>
    <row r="23" ht="13.5" thickTop="1">
      <c r="D23" s="13"/>
    </row>
    <row r="24" spans="1:4" ht="12.75">
      <c r="A24" s="7">
        <v>6</v>
      </c>
      <c r="B24" s="3" t="s">
        <v>3</v>
      </c>
      <c r="D24" s="19">
        <f>+'[1]Sch 3'!J30</f>
        <v>1.6524921</v>
      </c>
    </row>
    <row r="25" ht="12.75">
      <c r="A25" s="7"/>
    </row>
    <row r="26" spans="1:4" ht="13.5" thickBot="1">
      <c r="A26" s="7">
        <v>7</v>
      </c>
      <c r="B26" s="3" t="s">
        <v>17</v>
      </c>
      <c r="D26" s="14">
        <f>+D22*D24</f>
        <v>-3418.7516711166</v>
      </c>
    </row>
    <row r="27" ht="13.5" thickTop="1">
      <c r="D27" s="13"/>
    </row>
    <row r="30" ht="12.75">
      <c r="A30" s="3" t="s">
        <v>50</v>
      </c>
    </row>
    <row r="31" spans="1:2" ht="12.75">
      <c r="A31" s="3" t="s">
        <v>5</v>
      </c>
      <c r="B31" s="3" t="s">
        <v>356</v>
      </c>
    </row>
  </sheetData>
  <mergeCells count="4">
    <mergeCell ref="A1:E1"/>
    <mergeCell ref="A2:E2"/>
    <mergeCell ref="A4:E4"/>
    <mergeCell ref="A6:E6"/>
  </mergeCells>
  <printOptions horizontalCentered="1"/>
  <pageMargins left="0.75" right="0.75" top="1.73" bottom="1" header="0.5" footer="0.5"/>
  <pageSetup horizontalDpi="600" verticalDpi="600" orientation="portrait" r:id="rId1"/>
  <headerFooter alignWithMargins="0">
    <oddHeader>&amp;RExhibit___(MJM-4) Updated
Schedule 11
Page 1 of 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I37"/>
  <sheetViews>
    <sheetView workbookViewId="0" topLeftCell="A1">
      <selection activeCell="B12" sqref="B12"/>
    </sheetView>
  </sheetViews>
  <sheetFormatPr defaultColWidth="8.88671875" defaultRowHeight="15"/>
  <cols>
    <col min="1" max="1" width="4.88671875" style="3" customWidth="1"/>
    <col min="2" max="2" width="30.4453125" style="3" customWidth="1"/>
    <col min="3" max="3" width="1.5625" style="3" customWidth="1"/>
    <col min="4" max="4" width="13.6640625" style="6" customWidth="1"/>
    <col min="5" max="5" width="4.5546875" style="7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212" t="s">
        <v>6</v>
      </c>
      <c r="B1" s="212"/>
      <c r="C1" s="212"/>
      <c r="D1" s="212"/>
      <c r="E1" s="212"/>
      <c r="F1" s="2"/>
      <c r="G1" s="2"/>
      <c r="H1" s="2"/>
      <c r="I1" s="2"/>
    </row>
    <row r="2" spans="1:9" ht="12.75">
      <c r="A2" s="212" t="s">
        <v>7</v>
      </c>
      <c r="B2" s="212"/>
      <c r="C2" s="212"/>
      <c r="D2" s="212"/>
      <c r="E2" s="212"/>
      <c r="F2" s="2"/>
      <c r="G2" s="2"/>
      <c r="H2" s="2"/>
      <c r="I2" s="2"/>
    </row>
    <row r="4" spans="1:5" ht="12.75">
      <c r="A4" s="215" t="s">
        <v>334</v>
      </c>
      <c r="B4" s="216"/>
      <c r="C4" s="216"/>
      <c r="D4" s="216"/>
      <c r="E4" s="217"/>
    </row>
    <row r="6" spans="1:5" ht="12.75">
      <c r="A6" s="213" t="s">
        <v>313</v>
      </c>
      <c r="B6" s="213"/>
      <c r="C6" s="213"/>
      <c r="D6" s="213"/>
      <c r="E6" s="214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2.75">
      <c r="A13" s="7">
        <v>1</v>
      </c>
      <c r="B13" s="3" t="s">
        <v>314</v>
      </c>
      <c r="D13" s="10">
        <v>202114238.58333334</v>
      </c>
      <c r="E13" s="7" t="s">
        <v>5</v>
      </c>
    </row>
    <row r="14" spans="1:6" ht="12.75">
      <c r="A14" s="7"/>
      <c r="D14" s="9"/>
      <c r="F14" s="7"/>
    </row>
    <row r="15" spans="1:8" ht="12.75">
      <c r="A15" s="7">
        <v>2</v>
      </c>
      <c r="B15" s="3" t="s">
        <v>33</v>
      </c>
      <c r="D15" s="31">
        <v>0.0347</v>
      </c>
      <c r="E15" s="7" t="s">
        <v>30</v>
      </c>
      <c r="F15" s="7"/>
      <c r="H15" s="7"/>
    </row>
    <row r="16" spans="1:8" ht="12.75">
      <c r="A16" s="7"/>
      <c r="D16" s="13"/>
      <c r="H16" s="11"/>
    </row>
    <row r="17" spans="1:8" ht="12.75">
      <c r="A17" s="7">
        <v>3</v>
      </c>
      <c r="B17" s="3" t="s">
        <v>34</v>
      </c>
      <c r="D17" s="13">
        <f>+D13*D15</f>
        <v>7013364.078841668</v>
      </c>
      <c r="H17" s="11"/>
    </row>
    <row r="18" spans="1:8" ht="12.75">
      <c r="A18" s="7"/>
      <c r="D18" s="13"/>
      <c r="H18" s="11"/>
    </row>
    <row r="19" spans="1:8" ht="12.75">
      <c r="A19" s="7">
        <v>4</v>
      </c>
      <c r="B19" s="3" t="s">
        <v>35</v>
      </c>
      <c r="D19" s="10">
        <v>7053314</v>
      </c>
      <c r="E19" s="7" t="s">
        <v>51</v>
      </c>
      <c r="H19" s="11"/>
    </row>
    <row r="20" spans="1:8" ht="12.75">
      <c r="A20" s="7"/>
      <c r="H20" s="11"/>
    </row>
    <row r="21" spans="1:8" ht="12.75">
      <c r="A21" s="7">
        <v>5</v>
      </c>
      <c r="B21" s="3" t="s">
        <v>36</v>
      </c>
      <c r="D21" s="6">
        <f>+D19-D17</f>
        <v>39949.92115833238</v>
      </c>
      <c r="H21" s="11"/>
    </row>
    <row r="22" spans="1:8" ht="12.75">
      <c r="A22" s="7"/>
      <c r="H22" s="11"/>
    </row>
    <row r="23" spans="1:8" ht="12.75">
      <c r="A23" s="7">
        <v>6</v>
      </c>
      <c r="B23" s="3" t="s">
        <v>13</v>
      </c>
      <c r="D23" s="17">
        <f>+'[1]Sch 3'!L32</f>
        <v>0.389</v>
      </c>
      <c r="H23" s="11"/>
    </row>
    <row r="24" ht="12.75">
      <c r="D24" s="13"/>
    </row>
    <row r="25" spans="1:4" ht="13.5" thickBot="1">
      <c r="A25" s="7">
        <v>7</v>
      </c>
      <c r="B25" s="3" t="s">
        <v>37</v>
      </c>
      <c r="D25" s="14">
        <f>+D21*D23</f>
        <v>15540.519330591296</v>
      </c>
    </row>
    <row r="26" spans="1:4" ht="13.5" thickTop="1">
      <c r="A26" s="7"/>
      <c r="D26" s="13"/>
    </row>
    <row r="27" spans="1:5" ht="12.75">
      <c r="A27" s="7">
        <v>8</v>
      </c>
      <c r="B27" s="3" t="s">
        <v>316</v>
      </c>
      <c r="D27" s="13">
        <v>13772.236406299993</v>
      </c>
      <c r="E27" s="7" t="s">
        <v>319</v>
      </c>
    </row>
    <row r="28" spans="1:4" ht="12.75">
      <c r="A28" s="7"/>
      <c r="D28" s="13"/>
    </row>
    <row r="29" spans="1:4" ht="12.75">
      <c r="A29" s="7">
        <v>9</v>
      </c>
      <c r="B29" s="3" t="s">
        <v>317</v>
      </c>
      <c r="D29" s="13">
        <f>+D25-D27</f>
        <v>1768.282924291303</v>
      </c>
    </row>
    <row r="30" spans="1:4" ht="12.75">
      <c r="A30" s="7"/>
      <c r="B30" s="3" t="s">
        <v>318</v>
      </c>
      <c r="D30" s="13"/>
    </row>
    <row r="31" spans="1:4" ht="12.75">
      <c r="A31" s="7"/>
      <c r="D31" s="13"/>
    </row>
    <row r="33" ht="12.75">
      <c r="A33" s="3" t="s">
        <v>50</v>
      </c>
    </row>
    <row r="34" spans="1:2" ht="12.75">
      <c r="A34" s="7" t="s">
        <v>5</v>
      </c>
      <c r="B34" s="3" t="s">
        <v>315</v>
      </c>
    </row>
    <row r="35" spans="1:2" ht="12.75">
      <c r="A35" s="7" t="s">
        <v>30</v>
      </c>
      <c r="B35" s="3" t="s">
        <v>290</v>
      </c>
    </row>
    <row r="36" spans="1:2" ht="12.75">
      <c r="A36" s="7" t="s">
        <v>51</v>
      </c>
      <c r="B36" s="3" t="s">
        <v>72</v>
      </c>
    </row>
    <row r="37" spans="1:2" ht="12.75">
      <c r="A37" s="7" t="s">
        <v>319</v>
      </c>
      <c r="B37" s="3" t="s">
        <v>320</v>
      </c>
    </row>
  </sheetData>
  <mergeCells count="4">
    <mergeCell ref="A1:E1"/>
    <mergeCell ref="A2:E2"/>
    <mergeCell ref="A4:E4"/>
    <mergeCell ref="A6:E6"/>
  </mergeCells>
  <printOptions horizontalCentered="1"/>
  <pageMargins left="0.75" right="0.75" top="1.36" bottom="1" header="0.5" footer="0.5"/>
  <pageSetup horizontalDpi="600" verticalDpi="600" orientation="portrait" r:id="rId1"/>
  <headerFooter alignWithMargins="0">
    <oddHeader>&amp;RExhibit___(MJM-4) Updated
Schedule 12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3">
      <selection activeCell="E35" sqref="E35"/>
    </sheetView>
  </sheetViews>
  <sheetFormatPr defaultColWidth="8.88671875" defaultRowHeight="15"/>
  <cols>
    <col min="1" max="1" width="7.21484375" style="37" bestFit="1" customWidth="1"/>
    <col min="2" max="2" width="26.99609375" style="37" customWidth="1"/>
    <col min="3" max="4" width="11.77734375" style="37" bestFit="1" customWidth="1"/>
    <col min="5" max="5" width="12.6640625" style="37" bestFit="1" customWidth="1"/>
    <col min="6" max="16384" width="7.10546875" style="37" customWidth="1"/>
  </cols>
  <sheetData>
    <row r="1" spans="1:5" ht="12.75">
      <c r="A1" s="211" t="s">
        <v>38</v>
      </c>
      <c r="B1" s="211"/>
      <c r="C1" s="211"/>
      <c r="D1" s="211"/>
      <c r="E1" s="211"/>
    </row>
    <row r="2" spans="1:5" ht="12.75">
      <c r="A2" s="211" t="s">
        <v>39</v>
      </c>
      <c r="B2" s="211"/>
      <c r="C2" s="211"/>
      <c r="D2" s="211"/>
      <c r="E2" s="211"/>
    </row>
    <row r="3" spans="1:5" ht="12.75">
      <c r="A3" s="36"/>
      <c r="B3" s="36"/>
      <c r="C3" s="36"/>
      <c r="D3" s="36"/>
      <c r="E3" s="36"/>
    </row>
    <row r="4" spans="1:5" ht="12.75">
      <c r="A4" s="211" t="s">
        <v>90</v>
      </c>
      <c r="B4" s="211"/>
      <c r="C4" s="211"/>
      <c r="D4" s="211"/>
      <c r="E4" s="211"/>
    </row>
    <row r="5" spans="1:5" ht="12.75">
      <c r="A5" s="36"/>
      <c r="B5" s="36"/>
      <c r="C5" s="36"/>
      <c r="D5" s="36"/>
      <c r="E5" s="36"/>
    </row>
    <row r="6" spans="1:5" ht="12.75">
      <c r="A6" s="211" t="s">
        <v>40</v>
      </c>
      <c r="B6" s="211"/>
      <c r="C6" s="211"/>
      <c r="D6" s="211"/>
      <c r="E6" s="211"/>
    </row>
    <row r="7" spans="1:5" ht="12.75">
      <c r="A7" s="36"/>
      <c r="B7" s="36"/>
      <c r="C7" s="36"/>
      <c r="D7" s="36"/>
      <c r="E7" s="36"/>
    </row>
    <row r="8" spans="1:5" ht="12.75">
      <c r="A8" s="36"/>
      <c r="B8" s="36"/>
      <c r="C8" s="36"/>
      <c r="D8" s="36"/>
      <c r="E8" s="36"/>
    </row>
    <row r="10" spans="3:5" s="38" customFormat="1" ht="12.75">
      <c r="C10" s="39">
        <v>2003</v>
      </c>
      <c r="D10" s="39">
        <v>2004</v>
      </c>
      <c r="E10" s="39">
        <v>2005</v>
      </c>
    </row>
    <row r="11" spans="3:5" s="38" customFormat="1" ht="12.75">
      <c r="C11" s="38" t="s">
        <v>41</v>
      </c>
      <c r="D11" s="38" t="s">
        <v>42</v>
      </c>
      <c r="E11" s="38" t="s">
        <v>43</v>
      </c>
    </row>
    <row r="12" s="38" customFormat="1" ht="12.75"/>
    <row r="13" spans="1:5" ht="12.75">
      <c r="A13" s="38">
        <v>1</v>
      </c>
      <c r="B13" s="37" t="s">
        <v>44</v>
      </c>
      <c r="C13" s="40">
        <v>134138588</v>
      </c>
      <c r="D13" s="40">
        <v>157986815</v>
      </c>
      <c r="E13" s="40">
        <v>247465686</v>
      </c>
    </row>
    <row r="14" spans="1:5" ht="12.75">
      <c r="A14" s="38"/>
      <c r="C14" s="41"/>
      <c r="D14" s="41"/>
      <c r="E14" s="41"/>
    </row>
    <row r="15" spans="1:5" ht="12.75">
      <c r="A15" s="38">
        <v>2</v>
      </c>
      <c r="B15" s="37" t="s">
        <v>45</v>
      </c>
      <c r="C15" s="41">
        <v>2123369</v>
      </c>
      <c r="D15" s="41">
        <v>0</v>
      </c>
      <c r="E15" s="41">
        <v>3896807</v>
      </c>
    </row>
    <row r="16" spans="1:5" ht="12.75">
      <c r="A16" s="38"/>
      <c r="C16" s="41"/>
      <c r="D16" s="41"/>
      <c r="E16" s="41"/>
    </row>
    <row r="17" spans="1:5" ht="12.75">
      <c r="A17" s="38">
        <v>3</v>
      </c>
      <c r="B17" s="37" t="s">
        <v>46</v>
      </c>
      <c r="C17" s="42">
        <f>ROUND(+C15/C13,4)</f>
        <v>0.0158</v>
      </c>
      <c r="D17" s="42">
        <v>0</v>
      </c>
      <c r="E17" s="42">
        <f>ROUND(+E15/E13,4)</f>
        <v>0.0157</v>
      </c>
    </row>
    <row r="18" spans="1:5" ht="12.75">
      <c r="A18" s="38"/>
      <c r="C18" s="41"/>
      <c r="D18" s="41"/>
      <c r="E18" s="41"/>
    </row>
    <row r="19" spans="1:5" ht="12.75">
      <c r="A19" s="38">
        <v>4</v>
      </c>
      <c r="B19" s="37" t="s">
        <v>53</v>
      </c>
      <c r="C19" s="41">
        <v>275913511</v>
      </c>
      <c r="D19" s="41">
        <v>200843042</v>
      </c>
      <c r="E19" s="41">
        <v>210636379</v>
      </c>
    </row>
    <row r="20" spans="1:5" ht="12.75">
      <c r="A20" s="38"/>
      <c r="C20" s="41"/>
      <c r="D20" s="41"/>
      <c r="E20" s="41"/>
    </row>
    <row r="21" spans="1:5" ht="12.75">
      <c r="A21" s="38">
        <v>5</v>
      </c>
      <c r="B21" s="37" t="s">
        <v>47</v>
      </c>
      <c r="C21" s="41">
        <f>+C19*C17</f>
        <v>4359433.473800001</v>
      </c>
      <c r="D21" s="41">
        <f>SUM(D19*D17)</f>
        <v>0</v>
      </c>
      <c r="E21" s="41">
        <f>+E19*E17</f>
        <v>3306991.1503</v>
      </c>
    </row>
    <row r="22" spans="1:5" ht="12.75">
      <c r="A22" s="38"/>
      <c r="C22" s="41"/>
      <c r="D22" s="41"/>
      <c r="E22" s="41"/>
    </row>
    <row r="23" spans="1:5" ht="12.75">
      <c r="A23" s="38">
        <v>6</v>
      </c>
      <c r="B23" s="37" t="s">
        <v>48</v>
      </c>
      <c r="C23" s="41">
        <f>SUM(C21:E21)/3</f>
        <v>2555474.8747</v>
      </c>
      <c r="D23" s="41"/>
      <c r="E23" s="41"/>
    </row>
    <row r="24" spans="1:5" ht="12.75">
      <c r="A24" s="38"/>
      <c r="C24" s="41"/>
      <c r="D24" s="41"/>
      <c r="E24" s="41"/>
    </row>
    <row r="25" spans="1:5" ht="12.75">
      <c r="A25" s="38">
        <v>7</v>
      </c>
      <c r="B25" s="37" t="s">
        <v>49</v>
      </c>
      <c r="C25" s="41">
        <f>SUM(C23*0.35)</f>
        <v>894416.206145</v>
      </c>
      <c r="D25" s="41"/>
      <c r="E25" s="41"/>
    </row>
    <row r="27" ht="12.75">
      <c r="D27" s="43"/>
    </row>
    <row r="29" ht="12.75">
      <c r="A29" s="37" t="s">
        <v>50</v>
      </c>
    </row>
    <row r="30" spans="1:2" ht="12.75">
      <c r="A30" s="38" t="s">
        <v>5</v>
      </c>
      <c r="B30" s="37" t="s">
        <v>54</v>
      </c>
    </row>
  </sheetData>
  <sheetProtection/>
  <mergeCells count="4">
    <mergeCell ref="A1:E1"/>
    <mergeCell ref="A2:E2"/>
    <mergeCell ref="A6:E6"/>
    <mergeCell ref="A4:E4"/>
  </mergeCells>
  <printOptions/>
  <pageMargins left="0.7" right="0.7" top="0.94" bottom="0.75" header="0.3" footer="0.3"/>
  <pageSetup horizontalDpi="600" verticalDpi="600" orientation="portrait" scale="99" r:id="rId1"/>
  <headerFooter alignWithMargins="0">
    <oddHeader>&amp;RExhibit___(MJM-4) Updated
Schedule 1
Page 1 of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E35" sqref="E35"/>
    </sheetView>
  </sheetViews>
  <sheetFormatPr defaultColWidth="8.88671875" defaultRowHeight="15"/>
  <cols>
    <col min="1" max="1" width="7.3359375" style="3" customWidth="1"/>
    <col min="2" max="2" width="30.4453125" style="3" customWidth="1"/>
    <col min="3" max="3" width="1.5625" style="3" customWidth="1"/>
    <col min="4" max="4" width="13.6640625" style="6" customWidth="1"/>
    <col min="5" max="5" width="12.3359375" style="3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212" t="s">
        <v>6</v>
      </c>
      <c r="B1" s="212"/>
      <c r="C1" s="212"/>
      <c r="D1" s="212"/>
      <c r="E1" s="2"/>
      <c r="F1" s="2"/>
      <c r="G1" s="2"/>
      <c r="H1" s="2"/>
      <c r="I1" s="2"/>
    </row>
    <row r="2" spans="1:9" ht="12.75">
      <c r="A2" s="212" t="s">
        <v>7</v>
      </c>
      <c r="B2" s="212"/>
      <c r="C2" s="212"/>
      <c r="D2" s="212"/>
      <c r="E2" s="2"/>
      <c r="F2" s="2"/>
      <c r="G2" s="2"/>
      <c r="H2" s="2"/>
      <c r="I2" s="2"/>
    </row>
    <row r="4" spans="1:5" ht="12.75">
      <c r="A4" s="211" t="s">
        <v>91</v>
      </c>
      <c r="B4" s="211"/>
      <c r="C4" s="211"/>
      <c r="D4" s="211"/>
      <c r="E4" s="36"/>
    </row>
    <row r="6" spans="1:4" ht="12.75">
      <c r="A6" s="212" t="s">
        <v>19</v>
      </c>
      <c r="B6" s="212"/>
      <c r="C6" s="212"/>
      <c r="D6" s="212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4" ht="12.75">
      <c r="A13" s="7">
        <v>1</v>
      </c>
      <c r="B13" s="3" t="s">
        <v>20</v>
      </c>
      <c r="D13" s="10">
        <v>1002236</v>
      </c>
    </row>
    <row r="14" spans="1:6" ht="12.75">
      <c r="A14" s="7"/>
      <c r="D14" s="9"/>
      <c r="E14" s="7"/>
      <c r="F14" s="7"/>
    </row>
    <row r="15" spans="1:8" ht="12.75">
      <c r="A15" s="7">
        <v>2</v>
      </c>
      <c r="B15" s="3" t="s">
        <v>26</v>
      </c>
      <c r="D15" s="15">
        <v>-79365</v>
      </c>
      <c r="E15" s="7"/>
      <c r="F15" s="7"/>
      <c r="H15" s="7"/>
    </row>
    <row r="16" spans="1:8" ht="12.75">
      <c r="A16" s="7"/>
      <c r="D16" s="13"/>
      <c r="H16" s="11"/>
    </row>
    <row r="17" spans="1:8" ht="12.75">
      <c r="A17" s="7">
        <v>3</v>
      </c>
      <c r="B17" s="3" t="s">
        <v>21</v>
      </c>
      <c r="D17" s="13">
        <f>+D13+D15</f>
        <v>922871</v>
      </c>
      <c r="H17" s="11"/>
    </row>
    <row r="18" spans="1:8" ht="12.75">
      <c r="A18" s="7"/>
      <c r="D18" s="13"/>
      <c r="H18" s="11"/>
    </row>
    <row r="19" spans="1:8" ht="12.75">
      <c r="A19" s="7">
        <v>4</v>
      </c>
      <c r="B19" s="3" t="s">
        <v>8</v>
      </c>
      <c r="D19" s="10">
        <f>-D17</f>
        <v>-922871</v>
      </c>
      <c r="E19" s="27"/>
      <c r="H19" s="11"/>
    </row>
    <row r="20" spans="1:8" ht="12.75">
      <c r="A20" s="7"/>
      <c r="H20" s="11"/>
    </row>
    <row r="21" spans="1:8" ht="12.75">
      <c r="A21" s="7">
        <v>5</v>
      </c>
      <c r="B21" s="3" t="s">
        <v>13</v>
      </c>
      <c r="D21" s="16">
        <f>+'[1]Sch 3'!L32</f>
        <v>0.389</v>
      </c>
      <c r="H21" s="11"/>
    </row>
    <row r="22" spans="1:8" ht="12.75">
      <c r="A22" s="7"/>
      <c r="H22" s="11"/>
    </row>
    <row r="23" spans="1:8" ht="12.75">
      <c r="A23" s="7">
        <v>6</v>
      </c>
      <c r="B23" s="3" t="s">
        <v>22</v>
      </c>
      <c r="D23" s="12">
        <f>-D19*D21</f>
        <v>358996.819</v>
      </c>
      <c r="H23" s="11"/>
    </row>
    <row r="24" ht="12.75">
      <c r="D24" s="13"/>
    </row>
    <row r="25" spans="1:4" ht="13.5" thickBot="1">
      <c r="A25" s="7">
        <v>7</v>
      </c>
      <c r="B25" s="3" t="s">
        <v>23</v>
      </c>
      <c r="D25" s="14">
        <f>+D19+D23</f>
        <v>-563874.181</v>
      </c>
    </row>
    <row r="26" spans="1:4" ht="13.5" thickTop="1">
      <c r="A26" s="7"/>
      <c r="D26" s="13"/>
    </row>
    <row r="27" spans="1:4" ht="12.75">
      <c r="A27" s="7">
        <v>8</v>
      </c>
      <c r="B27" s="3" t="s">
        <v>3</v>
      </c>
      <c r="D27" s="18">
        <f>+'[1]Sch 3'!J30</f>
        <v>1.6524921</v>
      </c>
    </row>
    <row r="28" ht="12.75">
      <c r="D28" s="13"/>
    </row>
    <row r="29" spans="1:4" ht="13.5" thickBot="1">
      <c r="A29" s="7">
        <v>9</v>
      </c>
      <c r="B29" s="3" t="s">
        <v>24</v>
      </c>
      <c r="D29" s="14">
        <f>+D25*D27</f>
        <v>-931797.62949647</v>
      </c>
    </row>
    <row r="30" ht="13.5" thickTop="1">
      <c r="D30" s="13"/>
    </row>
    <row r="34" ht="12.75">
      <c r="A34" s="3" t="s">
        <v>50</v>
      </c>
    </row>
    <row r="35" ht="12.75">
      <c r="B35" s="3" t="s">
        <v>25</v>
      </c>
    </row>
    <row r="36" ht="12.75">
      <c r="B36" s="3" t="s">
        <v>292</v>
      </c>
    </row>
  </sheetData>
  <mergeCells count="4">
    <mergeCell ref="A6:D6"/>
    <mergeCell ref="A1:D1"/>
    <mergeCell ref="A2:D2"/>
    <mergeCell ref="A4:D4"/>
  </mergeCells>
  <printOptions horizontalCentered="1"/>
  <pageMargins left="0.75" right="0.75" top="1.38" bottom="1" header="0.5" footer="0.5"/>
  <pageSetup horizontalDpi="600" verticalDpi="600" orientation="portrait" r:id="rId1"/>
  <headerFooter alignWithMargins="0">
    <oddHeader>&amp;RExhibit___(MJM-4) Updated
Schedule 2
Page 1 of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E35" sqref="E35"/>
    </sheetView>
  </sheetViews>
  <sheetFormatPr defaultColWidth="8.88671875" defaultRowHeight="15"/>
  <cols>
    <col min="1" max="1" width="4.4453125" style="3" customWidth="1"/>
    <col min="2" max="2" width="30.4453125" style="3" customWidth="1"/>
    <col min="3" max="3" width="1.5625" style="3" customWidth="1"/>
    <col min="4" max="4" width="13.6640625" style="6" customWidth="1"/>
    <col min="5" max="5" width="4.3359375" style="7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212" t="s">
        <v>6</v>
      </c>
      <c r="B1" s="212"/>
      <c r="C1" s="212"/>
      <c r="D1" s="212"/>
      <c r="E1" s="212"/>
      <c r="F1" s="2"/>
      <c r="G1" s="2"/>
      <c r="H1" s="2"/>
      <c r="I1" s="2"/>
    </row>
    <row r="2" spans="1:9" ht="12.75">
      <c r="A2" s="212" t="s">
        <v>7</v>
      </c>
      <c r="B2" s="212"/>
      <c r="C2" s="212"/>
      <c r="D2" s="212"/>
      <c r="E2" s="212"/>
      <c r="F2" s="2"/>
      <c r="G2" s="2"/>
      <c r="H2" s="2"/>
      <c r="I2" s="2"/>
    </row>
    <row r="4" spans="1:5" ht="12.75">
      <c r="A4" s="215" t="s">
        <v>92</v>
      </c>
      <c r="B4" s="216"/>
      <c r="C4" s="216"/>
      <c r="D4" s="216"/>
      <c r="E4" s="217"/>
    </row>
    <row r="6" spans="1:5" ht="12.75">
      <c r="A6" s="213" t="s">
        <v>93</v>
      </c>
      <c r="B6" s="213"/>
      <c r="C6" s="213"/>
      <c r="D6" s="213"/>
      <c r="E6" s="214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2.75">
      <c r="A13" s="7">
        <v>1</v>
      </c>
      <c r="B13" s="3" t="s">
        <v>55</v>
      </c>
      <c r="D13" s="10">
        <v>8038653</v>
      </c>
      <c r="E13" s="7" t="s">
        <v>5</v>
      </c>
    </row>
    <row r="14" spans="1:6" ht="12.75">
      <c r="A14" s="7"/>
      <c r="D14" s="9"/>
      <c r="F14" s="7"/>
    </row>
    <row r="15" spans="1:8" ht="12.75">
      <c r="A15" s="7">
        <v>2</v>
      </c>
      <c r="B15" s="3" t="s">
        <v>56</v>
      </c>
      <c r="D15" s="15">
        <v>7622189.72576348</v>
      </c>
      <c r="E15" s="7" t="s">
        <v>30</v>
      </c>
      <c r="F15" s="7"/>
      <c r="H15" s="7"/>
    </row>
    <row r="16" spans="1:8" ht="12.75">
      <c r="A16" s="7"/>
      <c r="D16" s="13"/>
      <c r="H16" s="11"/>
    </row>
    <row r="17" spans="1:8" ht="12.75">
      <c r="A17" s="7">
        <v>3</v>
      </c>
      <c r="B17" s="3" t="s">
        <v>12</v>
      </c>
      <c r="D17" s="10">
        <f>+D15-D13</f>
        <v>-416463.2742365198</v>
      </c>
      <c r="H17" s="11"/>
    </row>
    <row r="18" spans="1:8" ht="12.75">
      <c r="A18" s="7"/>
      <c r="H18" s="11"/>
    </row>
    <row r="19" spans="1:8" ht="12.75">
      <c r="A19" s="7">
        <v>4</v>
      </c>
      <c r="B19" s="3" t="s">
        <v>13</v>
      </c>
      <c r="D19" s="16">
        <f>+'[1]Sch 3'!L32</f>
        <v>0.389</v>
      </c>
      <c r="H19" s="11"/>
    </row>
    <row r="20" spans="1:8" ht="12.75">
      <c r="A20" s="7"/>
      <c r="H20" s="11"/>
    </row>
    <row r="21" spans="1:8" ht="12.75">
      <c r="A21" s="7">
        <v>5</v>
      </c>
      <c r="B21" s="3" t="s">
        <v>10</v>
      </c>
      <c r="D21" s="12">
        <f>-D17*D19</f>
        <v>162004.21367800623</v>
      </c>
      <c r="H21" s="11"/>
    </row>
    <row r="22" spans="1:4" ht="12.75">
      <c r="A22" s="7"/>
      <c r="D22" s="13"/>
    </row>
    <row r="23" spans="1:4" ht="13.5" thickBot="1">
      <c r="A23" s="7">
        <v>6</v>
      </c>
      <c r="B23" s="3" t="s">
        <v>15</v>
      </c>
      <c r="D23" s="14">
        <f>+D17+D21</f>
        <v>-254459.0605585136</v>
      </c>
    </row>
    <row r="24" ht="13.5" thickTop="1">
      <c r="D24" s="13"/>
    </row>
    <row r="25" spans="1:4" ht="12.75">
      <c r="A25" s="7">
        <v>7</v>
      </c>
      <c r="B25" s="3" t="s">
        <v>3</v>
      </c>
      <c r="D25" s="18">
        <f>+'[1]Sch 3'!J30</f>
        <v>1.6524921</v>
      </c>
    </row>
    <row r="26" spans="1:4" ht="12.75">
      <c r="A26" s="7"/>
      <c r="D26" s="13"/>
    </row>
    <row r="27" spans="1:4" ht="13.5" thickBot="1">
      <c r="A27" s="7">
        <v>8</v>
      </c>
      <c r="B27" s="3" t="s">
        <v>14</v>
      </c>
      <c r="D27" s="14">
        <f>+D23*D25</f>
        <v>-420491.58734636527</v>
      </c>
    </row>
    <row r="28" ht="13.5" thickTop="1">
      <c r="D28" s="13"/>
    </row>
    <row r="29" ht="12.75">
      <c r="D29" s="13"/>
    </row>
    <row r="30" spans="1:4" ht="12.75">
      <c r="A30" s="33" t="s">
        <v>50</v>
      </c>
      <c r="D30" s="13"/>
    </row>
    <row r="31" spans="1:4" ht="12.75">
      <c r="A31" s="7" t="s">
        <v>5</v>
      </c>
      <c r="B31" s="3" t="s">
        <v>57</v>
      </c>
      <c r="D31" s="13"/>
    </row>
    <row r="32" spans="1:4" ht="12.75">
      <c r="A32" s="7" t="s">
        <v>30</v>
      </c>
      <c r="B32" s="3" t="s">
        <v>280</v>
      </c>
      <c r="D32" s="13"/>
    </row>
    <row r="33" spans="2:4" ht="12.75">
      <c r="B33" s="44" t="s">
        <v>58</v>
      </c>
      <c r="D33" s="13"/>
    </row>
    <row r="34" spans="2:4" ht="12.75">
      <c r="B34" s="44" t="s">
        <v>59</v>
      </c>
      <c r="D34" s="13"/>
    </row>
  </sheetData>
  <mergeCells count="4">
    <mergeCell ref="A1:E1"/>
    <mergeCell ref="A2:E2"/>
    <mergeCell ref="A6:E6"/>
    <mergeCell ref="A4:E4"/>
  </mergeCells>
  <printOptions horizontalCentered="1"/>
  <pageMargins left="0.75" right="0.75" top="1.26" bottom="1" header="0.5" footer="0.5"/>
  <pageSetup horizontalDpi="600" verticalDpi="600" orientation="portrait" r:id="rId1"/>
  <headerFooter alignWithMargins="0">
    <oddHeader>&amp;RExhibit___(MJM-4) Updated
Schedule 3
Page 1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R93"/>
  <sheetViews>
    <sheetView showOutlineSymbols="0" zoomScale="95" zoomScaleNormal="95" workbookViewId="0" topLeftCell="F23">
      <selection activeCell="E35" sqref="E35"/>
    </sheetView>
  </sheetViews>
  <sheetFormatPr defaultColWidth="8.88671875" defaultRowHeight="15"/>
  <cols>
    <col min="1" max="1" width="5.4453125" style="91" customWidth="1"/>
    <col min="2" max="2" width="1.1171875" style="148" customWidth="1"/>
    <col min="3" max="3" width="35.6640625" style="59" customWidth="1"/>
    <col min="4" max="4" width="2.88671875" style="59" customWidth="1"/>
    <col min="5" max="5" width="16.5546875" style="149" bestFit="1" customWidth="1"/>
    <col min="6" max="6" width="2.88671875" style="59" customWidth="1"/>
    <col min="7" max="7" width="8.3359375" style="59" customWidth="1"/>
    <col min="8" max="9" width="8.3359375" style="150" hidden="1" customWidth="1"/>
    <col min="10" max="10" width="1.2265625" style="59" customWidth="1"/>
    <col min="11" max="11" width="9.88671875" style="59" customWidth="1"/>
    <col min="12" max="12" width="2.10546875" style="59" customWidth="1"/>
    <col min="13" max="13" width="7.5546875" style="59" customWidth="1"/>
    <col min="14" max="14" width="2.10546875" style="59" customWidth="1"/>
    <col min="15" max="15" width="8.10546875" style="151" hidden="1" customWidth="1"/>
    <col min="16" max="16" width="2.10546875" style="151" hidden="1" customWidth="1"/>
    <col min="17" max="17" width="8.99609375" style="152" hidden="1" customWidth="1"/>
    <col min="18" max="18" width="11.77734375" style="149" bestFit="1" customWidth="1"/>
    <col min="19" max="19" width="2.10546875" style="59" customWidth="1"/>
    <col min="20" max="20" width="13.21484375" style="149" bestFit="1" customWidth="1"/>
    <col min="21" max="21" width="2.10546875" style="153" customWidth="1"/>
    <col min="22" max="22" width="13.21484375" style="149" bestFit="1" customWidth="1"/>
    <col min="23" max="23" width="2.10546875" style="153" customWidth="1"/>
    <col min="24" max="24" width="10.88671875" style="149" bestFit="1" customWidth="1"/>
    <col min="25" max="25" width="2.10546875" style="153" customWidth="1"/>
    <col min="26" max="26" width="9.21484375" style="149" bestFit="1" customWidth="1"/>
    <col min="27" max="27" width="2.10546875" style="59" customWidth="1"/>
    <col min="28" max="28" width="9.10546875" style="59" bestFit="1" customWidth="1"/>
    <col min="29" max="29" width="7.10546875" style="59" customWidth="1"/>
    <col min="30" max="16384" width="8.3359375" style="59" customWidth="1"/>
  </cols>
  <sheetData>
    <row r="1" spans="1:58" ht="12.75">
      <c r="A1" s="221" t="s">
        <v>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</row>
    <row r="2" spans="1:58" ht="12.75">
      <c r="A2" s="62"/>
      <c r="B2" s="58"/>
      <c r="C2" s="58"/>
      <c r="D2" s="58"/>
      <c r="E2" s="63"/>
      <c r="F2" s="58"/>
      <c r="G2" s="58"/>
      <c r="H2" s="64"/>
      <c r="I2" s="64"/>
      <c r="J2" s="58"/>
      <c r="K2" s="58"/>
      <c r="L2" s="58"/>
      <c r="M2" s="58"/>
      <c r="N2" s="58"/>
      <c r="O2" s="55"/>
      <c r="P2" s="55"/>
      <c r="Q2" s="65"/>
      <c r="R2" s="63"/>
      <c r="S2" s="58"/>
      <c r="T2" s="63"/>
      <c r="U2" s="58"/>
      <c r="V2" s="63"/>
      <c r="W2" s="58"/>
      <c r="X2" s="63"/>
      <c r="Y2" s="58"/>
      <c r="Z2" s="63"/>
      <c r="AA2" s="58"/>
      <c r="AB2" s="58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</row>
    <row r="3" spans="1:58" ht="12.75">
      <c r="A3" s="62"/>
      <c r="B3" s="67"/>
      <c r="C3" s="68"/>
      <c r="D3" s="68"/>
      <c r="E3" s="69"/>
      <c r="F3" s="68"/>
      <c r="G3" s="68"/>
      <c r="H3" s="70"/>
      <c r="I3" s="70"/>
      <c r="J3" s="68"/>
      <c r="K3" s="68"/>
      <c r="L3" s="68"/>
      <c r="M3" s="68"/>
      <c r="N3" s="68"/>
      <c r="O3" s="71"/>
      <c r="P3" s="71"/>
      <c r="Q3" s="72"/>
      <c r="R3" s="69"/>
      <c r="S3" s="68"/>
      <c r="T3" s="69"/>
      <c r="U3" s="73"/>
      <c r="V3" s="69"/>
      <c r="W3" s="73"/>
      <c r="X3" s="69"/>
      <c r="Y3" s="73"/>
      <c r="Z3" s="69"/>
      <c r="AA3" s="68"/>
      <c r="AB3" s="68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</row>
    <row r="4" spans="1:58" ht="12.75">
      <c r="A4" s="221" t="s">
        <v>94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2.75">
      <c r="A5" s="221" t="s">
        <v>95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2.75">
      <c r="A6" s="221" t="s">
        <v>251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2.75">
      <c r="A7" s="62"/>
      <c r="B7" s="58"/>
      <c r="C7" s="58"/>
      <c r="D7" s="58"/>
      <c r="E7" s="63"/>
      <c r="F7" s="58"/>
      <c r="G7" s="58"/>
      <c r="H7" s="64"/>
      <c r="I7" s="64"/>
      <c r="J7" s="58"/>
      <c r="K7" s="58"/>
      <c r="L7" s="58"/>
      <c r="M7" s="58"/>
      <c r="N7" s="58"/>
      <c r="O7" s="55"/>
      <c r="P7" s="55"/>
      <c r="Q7" s="65"/>
      <c r="R7" s="63"/>
      <c r="S7" s="58"/>
      <c r="T7" s="63"/>
      <c r="U7" s="58"/>
      <c r="V7" s="63"/>
      <c r="W7" s="58"/>
      <c r="X7" s="63"/>
      <c r="Y7" s="58"/>
      <c r="Z7" s="63"/>
      <c r="AA7" s="58"/>
      <c r="AB7" s="58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</row>
    <row r="8" spans="1:58" ht="12.75">
      <c r="A8" s="62"/>
      <c r="B8" s="58"/>
      <c r="C8" s="58"/>
      <c r="D8" s="58"/>
      <c r="E8" s="63"/>
      <c r="F8" s="58"/>
      <c r="G8" s="58"/>
      <c r="H8" s="64"/>
      <c r="I8" s="64"/>
      <c r="J8" s="58"/>
      <c r="K8" s="58"/>
      <c r="L8" s="58"/>
      <c r="M8" s="58"/>
      <c r="N8" s="58"/>
      <c r="O8" s="220" t="s">
        <v>96</v>
      </c>
      <c r="P8" s="220"/>
      <c r="Q8" s="220"/>
      <c r="R8" s="63"/>
      <c r="S8" s="58"/>
      <c r="T8" s="63"/>
      <c r="U8" s="58"/>
      <c r="V8" s="63"/>
      <c r="W8" s="58"/>
      <c r="X8" s="63"/>
      <c r="Y8" s="58"/>
      <c r="Z8" s="63"/>
      <c r="AA8" s="58"/>
      <c r="AB8" s="58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</row>
    <row r="9" spans="1:58" ht="12.75">
      <c r="A9" s="62"/>
      <c r="B9" s="58"/>
      <c r="C9" s="58"/>
      <c r="D9" s="58"/>
      <c r="E9" s="63"/>
      <c r="F9" s="58"/>
      <c r="G9" s="58"/>
      <c r="H9" s="64"/>
      <c r="I9" s="64"/>
      <c r="J9" s="58"/>
      <c r="K9" s="58"/>
      <c r="L9" s="58"/>
      <c r="M9" s="58"/>
      <c r="N9" s="58"/>
      <c r="O9" s="220" t="s">
        <v>97</v>
      </c>
      <c r="P9" s="220"/>
      <c r="Q9" s="220"/>
      <c r="R9" s="63" t="s">
        <v>98</v>
      </c>
      <c r="S9" s="58"/>
      <c r="T9" s="63"/>
      <c r="U9" s="58"/>
      <c r="V9" s="63"/>
      <c r="W9" s="58"/>
      <c r="X9" s="63"/>
      <c r="Y9" s="58"/>
      <c r="Z9" s="63"/>
      <c r="AA9" s="58"/>
      <c r="AB9" s="58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1:58" ht="12.75">
      <c r="A10" s="74"/>
      <c r="B10" s="75"/>
      <c r="C10" s="61"/>
      <c r="D10" s="61"/>
      <c r="E10" s="76"/>
      <c r="F10" s="61"/>
      <c r="G10" s="61"/>
      <c r="H10" s="77"/>
      <c r="I10" s="77"/>
      <c r="J10" s="61"/>
      <c r="K10" s="74" t="s">
        <v>252</v>
      </c>
      <c r="L10" s="61"/>
      <c r="M10" s="61"/>
      <c r="N10" s="61"/>
      <c r="O10" s="60"/>
      <c r="P10" s="60"/>
      <c r="Q10" s="65" t="s">
        <v>99</v>
      </c>
      <c r="R10" s="63" t="s">
        <v>100</v>
      </c>
      <c r="S10" s="61"/>
      <c r="T10" s="76"/>
      <c r="U10" s="78"/>
      <c r="V10" s="76"/>
      <c r="W10" s="78"/>
      <c r="X10" s="76"/>
      <c r="Y10" s="78"/>
      <c r="Z10" s="76" t="s">
        <v>29</v>
      </c>
      <c r="AA10" s="61"/>
      <c r="AB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58" ht="12.75">
      <c r="A11" s="74"/>
      <c r="B11" s="75"/>
      <c r="C11" s="61"/>
      <c r="D11" s="61"/>
      <c r="E11" s="69" t="s">
        <v>101</v>
      </c>
      <c r="F11" s="61"/>
      <c r="G11" s="74" t="s">
        <v>252</v>
      </c>
      <c r="H11" s="79"/>
      <c r="I11" s="79"/>
      <c r="J11" s="74"/>
      <c r="K11" s="58" t="s">
        <v>102</v>
      </c>
      <c r="L11" s="74"/>
      <c r="M11" s="74"/>
      <c r="N11" s="74"/>
      <c r="O11" s="81" t="s">
        <v>99</v>
      </c>
      <c r="P11" s="81"/>
      <c r="Q11" s="72" t="s">
        <v>103</v>
      </c>
      <c r="R11" s="69" t="s">
        <v>104</v>
      </c>
      <c r="S11" s="74"/>
      <c r="T11" s="69" t="s">
        <v>105</v>
      </c>
      <c r="U11" s="78"/>
      <c r="V11" s="69" t="s">
        <v>106</v>
      </c>
      <c r="W11" s="78"/>
      <c r="X11" s="69"/>
      <c r="Y11" s="78"/>
      <c r="Z11" s="82" t="s">
        <v>107</v>
      </c>
      <c r="AA11" s="68"/>
      <c r="AB11" s="68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</row>
    <row r="12" spans="1:58" ht="12.75">
      <c r="A12" s="75"/>
      <c r="B12" s="75"/>
      <c r="C12" s="61"/>
      <c r="D12" s="61"/>
      <c r="E12" s="69" t="s">
        <v>108</v>
      </c>
      <c r="F12" s="61"/>
      <c r="G12" s="74" t="s">
        <v>109</v>
      </c>
      <c r="H12" s="79"/>
      <c r="I12" s="79"/>
      <c r="J12" s="74"/>
      <c r="K12" s="58" t="s">
        <v>110</v>
      </c>
      <c r="L12" s="74"/>
      <c r="M12" s="74" t="s">
        <v>111</v>
      </c>
      <c r="N12" s="74"/>
      <c r="O12" s="81" t="s">
        <v>111</v>
      </c>
      <c r="P12" s="81"/>
      <c r="Q12" s="72" t="s">
        <v>112</v>
      </c>
      <c r="R12" s="69" t="s">
        <v>112</v>
      </c>
      <c r="S12" s="74"/>
      <c r="T12" s="69" t="s">
        <v>113</v>
      </c>
      <c r="U12" s="78"/>
      <c r="V12" s="69" t="s">
        <v>113</v>
      </c>
      <c r="W12" s="78"/>
      <c r="X12" s="69" t="s">
        <v>114</v>
      </c>
      <c r="Y12" s="83"/>
      <c r="Z12" s="69" t="s">
        <v>115</v>
      </c>
      <c r="AA12" s="84"/>
      <c r="AB12" s="84" t="s">
        <v>115</v>
      </c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</row>
    <row r="13" spans="1:58" ht="12.75">
      <c r="A13" s="218" t="s">
        <v>116</v>
      </c>
      <c r="B13" s="218"/>
      <c r="C13" s="218"/>
      <c r="D13" s="61"/>
      <c r="E13" s="85" t="s">
        <v>117</v>
      </c>
      <c r="F13" s="61"/>
      <c r="G13" s="74" t="s">
        <v>253</v>
      </c>
      <c r="H13" s="79" t="s">
        <v>119</v>
      </c>
      <c r="I13" s="79" t="s">
        <v>118</v>
      </c>
      <c r="J13" s="74"/>
      <c r="K13" s="80" t="s">
        <v>254</v>
      </c>
      <c r="L13" s="74"/>
      <c r="M13" s="74" t="s">
        <v>120</v>
      </c>
      <c r="N13" s="74"/>
      <c r="O13" s="81" t="s">
        <v>120</v>
      </c>
      <c r="P13" s="81"/>
      <c r="Q13" s="72" t="s">
        <v>115</v>
      </c>
      <c r="R13" s="69" t="s">
        <v>121</v>
      </c>
      <c r="S13" s="74"/>
      <c r="T13" s="69" t="s">
        <v>121</v>
      </c>
      <c r="U13" s="78"/>
      <c r="V13" s="69" t="s">
        <v>121</v>
      </c>
      <c r="W13" s="78"/>
      <c r="X13" s="69" t="s">
        <v>122</v>
      </c>
      <c r="Y13" s="83"/>
      <c r="Z13" s="69" t="s">
        <v>123</v>
      </c>
      <c r="AA13" s="74"/>
      <c r="AB13" s="74" t="s">
        <v>124</v>
      </c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</row>
    <row r="14" spans="1:58" s="91" customFormat="1" ht="12.75">
      <c r="A14" s="219" t="s">
        <v>125</v>
      </c>
      <c r="B14" s="219"/>
      <c r="C14" s="219"/>
      <c r="D14" s="74"/>
      <c r="E14" s="86" t="s">
        <v>126</v>
      </c>
      <c r="F14" s="74"/>
      <c r="G14" s="87" t="s">
        <v>127</v>
      </c>
      <c r="H14" s="88"/>
      <c r="I14" s="88"/>
      <c r="J14" s="87"/>
      <c r="K14" s="89" t="s">
        <v>128</v>
      </c>
      <c r="L14" s="74"/>
      <c r="M14" s="87" t="s">
        <v>129</v>
      </c>
      <c r="N14" s="74"/>
      <c r="O14" s="81"/>
      <c r="P14" s="81"/>
      <c r="Q14" s="90"/>
      <c r="R14" s="86" t="s">
        <v>130</v>
      </c>
      <c r="S14" s="74"/>
      <c r="T14" s="86" t="s">
        <v>131</v>
      </c>
      <c r="U14" s="83"/>
      <c r="V14" s="86" t="s">
        <v>132</v>
      </c>
      <c r="W14" s="83"/>
      <c r="X14" s="86" t="s">
        <v>133</v>
      </c>
      <c r="Y14" s="83"/>
      <c r="Z14" s="86" t="s">
        <v>134</v>
      </c>
      <c r="AA14" s="74"/>
      <c r="AB14" s="87" t="s">
        <v>135</v>
      </c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</row>
    <row r="15" spans="1:58" s="97" customFormat="1" ht="12.75">
      <c r="A15" s="75"/>
      <c r="B15" s="75"/>
      <c r="C15" s="66"/>
      <c r="D15" s="66"/>
      <c r="E15" s="92"/>
      <c r="F15" s="66"/>
      <c r="G15" s="66"/>
      <c r="H15" s="93"/>
      <c r="I15" s="93"/>
      <c r="J15" s="66"/>
      <c r="K15" s="66"/>
      <c r="L15" s="66"/>
      <c r="M15" s="66"/>
      <c r="N15" s="66"/>
      <c r="O15" s="94"/>
      <c r="P15" s="94"/>
      <c r="Q15" s="95"/>
      <c r="R15" s="92"/>
      <c r="S15" s="66"/>
      <c r="T15" s="92"/>
      <c r="U15" s="96"/>
      <c r="V15" s="92"/>
      <c r="W15" s="96"/>
      <c r="X15" s="92"/>
      <c r="Y15" s="96"/>
      <c r="Z15" s="92"/>
      <c r="AA15" s="66"/>
      <c r="AB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s="97" customFormat="1" ht="12.75">
      <c r="A16" s="75"/>
      <c r="B16" s="75"/>
      <c r="C16" s="98" t="s">
        <v>136</v>
      </c>
      <c r="D16" s="66"/>
      <c r="E16" s="92"/>
      <c r="F16" s="66"/>
      <c r="G16" s="66"/>
      <c r="H16" s="93"/>
      <c r="I16" s="93"/>
      <c r="J16" s="66"/>
      <c r="K16" s="66"/>
      <c r="L16" s="66"/>
      <c r="M16" s="66"/>
      <c r="N16" s="66"/>
      <c r="O16" s="94"/>
      <c r="P16" s="94"/>
      <c r="Q16" s="95"/>
      <c r="R16" s="92"/>
      <c r="S16" s="66"/>
      <c r="T16" s="92"/>
      <c r="U16" s="96"/>
      <c r="V16" s="92"/>
      <c r="W16" s="96"/>
      <c r="X16" s="92"/>
      <c r="Y16" s="96"/>
      <c r="Z16" s="92"/>
      <c r="AA16" s="66"/>
      <c r="AB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.75">
      <c r="A17" s="99">
        <v>304.1</v>
      </c>
      <c r="B17" s="100"/>
      <c r="C17" s="101" t="s">
        <v>137</v>
      </c>
      <c r="D17" s="102"/>
      <c r="E17" s="103">
        <v>2568387.51</v>
      </c>
      <c r="F17" s="102"/>
      <c r="G17" s="104" t="s">
        <v>138</v>
      </c>
      <c r="H17" s="105">
        <v>35</v>
      </c>
      <c r="I17" s="105" t="s">
        <v>139</v>
      </c>
      <c r="J17" s="104"/>
      <c r="K17" s="106">
        <v>32.3</v>
      </c>
      <c r="L17" s="101"/>
      <c r="M17" s="107">
        <v>-5</v>
      </c>
      <c r="N17" s="61"/>
      <c r="O17" s="108">
        <v>0</v>
      </c>
      <c r="P17" s="60"/>
      <c r="Q17" s="109">
        <f aca="true" t="shared" si="0" ref="Q17:Q23">IF(O17&lt;0,((O17/100)*E17)/K17*-1,0)</f>
        <v>0</v>
      </c>
      <c r="R17" s="103">
        <f aca="true" t="shared" si="1" ref="R17:R23">(Q17/$Q$80)*$R$80</f>
        <v>0</v>
      </c>
      <c r="S17" s="61"/>
      <c r="T17" s="103">
        <v>158923</v>
      </c>
      <c r="U17" s="110"/>
      <c r="V17" s="103">
        <f aca="true" t="shared" si="2" ref="V17:V23">+T17+R17</f>
        <v>158923</v>
      </c>
      <c r="W17" s="110"/>
      <c r="X17" s="103">
        <f aca="true" t="shared" si="3" ref="X17:X23">E17-V17-((M17/100)*E17)</f>
        <v>2537883.8855</v>
      </c>
      <c r="Y17" s="110"/>
      <c r="Z17" s="103">
        <f aca="true" t="shared" si="4" ref="Z17:Z23">+X17/K17</f>
        <v>78572.25651702787</v>
      </c>
      <c r="AA17" s="61"/>
      <c r="AB17" s="111">
        <f aca="true" t="shared" si="5" ref="AB17:AB24">IF(E17="","",ROUND(Z17/E17*100,2))</f>
        <v>3.06</v>
      </c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</row>
    <row r="18" spans="1:58" ht="12.75">
      <c r="A18" s="99">
        <v>304.2</v>
      </c>
      <c r="B18" s="100"/>
      <c r="C18" s="101" t="s">
        <v>140</v>
      </c>
      <c r="D18" s="101"/>
      <c r="E18" s="103">
        <v>4800062.05</v>
      </c>
      <c r="F18" s="101"/>
      <c r="G18" s="104" t="s">
        <v>141</v>
      </c>
      <c r="H18" s="105">
        <v>65</v>
      </c>
      <c r="I18" s="105" t="s">
        <v>142</v>
      </c>
      <c r="J18" s="104"/>
      <c r="K18" s="106">
        <v>47.8</v>
      </c>
      <c r="L18" s="101"/>
      <c r="M18" s="107">
        <v>-20</v>
      </c>
      <c r="N18" s="112"/>
      <c r="O18" s="108">
        <v>-10</v>
      </c>
      <c r="P18" s="113"/>
      <c r="Q18" s="109">
        <f t="shared" si="0"/>
        <v>10041.970815899582</v>
      </c>
      <c r="R18" s="103">
        <f t="shared" si="1"/>
        <v>45762.890405430284</v>
      </c>
      <c r="S18" s="112"/>
      <c r="T18" s="103">
        <v>1145426</v>
      </c>
      <c r="U18" s="110"/>
      <c r="V18" s="103">
        <f t="shared" si="2"/>
        <v>1191188.8904054302</v>
      </c>
      <c r="W18" s="110"/>
      <c r="X18" s="103">
        <f t="shared" si="3"/>
        <v>4568885.5695945695</v>
      </c>
      <c r="Y18" s="110"/>
      <c r="Z18" s="103">
        <f t="shared" si="4"/>
        <v>95583.3801170412</v>
      </c>
      <c r="AA18" s="112"/>
      <c r="AB18" s="111">
        <f t="shared" si="5"/>
        <v>1.99</v>
      </c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</row>
    <row r="19" spans="1:148" ht="12.75">
      <c r="A19" s="99">
        <v>304.3</v>
      </c>
      <c r="B19" s="100"/>
      <c r="C19" s="101" t="s">
        <v>143</v>
      </c>
      <c r="D19" s="101"/>
      <c r="E19" s="103">
        <v>8962557.44</v>
      </c>
      <c r="F19" s="101"/>
      <c r="G19" s="104" t="s">
        <v>141</v>
      </c>
      <c r="H19" s="105">
        <v>65</v>
      </c>
      <c r="I19" s="105" t="s">
        <v>142</v>
      </c>
      <c r="J19" s="104"/>
      <c r="K19" s="106">
        <v>51.8</v>
      </c>
      <c r="L19" s="101"/>
      <c r="M19" s="107">
        <v>-20</v>
      </c>
      <c r="N19" s="112"/>
      <c r="O19" s="108">
        <v>-10</v>
      </c>
      <c r="P19" s="113"/>
      <c r="Q19" s="109">
        <f t="shared" si="0"/>
        <v>17302.23444015444</v>
      </c>
      <c r="R19" s="103">
        <f t="shared" si="1"/>
        <v>78849.08978227476</v>
      </c>
      <c r="S19" s="112"/>
      <c r="T19" s="103">
        <v>1648786</v>
      </c>
      <c r="U19" s="110"/>
      <c r="V19" s="103">
        <f t="shared" si="2"/>
        <v>1727635.0897822748</v>
      </c>
      <c r="W19" s="110"/>
      <c r="X19" s="103">
        <f t="shared" si="3"/>
        <v>9027433.838217724</v>
      </c>
      <c r="Y19" s="110"/>
      <c r="Z19" s="103">
        <f t="shared" si="4"/>
        <v>174274.7845215777</v>
      </c>
      <c r="AA19" s="112"/>
      <c r="AB19" s="111">
        <f t="shared" si="5"/>
        <v>1.94</v>
      </c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</row>
    <row r="20" spans="1:148" ht="12.75">
      <c r="A20" s="99">
        <v>304.4</v>
      </c>
      <c r="B20" s="100"/>
      <c r="C20" s="101" t="s">
        <v>144</v>
      </c>
      <c r="D20" s="101"/>
      <c r="E20" s="103">
        <v>825967.62</v>
      </c>
      <c r="F20" s="101"/>
      <c r="G20" s="104" t="s">
        <v>145</v>
      </c>
      <c r="H20" s="105">
        <v>25</v>
      </c>
      <c r="I20" s="105" t="s">
        <v>139</v>
      </c>
      <c r="J20" s="104"/>
      <c r="K20" s="106">
        <v>14.7</v>
      </c>
      <c r="L20" s="102"/>
      <c r="M20" s="107" t="s">
        <v>146</v>
      </c>
      <c r="N20" s="112"/>
      <c r="O20" s="108">
        <v>0</v>
      </c>
      <c r="P20" s="113"/>
      <c r="Q20" s="109">
        <f t="shared" si="0"/>
        <v>0</v>
      </c>
      <c r="R20" s="103">
        <f t="shared" si="1"/>
        <v>0</v>
      </c>
      <c r="S20" s="112"/>
      <c r="T20" s="103">
        <v>263010</v>
      </c>
      <c r="U20" s="110"/>
      <c r="V20" s="103">
        <f t="shared" si="2"/>
        <v>263010</v>
      </c>
      <c r="W20" s="110"/>
      <c r="X20" s="103">
        <f t="shared" si="3"/>
        <v>562957.62</v>
      </c>
      <c r="Y20" s="110"/>
      <c r="Z20" s="103">
        <f t="shared" si="4"/>
        <v>38296.43673469388</v>
      </c>
      <c r="AA20" s="112"/>
      <c r="AB20" s="111">
        <f t="shared" si="5"/>
        <v>4.64</v>
      </c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</row>
    <row r="21" spans="1:148" ht="12.75">
      <c r="A21" s="99">
        <v>304.6</v>
      </c>
      <c r="B21" s="100"/>
      <c r="C21" s="101" t="s">
        <v>147</v>
      </c>
      <c r="D21" s="101"/>
      <c r="E21" s="103">
        <v>3991281.6</v>
      </c>
      <c r="F21" s="101"/>
      <c r="G21" s="104" t="s">
        <v>148</v>
      </c>
      <c r="H21" s="105">
        <v>55</v>
      </c>
      <c r="I21" s="105" t="s">
        <v>149</v>
      </c>
      <c r="J21" s="104"/>
      <c r="K21" s="106">
        <v>38.9</v>
      </c>
      <c r="L21" s="101"/>
      <c r="M21" s="107">
        <v>-5</v>
      </c>
      <c r="N21" s="112"/>
      <c r="O21" s="108">
        <v>0</v>
      </c>
      <c r="P21" s="113"/>
      <c r="Q21" s="109">
        <f t="shared" si="0"/>
        <v>0</v>
      </c>
      <c r="R21" s="103">
        <f t="shared" si="1"/>
        <v>0</v>
      </c>
      <c r="S21" s="112"/>
      <c r="T21" s="103">
        <v>935732</v>
      </c>
      <c r="U21" s="110"/>
      <c r="V21" s="103">
        <f t="shared" si="2"/>
        <v>935732</v>
      </c>
      <c r="W21" s="110"/>
      <c r="X21" s="103">
        <f t="shared" si="3"/>
        <v>3255113.68</v>
      </c>
      <c r="Y21" s="110"/>
      <c r="Z21" s="103">
        <f t="shared" si="4"/>
        <v>83679.01491002571</v>
      </c>
      <c r="AA21" s="112"/>
      <c r="AB21" s="111">
        <f t="shared" si="5"/>
        <v>2.1</v>
      </c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</row>
    <row r="22" spans="1:148" ht="12.75">
      <c r="A22" s="99">
        <v>304.7</v>
      </c>
      <c r="B22" s="100"/>
      <c r="C22" s="101" t="s">
        <v>150</v>
      </c>
      <c r="D22" s="101"/>
      <c r="E22" s="103">
        <v>1018770.93</v>
      </c>
      <c r="F22" s="101"/>
      <c r="G22" s="104" t="s">
        <v>151</v>
      </c>
      <c r="H22" s="105">
        <v>45</v>
      </c>
      <c r="I22" s="105" t="s">
        <v>142</v>
      </c>
      <c r="J22" s="104"/>
      <c r="K22" s="106">
        <v>32.4</v>
      </c>
      <c r="L22" s="101"/>
      <c r="M22" s="107" t="s">
        <v>146</v>
      </c>
      <c r="N22" s="112"/>
      <c r="O22" s="108">
        <v>0</v>
      </c>
      <c r="P22" s="113"/>
      <c r="Q22" s="109">
        <f t="shared" si="0"/>
        <v>0</v>
      </c>
      <c r="R22" s="103">
        <f t="shared" si="1"/>
        <v>0</v>
      </c>
      <c r="S22" s="112"/>
      <c r="T22" s="103">
        <v>219469</v>
      </c>
      <c r="U22" s="110"/>
      <c r="V22" s="103">
        <f t="shared" si="2"/>
        <v>219469</v>
      </c>
      <c r="W22" s="110"/>
      <c r="X22" s="103">
        <f t="shared" si="3"/>
        <v>799301.93</v>
      </c>
      <c r="Y22" s="110"/>
      <c r="Z22" s="103">
        <f t="shared" si="4"/>
        <v>24669.81265432099</v>
      </c>
      <c r="AA22" s="112"/>
      <c r="AB22" s="111">
        <f t="shared" si="5"/>
        <v>2.42</v>
      </c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</row>
    <row r="23" spans="1:148" ht="12.75">
      <c r="A23" s="99">
        <v>304.8</v>
      </c>
      <c r="B23" s="100"/>
      <c r="C23" s="101" t="s">
        <v>152</v>
      </c>
      <c r="D23" s="101"/>
      <c r="E23" s="114">
        <v>1563838.35</v>
      </c>
      <c r="F23" s="101"/>
      <c r="G23" s="104" t="s">
        <v>153</v>
      </c>
      <c r="H23" s="105">
        <v>25</v>
      </c>
      <c r="I23" s="105" t="s">
        <v>154</v>
      </c>
      <c r="J23" s="104"/>
      <c r="K23" s="106">
        <v>20.6</v>
      </c>
      <c r="L23" s="101"/>
      <c r="M23" s="107" t="s">
        <v>146</v>
      </c>
      <c r="N23" s="112"/>
      <c r="O23" s="108">
        <v>0</v>
      </c>
      <c r="P23" s="113"/>
      <c r="Q23" s="115">
        <f t="shared" si="0"/>
        <v>0</v>
      </c>
      <c r="R23" s="114">
        <f t="shared" si="1"/>
        <v>0</v>
      </c>
      <c r="S23" s="112"/>
      <c r="T23" s="114">
        <v>156151</v>
      </c>
      <c r="U23" s="110"/>
      <c r="V23" s="114">
        <f t="shared" si="2"/>
        <v>156151</v>
      </c>
      <c r="W23" s="110"/>
      <c r="X23" s="114">
        <f t="shared" si="3"/>
        <v>1407687.35</v>
      </c>
      <c r="Y23" s="110"/>
      <c r="Z23" s="114">
        <f t="shared" si="4"/>
        <v>68334.33737864078</v>
      </c>
      <c r="AA23" s="112"/>
      <c r="AB23" s="111">
        <f t="shared" si="5"/>
        <v>4.37</v>
      </c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</row>
    <row r="24" spans="1:148" ht="12.75">
      <c r="A24" s="99"/>
      <c r="B24" s="100"/>
      <c r="C24" s="101" t="s">
        <v>155</v>
      </c>
      <c r="D24" s="101"/>
      <c r="E24" s="116">
        <f>SUM(E17:E23)</f>
        <v>23730865.500000004</v>
      </c>
      <c r="F24" s="101"/>
      <c r="G24" s="104"/>
      <c r="H24" s="105"/>
      <c r="I24" s="105"/>
      <c r="J24" s="104"/>
      <c r="K24" s="106"/>
      <c r="L24" s="101"/>
      <c r="M24" s="117"/>
      <c r="N24" s="112"/>
      <c r="O24" s="118"/>
      <c r="P24" s="113"/>
      <c r="Q24" s="119">
        <f>SUM(Q17:Q23)</f>
        <v>27344.20525605402</v>
      </c>
      <c r="R24" s="116">
        <f>SUM(R17:R23)</f>
        <v>124611.98018770505</v>
      </c>
      <c r="S24" s="112"/>
      <c r="T24" s="116">
        <f>SUM(T17:T23)</f>
        <v>4527497</v>
      </c>
      <c r="U24" s="120"/>
      <c r="V24" s="116">
        <f>SUM(V17:V23)</f>
        <v>4652108.980187705</v>
      </c>
      <c r="W24" s="120"/>
      <c r="X24" s="116">
        <f>SUM(X17:X23)</f>
        <v>22159263.873312294</v>
      </c>
      <c r="Y24" s="120"/>
      <c r="Z24" s="116">
        <f>SUM(Z17:Z23)</f>
        <v>563410.0228333281</v>
      </c>
      <c r="AA24" s="112"/>
      <c r="AB24" s="111">
        <f t="shared" si="5"/>
        <v>2.37</v>
      </c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</row>
    <row r="25" spans="1:148" ht="12.75">
      <c r="A25" s="99"/>
      <c r="B25" s="100"/>
      <c r="C25" s="101"/>
      <c r="D25" s="101"/>
      <c r="E25" s="116"/>
      <c r="F25" s="101"/>
      <c r="G25" s="104"/>
      <c r="H25" s="105"/>
      <c r="I25" s="105"/>
      <c r="J25" s="104"/>
      <c r="K25" s="106"/>
      <c r="L25" s="101"/>
      <c r="M25" s="117"/>
      <c r="N25" s="112"/>
      <c r="O25" s="121"/>
      <c r="P25" s="113"/>
      <c r="Q25" s="119"/>
      <c r="R25" s="116"/>
      <c r="S25" s="112"/>
      <c r="T25" s="116"/>
      <c r="U25" s="120"/>
      <c r="V25" s="116"/>
      <c r="W25" s="120"/>
      <c r="X25" s="116"/>
      <c r="Y25" s="120"/>
      <c r="Z25" s="116"/>
      <c r="AA25" s="112"/>
      <c r="AB25" s="111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</row>
    <row r="26" spans="1:148" ht="12.75">
      <c r="A26" s="99"/>
      <c r="B26" s="100"/>
      <c r="C26" s="101"/>
      <c r="D26" s="101"/>
      <c r="E26" s="116"/>
      <c r="F26" s="101"/>
      <c r="G26" s="104"/>
      <c r="H26" s="105"/>
      <c r="I26" s="105"/>
      <c r="J26" s="104"/>
      <c r="K26" s="106" t="s">
        <v>2</v>
      </c>
      <c r="L26" s="101"/>
      <c r="M26" s="117"/>
      <c r="N26" s="112"/>
      <c r="O26" s="121"/>
      <c r="P26" s="113"/>
      <c r="Q26" s="119"/>
      <c r="R26" s="116"/>
      <c r="S26" s="112"/>
      <c r="T26" s="116"/>
      <c r="U26" s="120"/>
      <c r="V26" s="116"/>
      <c r="W26" s="120"/>
      <c r="X26" s="116"/>
      <c r="Y26" s="120"/>
      <c r="Z26" s="116"/>
      <c r="AA26" s="112"/>
      <c r="AB26" s="111">
        <f>IF(E26="","",ROUND(Z26/E26*100,2))</f>
      </c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</row>
    <row r="27" spans="1:148" ht="12.75">
      <c r="A27" s="99">
        <v>305</v>
      </c>
      <c r="B27" s="100"/>
      <c r="C27" s="101" t="s">
        <v>156</v>
      </c>
      <c r="D27" s="101"/>
      <c r="E27" s="103">
        <v>1016553.24</v>
      </c>
      <c r="F27" s="101"/>
      <c r="G27" s="104" t="s">
        <v>157</v>
      </c>
      <c r="H27" s="105">
        <v>75</v>
      </c>
      <c r="I27" s="105" t="s">
        <v>158</v>
      </c>
      <c r="J27" s="104"/>
      <c r="K27" s="106">
        <v>44.1</v>
      </c>
      <c r="L27" s="101"/>
      <c r="M27" s="107" t="s">
        <v>146</v>
      </c>
      <c r="N27" s="112"/>
      <c r="O27" s="108">
        <v>0</v>
      </c>
      <c r="P27" s="113"/>
      <c r="Q27" s="109">
        <f>IF(O27&lt;0,((O27/100)*E27)/K27*-1,0)</f>
        <v>0</v>
      </c>
      <c r="R27" s="103">
        <f>(Q27/$Q$80)*$R$80</f>
        <v>0</v>
      </c>
      <c r="S27" s="112"/>
      <c r="T27" s="103">
        <v>269139</v>
      </c>
      <c r="U27" s="110"/>
      <c r="V27" s="103">
        <f>+T27+R27</f>
        <v>269139</v>
      </c>
      <c r="W27" s="110"/>
      <c r="X27" s="103">
        <f>E27-V27-((M27/100)*E27)</f>
        <v>747414.24</v>
      </c>
      <c r="Y27" s="110"/>
      <c r="Z27" s="103">
        <f>+X27/K27</f>
        <v>16948.168707482993</v>
      </c>
      <c r="AA27" s="112"/>
      <c r="AB27" s="111">
        <f>IF(E27="","",ROUND(Z27/E27*100,2))</f>
        <v>1.67</v>
      </c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</row>
    <row r="28" spans="1:148" ht="12.75">
      <c r="A28" s="99">
        <v>306</v>
      </c>
      <c r="B28" s="100"/>
      <c r="C28" s="101" t="s">
        <v>159</v>
      </c>
      <c r="D28" s="101"/>
      <c r="E28" s="103">
        <v>561429.96</v>
      </c>
      <c r="F28" s="101"/>
      <c r="G28" s="104" t="s">
        <v>160</v>
      </c>
      <c r="H28" s="105">
        <v>50</v>
      </c>
      <c r="I28" s="105" t="s">
        <v>149</v>
      </c>
      <c r="J28" s="104"/>
      <c r="K28" s="106">
        <v>26.6</v>
      </c>
      <c r="L28" s="101"/>
      <c r="M28" s="107" t="s">
        <v>146</v>
      </c>
      <c r="N28" s="112"/>
      <c r="O28" s="108">
        <v>0</v>
      </c>
      <c r="P28" s="113"/>
      <c r="Q28" s="109">
        <f>IF(O28&lt;0,((O28/100)*E28)/K28*-1,0)</f>
        <v>0</v>
      </c>
      <c r="R28" s="103">
        <f>(Q28/$Q$80)*$R$80</f>
        <v>0</v>
      </c>
      <c r="S28" s="112"/>
      <c r="T28" s="103">
        <v>185569</v>
      </c>
      <c r="U28" s="110"/>
      <c r="V28" s="103">
        <f>+T28+R28</f>
        <v>185569</v>
      </c>
      <c r="W28" s="110"/>
      <c r="X28" s="103">
        <f>E28-V28-((M28/100)*E28)</f>
        <v>375860.95999999996</v>
      </c>
      <c r="Y28" s="110"/>
      <c r="Z28" s="103">
        <f>+X28/K28</f>
        <v>14130.111278195487</v>
      </c>
      <c r="AA28" s="112"/>
      <c r="AB28" s="111">
        <f>IF(E28="","",ROUND(Z28/E28*100,2))</f>
        <v>2.52</v>
      </c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</row>
    <row r="29" spans="1:148" ht="12.75">
      <c r="A29" s="99">
        <v>309</v>
      </c>
      <c r="B29" s="100"/>
      <c r="C29" s="101" t="s">
        <v>161</v>
      </c>
      <c r="D29" s="101"/>
      <c r="E29" s="103">
        <v>5084342.14</v>
      </c>
      <c r="F29" s="101"/>
      <c r="G29" s="104" t="s">
        <v>162</v>
      </c>
      <c r="H29" s="105">
        <v>65</v>
      </c>
      <c r="I29" s="105" t="s">
        <v>163</v>
      </c>
      <c r="J29" s="104"/>
      <c r="K29" s="106">
        <v>42.1</v>
      </c>
      <c r="L29" s="101"/>
      <c r="M29" s="107">
        <v>-10</v>
      </c>
      <c r="N29" s="112"/>
      <c r="O29" s="108">
        <v>-5</v>
      </c>
      <c r="P29" s="113"/>
      <c r="Q29" s="109">
        <f>IF(O29&lt;0,((O29/100)*E29)/K29*-1,0)</f>
        <v>6038.411092636579</v>
      </c>
      <c r="R29" s="103">
        <f>(Q29/$Q$80)*$R$80</f>
        <v>27518.019134026694</v>
      </c>
      <c r="S29" s="112"/>
      <c r="T29" s="103">
        <v>1457145</v>
      </c>
      <c r="U29" s="110"/>
      <c r="V29" s="103">
        <f>+T29+R29</f>
        <v>1484663.0191340267</v>
      </c>
      <c r="W29" s="110"/>
      <c r="X29" s="103">
        <f>E29-V29-((M29/100)*E29)</f>
        <v>4108113.334865973</v>
      </c>
      <c r="Y29" s="110"/>
      <c r="Z29" s="103">
        <f>+X29/K29</f>
        <v>97579.88918921551</v>
      </c>
      <c r="AA29" s="112"/>
      <c r="AB29" s="111">
        <f>IF(E29="","",ROUND(Z29/E29*100,2))</f>
        <v>1.92</v>
      </c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</row>
    <row r="30" spans="1:148" ht="12.75">
      <c r="A30" s="99">
        <v>310.1</v>
      </c>
      <c r="B30" s="100"/>
      <c r="C30" s="101" t="s">
        <v>164</v>
      </c>
      <c r="D30" s="101"/>
      <c r="E30" s="103">
        <v>572453.97</v>
      </c>
      <c r="F30" s="101"/>
      <c r="G30" s="104" t="s">
        <v>165</v>
      </c>
      <c r="H30" s="105">
        <v>35</v>
      </c>
      <c r="I30" s="105" t="s">
        <v>163</v>
      </c>
      <c r="J30" s="104"/>
      <c r="K30" s="106">
        <v>19.3</v>
      </c>
      <c r="L30" s="101"/>
      <c r="M30" s="107" t="s">
        <v>146</v>
      </c>
      <c r="N30" s="112"/>
      <c r="O30" s="108">
        <v>0</v>
      </c>
      <c r="P30" s="113"/>
      <c r="Q30" s="109">
        <f>IF(O30&lt;0,((O30/100)*E30)/K30*-1,0)</f>
        <v>0</v>
      </c>
      <c r="R30" s="103">
        <f>(Q30/$Q$80)*$R$80</f>
        <v>0</v>
      </c>
      <c r="S30" s="112"/>
      <c r="T30" s="103">
        <v>197115</v>
      </c>
      <c r="U30" s="110"/>
      <c r="V30" s="103">
        <f>+T30+R30</f>
        <v>197115</v>
      </c>
      <c r="W30" s="110"/>
      <c r="X30" s="103">
        <f>E30-V30-((M30/100)*E30)</f>
        <v>375338.97</v>
      </c>
      <c r="Y30" s="110"/>
      <c r="Z30" s="103">
        <f>+X30/K30</f>
        <v>19447.615025906733</v>
      </c>
      <c r="AA30" s="112"/>
      <c r="AB30" s="111">
        <f>IF(E30="","",ROUND(Z30/E30*100,2))</f>
        <v>3.4</v>
      </c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</row>
    <row r="31" spans="1:148" ht="12.75">
      <c r="A31" s="99"/>
      <c r="B31" s="100"/>
      <c r="C31" s="101"/>
      <c r="D31" s="101"/>
      <c r="E31" s="103"/>
      <c r="F31" s="101"/>
      <c r="G31" s="104"/>
      <c r="H31" s="105"/>
      <c r="I31" s="105"/>
      <c r="J31" s="104"/>
      <c r="K31" s="106"/>
      <c r="L31" s="101"/>
      <c r="M31" s="107"/>
      <c r="N31" s="112"/>
      <c r="O31" s="108"/>
      <c r="P31" s="113"/>
      <c r="Q31" s="109"/>
      <c r="R31" s="103"/>
      <c r="S31" s="112"/>
      <c r="T31" s="103"/>
      <c r="U31" s="110"/>
      <c r="V31" s="103"/>
      <c r="W31" s="110"/>
      <c r="X31" s="103"/>
      <c r="Y31" s="110"/>
      <c r="Z31" s="103"/>
      <c r="AA31" s="112"/>
      <c r="AB31" s="111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</row>
    <row r="32" spans="1:148" ht="12.75">
      <c r="A32" s="99"/>
      <c r="B32" s="100"/>
      <c r="C32" s="122" t="s">
        <v>166</v>
      </c>
      <c r="D32" s="101"/>
      <c r="E32" s="103"/>
      <c r="F32" s="101"/>
      <c r="G32" s="104"/>
      <c r="H32" s="105"/>
      <c r="I32" s="105"/>
      <c r="J32" s="104"/>
      <c r="K32" s="106"/>
      <c r="L32" s="101"/>
      <c r="M32" s="107"/>
      <c r="N32" s="112"/>
      <c r="O32" s="108"/>
      <c r="P32" s="113"/>
      <c r="Q32" s="109"/>
      <c r="R32" s="103"/>
      <c r="S32" s="112"/>
      <c r="T32" s="103"/>
      <c r="U32" s="110"/>
      <c r="V32" s="103"/>
      <c r="W32" s="110"/>
      <c r="X32" s="103"/>
      <c r="Y32" s="110"/>
      <c r="Z32" s="103"/>
      <c r="AA32" s="112"/>
      <c r="AB32" s="111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</row>
    <row r="33" spans="1:148" ht="12.75">
      <c r="A33" s="99">
        <v>311.2</v>
      </c>
      <c r="B33" s="100"/>
      <c r="C33" s="101" t="s">
        <v>167</v>
      </c>
      <c r="D33" s="101"/>
      <c r="E33" s="103">
        <v>9600980</v>
      </c>
      <c r="F33" s="101"/>
      <c r="G33" s="104" t="s">
        <v>168</v>
      </c>
      <c r="H33" s="105">
        <v>50</v>
      </c>
      <c r="I33" s="105" t="s">
        <v>142</v>
      </c>
      <c r="J33" s="104"/>
      <c r="K33" s="106">
        <v>33.9</v>
      </c>
      <c r="L33" s="101"/>
      <c r="M33" s="107">
        <v>-15</v>
      </c>
      <c r="N33" s="112"/>
      <c r="O33" s="108">
        <v>-8</v>
      </c>
      <c r="P33" s="113"/>
      <c r="Q33" s="109">
        <f>IF(O33&lt;0,((O33/100)*E33)/K33*-1,0)</f>
        <v>22657.179941002953</v>
      </c>
      <c r="R33" s="103">
        <f>(Q33/$Q$80)*$R$80</f>
        <v>103252.44531626809</v>
      </c>
      <c r="S33" s="112"/>
      <c r="T33" s="103">
        <v>2650989</v>
      </c>
      <c r="U33" s="110"/>
      <c r="V33" s="103">
        <f>+T33+R33</f>
        <v>2754241.445316268</v>
      </c>
      <c r="W33" s="110"/>
      <c r="X33" s="103">
        <f>E33-V33-((M33/100)*E33)</f>
        <v>8286885.554683732</v>
      </c>
      <c r="Y33" s="110"/>
      <c r="Z33" s="103">
        <f>+X33/K33</f>
        <v>244450.90131810418</v>
      </c>
      <c r="AA33" s="112"/>
      <c r="AB33" s="111">
        <f>IF(E33="","",ROUND(Z33/E33*100,2))</f>
        <v>2.55</v>
      </c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</row>
    <row r="34" spans="1:148" ht="12.75">
      <c r="A34" s="123">
        <v>311.3</v>
      </c>
      <c r="B34" s="100"/>
      <c r="C34" s="112" t="s">
        <v>169</v>
      </c>
      <c r="D34" s="112"/>
      <c r="E34" s="103">
        <v>724441.6</v>
      </c>
      <c r="F34" s="112"/>
      <c r="G34" s="104" t="s">
        <v>168</v>
      </c>
      <c r="H34" s="105">
        <v>50</v>
      </c>
      <c r="I34" s="105" t="s">
        <v>142</v>
      </c>
      <c r="J34" s="104"/>
      <c r="K34" s="106">
        <v>32.7</v>
      </c>
      <c r="L34" s="101"/>
      <c r="M34" s="107">
        <v>-15</v>
      </c>
      <c r="N34" s="112"/>
      <c r="O34" s="108">
        <v>-8</v>
      </c>
      <c r="P34" s="113"/>
      <c r="Q34" s="109">
        <f>IF(O34&lt;0,((O34/100)*E34)/K34*-1,0)</f>
        <v>1772.3341896024463</v>
      </c>
      <c r="R34" s="103">
        <f>(Q34/$Q$80)*$R$80</f>
        <v>8076.8144787033125</v>
      </c>
      <c r="S34" s="112"/>
      <c r="T34" s="103">
        <v>213189</v>
      </c>
      <c r="U34" s="110"/>
      <c r="V34" s="103">
        <f>+T34+R34</f>
        <v>221265.8144787033</v>
      </c>
      <c r="W34" s="110"/>
      <c r="X34" s="103">
        <f>E34-V34-((M34/100)*E34)</f>
        <v>611842.0255212967</v>
      </c>
      <c r="Y34" s="110"/>
      <c r="Z34" s="103">
        <f>+X34/K34</f>
        <v>18710.76530646167</v>
      </c>
      <c r="AA34" s="112"/>
      <c r="AB34" s="111">
        <f>IF(E34="","",ROUND(Z34/E34*100,2))</f>
        <v>2.58</v>
      </c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</row>
    <row r="35" spans="1:148" ht="12.75">
      <c r="A35" s="123">
        <v>311.4</v>
      </c>
      <c r="B35" s="100"/>
      <c r="C35" s="112" t="s">
        <v>170</v>
      </c>
      <c r="D35" s="112"/>
      <c r="E35" s="114">
        <v>61581.87</v>
      </c>
      <c r="F35" s="112"/>
      <c r="G35" s="104" t="s">
        <v>168</v>
      </c>
      <c r="H35" s="105">
        <v>50</v>
      </c>
      <c r="I35" s="105" t="s">
        <v>142</v>
      </c>
      <c r="J35" s="104"/>
      <c r="K35" s="106">
        <v>48.9</v>
      </c>
      <c r="L35" s="101"/>
      <c r="M35" s="107">
        <v>-15</v>
      </c>
      <c r="N35" s="112"/>
      <c r="O35" s="108"/>
      <c r="P35" s="113"/>
      <c r="Q35" s="115">
        <f>IF(O35&lt;0,((O35/100)*E35)/K35*-1,0)</f>
        <v>0</v>
      </c>
      <c r="R35" s="114">
        <f>(Q35/$Q$80)*$R$80</f>
        <v>0</v>
      </c>
      <c r="S35" s="112"/>
      <c r="T35" s="114">
        <v>1296</v>
      </c>
      <c r="U35" s="110"/>
      <c r="V35" s="114">
        <f>+T35+R35</f>
        <v>1296</v>
      </c>
      <c r="W35" s="110"/>
      <c r="X35" s="114">
        <f>E35-V35-((M35/100)*E35)</f>
        <v>69523.1505</v>
      </c>
      <c r="Y35" s="110"/>
      <c r="Z35" s="114">
        <f>+X35/K35</f>
        <v>1421.741319018405</v>
      </c>
      <c r="AA35" s="112"/>
      <c r="AB35" s="111">
        <f>IF(E35="","",ROUND(Z35/E35*100,2))</f>
        <v>2.31</v>
      </c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</row>
    <row r="36" spans="1:148" ht="12.75">
      <c r="A36" s="123"/>
      <c r="B36" s="100"/>
      <c r="C36" s="112" t="s">
        <v>171</v>
      </c>
      <c r="D36" s="112"/>
      <c r="E36" s="103">
        <f>SUM(E33:E35)</f>
        <v>10387003.469999999</v>
      </c>
      <c r="F36" s="112"/>
      <c r="G36" s="104"/>
      <c r="H36" s="105"/>
      <c r="I36" s="105"/>
      <c r="J36" s="104"/>
      <c r="K36" s="106"/>
      <c r="L36" s="101"/>
      <c r="M36" s="107"/>
      <c r="N36" s="112"/>
      <c r="O36" s="108"/>
      <c r="P36" s="113"/>
      <c r="Q36" s="109">
        <f>SUM(Q33:Q35)</f>
        <v>24429.5141306054</v>
      </c>
      <c r="R36" s="103">
        <f>SUM(R33:R35)</f>
        <v>111329.2597949714</v>
      </c>
      <c r="S36" s="112"/>
      <c r="T36" s="103">
        <f>SUM(T33:T35)</f>
        <v>2865474</v>
      </c>
      <c r="U36" s="110"/>
      <c r="V36" s="103">
        <f>SUM(V33:V35)</f>
        <v>2976803.2597949714</v>
      </c>
      <c r="W36" s="110"/>
      <c r="X36" s="103">
        <f>SUM(X33:X35)</f>
        <v>8968250.730705028</v>
      </c>
      <c r="Y36" s="110"/>
      <c r="Z36" s="103">
        <f>SUM(Z33:Z35)</f>
        <v>264583.40794358426</v>
      </c>
      <c r="AA36" s="112"/>
      <c r="AB36" s="111">
        <f>IF(E36="","",ROUND(Z36/E36*100,2))</f>
        <v>2.55</v>
      </c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</row>
    <row r="37" spans="1:148" ht="12.75">
      <c r="A37" s="123"/>
      <c r="B37" s="100"/>
      <c r="C37" s="112"/>
      <c r="D37" s="112"/>
      <c r="E37" s="103"/>
      <c r="F37" s="112"/>
      <c r="G37" s="104"/>
      <c r="H37" s="105"/>
      <c r="I37" s="105"/>
      <c r="J37" s="104"/>
      <c r="K37" s="106"/>
      <c r="L37" s="101"/>
      <c r="M37" s="107"/>
      <c r="N37" s="112"/>
      <c r="O37" s="108"/>
      <c r="P37" s="113"/>
      <c r="Q37" s="109"/>
      <c r="R37" s="103"/>
      <c r="S37" s="112"/>
      <c r="T37" s="103"/>
      <c r="U37" s="110"/>
      <c r="V37" s="103"/>
      <c r="W37" s="110"/>
      <c r="X37" s="103"/>
      <c r="Y37" s="110"/>
      <c r="Z37" s="103"/>
      <c r="AA37" s="112"/>
      <c r="AB37" s="111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</row>
    <row r="38" spans="1:148" ht="12.75">
      <c r="A38" s="123">
        <v>320.1</v>
      </c>
      <c r="B38" s="100"/>
      <c r="C38" s="112" t="s">
        <v>172</v>
      </c>
      <c r="D38" s="112"/>
      <c r="E38" s="103">
        <v>26461236.62</v>
      </c>
      <c r="F38" s="112"/>
      <c r="G38" s="104" t="s">
        <v>173</v>
      </c>
      <c r="H38" s="105">
        <v>55</v>
      </c>
      <c r="I38" s="105" t="s">
        <v>139</v>
      </c>
      <c r="J38" s="104"/>
      <c r="K38" s="106">
        <v>37.6</v>
      </c>
      <c r="L38" s="101"/>
      <c r="M38" s="107">
        <v>-15</v>
      </c>
      <c r="N38" s="112"/>
      <c r="O38" s="108">
        <v>-20</v>
      </c>
      <c r="P38" s="113"/>
      <c r="Q38" s="109">
        <f>IF(O38&lt;0,((O38/100)*E38)/K38*-1,0)</f>
        <v>140751.2586170213</v>
      </c>
      <c r="R38" s="103">
        <f>(Q38/$Q$80)*$R$80</f>
        <v>641426.3236374587</v>
      </c>
      <c r="S38" s="112"/>
      <c r="T38" s="103">
        <v>7405542</v>
      </c>
      <c r="U38" s="110"/>
      <c r="V38" s="103">
        <f>+T38+R38</f>
        <v>8046968.3236374585</v>
      </c>
      <c r="W38" s="110"/>
      <c r="X38" s="103">
        <f>E38-V38-((M38/100)*E38)</f>
        <v>22383453.789362542</v>
      </c>
      <c r="Y38" s="110"/>
      <c r="Z38" s="103">
        <f>+X38/K38</f>
        <v>595304.6220575144</v>
      </c>
      <c r="AA38" s="112"/>
      <c r="AB38" s="111">
        <f>IF(E38="","",ROUND(Z38/E38*100,2))</f>
        <v>2.25</v>
      </c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</row>
    <row r="39" spans="1:148" ht="12.75">
      <c r="A39" s="123">
        <v>330.1</v>
      </c>
      <c r="B39" s="100"/>
      <c r="C39" s="112" t="s">
        <v>174</v>
      </c>
      <c r="D39" s="112"/>
      <c r="E39" s="103">
        <v>11813469.44</v>
      </c>
      <c r="F39" s="112"/>
      <c r="G39" s="104" t="s">
        <v>175</v>
      </c>
      <c r="H39" s="105">
        <v>60</v>
      </c>
      <c r="I39" s="105" t="s">
        <v>158</v>
      </c>
      <c r="J39" s="104"/>
      <c r="K39" s="106">
        <v>48.4</v>
      </c>
      <c r="L39" s="101"/>
      <c r="M39" s="107">
        <v>-30</v>
      </c>
      <c r="N39" s="112"/>
      <c r="O39" s="108">
        <v>-10</v>
      </c>
      <c r="P39" s="113"/>
      <c r="Q39" s="109">
        <f>IF(O39&lt;0,((O39/100)*E39)/K39*-1,0)</f>
        <v>24407.994710743802</v>
      </c>
      <c r="R39" s="103">
        <f>(Q39/$Q$80)*$R$80</f>
        <v>111231.19230694849</v>
      </c>
      <c r="S39" s="112"/>
      <c r="T39" s="103">
        <v>2110694</v>
      </c>
      <c r="U39" s="110"/>
      <c r="V39" s="103">
        <f>+T39+R39</f>
        <v>2221925.1923069484</v>
      </c>
      <c r="W39" s="110"/>
      <c r="X39" s="103">
        <f>E39-V39-((M39/100)*E39)</f>
        <v>13135585.079693051</v>
      </c>
      <c r="Y39" s="110"/>
      <c r="Z39" s="103">
        <f>+X39/K39</f>
        <v>271396.3859440713</v>
      </c>
      <c r="AA39" s="112"/>
      <c r="AB39" s="111">
        <f>IF(E39="","",ROUND(Z39/E39*100,2))</f>
        <v>2.3</v>
      </c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</row>
    <row r="40" spans="1:148" ht="12.75">
      <c r="A40" s="123">
        <v>331</v>
      </c>
      <c r="B40" s="100"/>
      <c r="C40" s="112" t="s">
        <v>176</v>
      </c>
      <c r="D40" s="112"/>
      <c r="E40" s="103">
        <v>151503649.01999998</v>
      </c>
      <c r="F40" s="112"/>
      <c r="G40" s="104" t="s">
        <v>177</v>
      </c>
      <c r="H40" s="105">
        <v>75</v>
      </c>
      <c r="I40" s="105" t="s">
        <v>139</v>
      </c>
      <c r="J40" s="104"/>
      <c r="K40" s="106">
        <v>59.1</v>
      </c>
      <c r="L40" s="101"/>
      <c r="M40" s="107">
        <v>-20</v>
      </c>
      <c r="N40" s="112"/>
      <c r="O40" s="108">
        <v>-4</v>
      </c>
      <c r="P40" s="113"/>
      <c r="Q40" s="109">
        <f>IF(O40&lt;0,((O40/100)*E40)/K40*-1,0)</f>
        <v>102540.54079187816</v>
      </c>
      <c r="R40" s="103">
        <f>(Q40/$Q$80)*$R$80</f>
        <v>467293.8824859456</v>
      </c>
      <c r="S40" s="112"/>
      <c r="T40" s="103">
        <v>29466254</v>
      </c>
      <c r="U40" s="110"/>
      <c r="V40" s="103">
        <f>+T40+R40</f>
        <v>29933547.882485945</v>
      </c>
      <c r="W40" s="110"/>
      <c r="X40" s="103">
        <f>E40-V40-((M40/100)*E40)</f>
        <v>151870830.94151405</v>
      </c>
      <c r="Y40" s="110"/>
      <c r="Z40" s="103">
        <f>+X40/K40</f>
        <v>2569726.41186995</v>
      </c>
      <c r="AA40" s="112"/>
      <c r="AB40" s="111">
        <f>IF(E40="","",ROUND(Z40/E40*100,2))</f>
        <v>1.7</v>
      </c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</row>
    <row r="41" spans="1:148" ht="12.75">
      <c r="A41" s="123">
        <v>333</v>
      </c>
      <c r="B41" s="100"/>
      <c r="C41" s="112" t="s">
        <v>178</v>
      </c>
      <c r="D41" s="112"/>
      <c r="E41" s="103">
        <v>35325950.03</v>
      </c>
      <c r="F41" s="112"/>
      <c r="G41" s="104" t="s">
        <v>179</v>
      </c>
      <c r="H41" s="105">
        <v>70</v>
      </c>
      <c r="I41" s="105" t="s">
        <v>142</v>
      </c>
      <c r="J41" s="104"/>
      <c r="K41" s="106">
        <v>56.9</v>
      </c>
      <c r="L41" s="101"/>
      <c r="M41" s="107">
        <v>-20</v>
      </c>
      <c r="N41" s="112" t="s">
        <v>51</v>
      </c>
      <c r="O41" s="108">
        <v>-159</v>
      </c>
      <c r="P41" s="113"/>
      <c r="Q41" s="109">
        <f>IF(O41&lt;0,((O41/100)*E41)/K41*-1,0)</f>
        <v>987139.9041775045</v>
      </c>
      <c r="R41" s="103">
        <f>(Q41/$Q$80)*$R$80</f>
        <v>4498556.715398627</v>
      </c>
      <c r="S41" s="112"/>
      <c r="T41" s="103">
        <v>10998914</v>
      </c>
      <c r="U41" s="110"/>
      <c r="V41" s="103">
        <f>+T41+R41</f>
        <v>15497470.715398628</v>
      </c>
      <c r="W41" s="110"/>
      <c r="X41" s="103">
        <f>E41-V41-((M41/100)*E41)</f>
        <v>26893669.320601374</v>
      </c>
      <c r="Y41" s="110"/>
      <c r="Z41" s="103">
        <f>+X41/K41</f>
        <v>472647.96697014716</v>
      </c>
      <c r="AA41" s="112"/>
      <c r="AB41" s="111">
        <f>IF(E41="","",ROUND(Z41/E41*100,2))</f>
        <v>1.34</v>
      </c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</row>
    <row r="42" spans="1:148" ht="12.75">
      <c r="A42" s="123"/>
      <c r="B42" s="100"/>
      <c r="C42" s="101"/>
      <c r="D42" s="112"/>
      <c r="E42" s="116"/>
      <c r="F42" s="112"/>
      <c r="G42" s="104"/>
      <c r="H42" s="105"/>
      <c r="I42" s="105"/>
      <c r="J42" s="104"/>
      <c r="K42" s="106"/>
      <c r="L42" s="101"/>
      <c r="M42" s="117"/>
      <c r="N42" s="112"/>
      <c r="O42" s="121"/>
      <c r="P42" s="113"/>
      <c r="Q42" s="119"/>
      <c r="R42" s="116"/>
      <c r="S42" s="112"/>
      <c r="T42" s="116"/>
      <c r="U42" s="120"/>
      <c r="V42" s="116"/>
      <c r="W42" s="120"/>
      <c r="X42" s="116"/>
      <c r="Y42" s="120"/>
      <c r="Z42" s="116"/>
      <c r="AA42" s="112"/>
      <c r="AB42" s="111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</row>
    <row r="43" spans="1:148" ht="12.75">
      <c r="A43" s="123"/>
      <c r="B43" s="100"/>
      <c r="C43" s="124" t="s">
        <v>180</v>
      </c>
      <c r="D43" s="112"/>
      <c r="E43" s="116"/>
      <c r="F43" s="112"/>
      <c r="G43" s="104"/>
      <c r="H43" s="105"/>
      <c r="I43" s="105"/>
      <c r="J43" s="104"/>
      <c r="K43" s="106" t="s">
        <v>2</v>
      </c>
      <c r="L43" s="101"/>
      <c r="M43" s="117"/>
      <c r="N43" s="112"/>
      <c r="O43" s="121"/>
      <c r="P43" s="113"/>
      <c r="Q43" s="119"/>
      <c r="R43" s="116"/>
      <c r="S43" s="112"/>
      <c r="T43" s="116"/>
      <c r="U43" s="120"/>
      <c r="V43" s="116"/>
      <c r="W43" s="120"/>
      <c r="X43" s="116"/>
      <c r="Y43" s="120"/>
      <c r="Z43" s="116"/>
      <c r="AA43" s="112"/>
      <c r="AB43" s="111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</row>
    <row r="44" spans="1:148" ht="12.75">
      <c r="A44" s="123">
        <v>334.1</v>
      </c>
      <c r="B44" s="100"/>
      <c r="C44" s="112" t="s">
        <v>180</v>
      </c>
      <c r="D44" s="112"/>
      <c r="E44" s="103">
        <v>90962.25</v>
      </c>
      <c r="F44" s="112"/>
      <c r="G44" s="104" t="s">
        <v>181</v>
      </c>
      <c r="H44" s="105">
        <v>40</v>
      </c>
      <c r="I44" s="105" t="s">
        <v>154</v>
      </c>
      <c r="J44" s="104"/>
      <c r="K44" s="106">
        <v>36.1</v>
      </c>
      <c r="L44" s="101"/>
      <c r="M44" s="107">
        <v>-10</v>
      </c>
      <c r="N44" s="112"/>
      <c r="O44" s="108">
        <v>16</v>
      </c>
      <c r="P44" s="113"/>
      <c r="Q44" s="109">
        <f>IF(O44&lt;0,((O44/100)*E44)/K44*-1,0)</f>
        <v>0</v>
      </c>
      <c r="R44" s="103">
        <f>(Q44/$Q$80)*$R$80</f>
        <v>0</v>
      </c>
      <c r="S44" s="112"/>
      <c r="T44" s="103">
        <v>7634</v>
      </c>
      <c r="U44" s="110"/>
      <c r="V44" s="103">
        <f>+T44+R44</f>
        <v>7634</v>
      </c>
      <c r="W44" s="110"/>
      <c r="X44" s="103">
        <f>E44-V44-((M44/100)*E44)</f>
        <v>92424.475</v>
      </c>
      <c r="Y44" s="110"/>
      <c r="Z44" s="103">
        <f>+X44/K44</f>
        <v>2560.2347645429363</v>
      </c>
      <c r="AA44" s="112"/>
      <c r="AB44" s="111">
        <f>IF(E44="","",ROUND(Z44/E44*100,2))</f>
        <v>2.81</v>
      </c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</row>
    <row r="45" spans="1:148" ht="12.75">
      <c r="A45" s="123">
        <v>334.11</v>
      </c>
      <c r="B45" s="100"/>
      <c r="C45" s="112" t="s">
        <v>182</v>
      </c>
      <c r="D45" s="61"/>
      <c r="E45" s="103">
        <v>45063.51</v>
      </c>
      <c r="F45" s="61"/>
      <c r="G45" s="104" t="s">
        <v>181</v>
      </c>
      <c r="H45" s="105">
        <v>40</v>
      </c>
      <c r="I45" s="105" t="s">
        <v>154</v>
      </c>
      <c r="J45" s="104"/>
      <c r="K45" s="106">
        <v>32.1</v>
      </c>
      <c r="L45" s="102"/>
      <c r="M45" s="107">
        <v>-10</v>
      </c>
      <c r="N45" s="61"/>
      <c r="O45" s="108">
        <v>16</v>
      </c>
      <c r="P45" s="60"/>
      <c r="Q45" s="109">
        <f>IF(O45&lt;0,((O45/100)*E45)/K45*-1,0)</f>
        <v>0</v>
      </c>
      <c r="R45" s="103">
        <f>(Q45/$Q$80)*$R$80</f>
        <v>0</v>
      </c>
      <c r="S45" s="61"/>
      <c r="T45" s="103">
        <v>6992</v>
      </c>
      <c r="U45" s="110"/>
      <c r="V45" s="103">
        <f>+T45+R45</f>
        <v>6992</v>
      </c>
      <c r="W45" s="110"/>
      <c r="X45" s="103">
        <f>E45-V45-((M45/100)*E45)</f>
        <v>42577.861000000004</v>
      </c>
      <c r="Y45" s="110"/>
      <c r="Z45" s="103">
        <f>+X45/K45</f>
        <v>1326.4131152647976</v>
      </c>
      <c r="AA45" s="61"/>
      <c r="AB45" s="111">
        <f>IF(E45="","",ROUND(Z45/E45*100,2))</f>
        <v>2.94</v>
      </c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</row>
    <row r="46" spans="1:148" ht="12.75">
      <c r="A46" s="123">
        <v>334.12</v>
      </c>
      <c r="B46" s="100"/>
      <c r="C46" s="112" t="s">
        <v>183</v>
      </c>
      <c r="D46" s="61"/>
      <c r="E46" s="103">
        <v>1444409.44</v>
      </c>
      <c r="F46" s="61"/>
      <c r="G46" s="104" t="s">
        <v>181</v>
      </c>
      <c r="H46" s="105">
        <v>40</v>
      </c>
      <c r="I46" s="105" t="s">
        <v>154</v>
      </c>
      <c r="J46" s="104"/>
      <c r="K46" s="106">
        <v>29.3</v>
      </c>
      <c r="L46" s="102"/>
      <c r="M46" s="107">
        <v>-10</v>
      </c>
      <c r="N46" s="61"/>
      <c r="O46" s="108">
        <v>0</v>
      </c>
      <c r="P46" s="60"/>
      <c r="Q46" s="109">
        <f>IF(O46&lt;0,((O46/100)*E46)/K46*-1,0)</f>
        <v>0</v>
      </c>
      <c r="R46" s="103">
        <f>(Q46/$Q$80)*$R$80</f>
        <v>0</v>
      </c>
      <c r="S46" s="61"/>
      <c r="T46" s="103">
        <v>335934</v>
      </c>
      <c r="U46" s="110"/>
      <c r="V46" s="103">
        <f>+T46+R46</f>
        <v>335934</v>
      </c>
      <c r="W46" s="110"/>
      <c r="X46" s="103">
        <f>E46-V46-((M46/100)*E46)</f>
        <v>1252916.3839999998</v>
      </c>
      <c r="Y46" s="110"/>
      <c r="Z46" s="103">
        <f>+X46/K46</f>
        <v>42761.65133105801</v>
      </c>
      <c r="AA46" s="61"/>
      <c r="AB46" s="111">
        <f>IF(E46="","",ROUND(Z46/E46*100,2))</f>
        <v>2.96</v>
      </c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</row>
    <row r="47" spans="1:148" ht="12.75">
      <c r="A47" s="123">
        <v>334.13</v>
      </c>
      <c r="B47" s="100"/>
      <c r="C47" s="101" t="s">
        <v>184</v>
      </c>
      <c r="D47" s="102"/>
      <c r="E47" s="114">
        <v>6870500.64</v>
      </c>
      <c r="F47" s="102"/>
      <c r="G47" s="104" t="s">
        <v>181</v>
      </c>
      <c r="H47" s="105">
        <v>40</v>
      </c>
      <c r="I47" s="105" t="s">
        <v>154</v>
      </c>
      <c r="J47" s="104"/>
      <c r="K47" s="106">
        <v>34.3</v>
      </c>
      <c r="L47" s="102"/>
      <c r="M47" s="107">
        <v>-10</v>
      </c>
      <c r="N47" s="61"/>
      <c r="O47" s="108">
        <v>0</v>
      </c>
      <c r="P47" s="60"/>
      <c r="Q47" s="115">
        <f>IF(O47&lt;0,((O47/100)*E47)/K47*-1,0)</f>
        <v>0</v>
      </c>
      <c r="R47" s="114">
        <f>(Q47/$Q$80)*$R$80</f>
        <v>0</v>
      </c>
      <c r="S47" s="61"/>
      <c r="T47" s="114">
        <v>845260</v>
      </c>
      <c r="U47" s="110"/>
      <c r="V47" s="114">
        <f>+T47+R47</f>
        <v>845260</v>
      </c>
      <c r="W47" s="110"/>
      <c r="X47" s="114">
        <f>E47-V47-((M47/100)*E47)</f>
        <v>6712290.704</v>
      </c>
      <c r="Y47" s="110"/>
      <c r="Z47" s="114">
        <f>+X47/K47</f>
        <v>195693.60653061225</v>
      </c>
      <c r="AA47" s="61"/>
      <c r="AB47" s="111">
        <f>IF(E47="","",ROUND(Z47/E47*100,2))</f>
        <v>2.85</v>
      </c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</row>
    <row r="48" spans="1:148" ht="12.75">
      <c r="A48" s="123"/>
      <c r="B48" s="100"/>
      <c r="C48" s="101" t="s">
        <v>185</v>
      </c>
      <c r="D48" s="101"/>
      <c r="E48" s="116">
        <f>SUM(E44:E47)</f>
        <v>8450935.84</v>
      </c>
      <c r="F48" s="101"/>
      <c r="G48" s="104"/>
      <c r="H48" s="105"/>
      <c r="I48" s="105"/>
      <c r="J48" s="104"/>
      <c r="K48" s="106"/>
      <c r="L48" s="101"/>
      <c r="M48" s="117"/>
      <c r="N48" s="112"/>
      <c r="O48" s="121"/>
      <c r="P48" s="113"/>
      <c r="Q48" s="119">
        <f>SUM(Q44:Q47)</f>
        <v>0</v>
      </c>
      <c r="R48" s="116">
        <f>SUM(R44:R47)</f>
        <v>0</v>
      </c>
      <c r="S48" s="112"/>
      <c r="T48" s="116">
        <f>SUM(T44:T47)</f>
        <v>1195820</v>
      </c>
      <c r="U48" s="120"/>
      <c r="V48" s="116">
        <f>SUM(V44:V47)</f>
        <v>1195820</v>
      </c>
      <c r="W48" s="120"/>
      <c r="X48" s="116">
        <f>SUM(X44:X47)</f>
        <v>8100209.424</v>
      </c>
      <c r="Y48" s="120"/>
      <c r="Z48" s="116">
        <f>SUM(Z44:Z47)</f>
        <v>242341.905741478</v>
      </c>
      <c r="AA48" s="112"/>
      <c r="AB48" s="111">
        <f>IF(E48="","",ROUND(Z48/E48*100,2))</f>
        <v>2.87</v>
      </c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</row>
    <row r="49" spans="1:148" ht="12.75">
      <c r="A49" s="123"/>
      <c r="B49" s="100"/>
      <c r="C49" s="101"/>
      <c r="D49" s="101"/>
      <c r="E49" s="116"/>
      <c r="F49" s="101"/>
      <c r="G49" s="104"/>
      <c r="H49" s="105"/>
      <c r="I49" s="105"/>
      <c r="J49" s="104"/>
      <c r="K49" s="106" t="s">
        <v>2</v>
      </c>
      <c r="L49" s="101"/>
      <c r="M49" s="117"/>
      <c r="N49" s="112"/>
      <c r="O49" s="121"/>
      <c r="P49" s="113"/>
      <c r="Q49" s="119"/>
      <c r="R49" s="116"/>
      <c r="S49" s="112"/>
      <c r="T49" s="116"/>
      <c r="U49" s="120"/>
      <c r="V49" s="116"/>
      <c r="W49" s="120"/>
      <c r="X49" s="116"/>
      <c r="Y49" s="120"/>
      <c r="Z49" s="116"/>
      <c r="AA49" s="112"/>
      <c r="AB49" s="111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</row>
    <row r="50" spans="1:148" ht="12.75">
      <c r="A50" s="123">
        <v>334.2</v>
      </c>
      <c r="B50" s="100"/>
      <c r="C50" s="101" t="s">
        <v>186</v>
      </c>
      <c r="D50" s="101"/>
      <c r="E50" s="103">
        <v>15249739.68</v>
      </c>
      <c r="F50" s="101"/>
      <c r="G50" s="104" t="s">
        <v>181</v>
      </c>
      <c r="H50" s="105">
        <v>40</v>
      </c>
      <c r="I50" s="105" t="s">
        <v>154</v>
      </c>
      <c r="J50" s="104"/>
      <c r="K50" s="106">
        <v>27.9</v>
      </c>
      <c r="L50" s="101"/>
      <c r="M50" s="107">
        <v>-10</v>
      </c>
      <c r="N50" s="112"/>
      <c r="O50" s="108">
        <v>-53</v>
      </c>
      <c r="P50" s="113"/>
      <c r="Q50" s="109">
        <f>IF(O50&lt;0,((O50/100)*E50)/K50*-1,0)</f>
        <v>289690.39535483875</v>
      </c>
      <c r="R50" s="103">
        <f>(Q50/$Q$80)*$R$80</f>
        <v>1320166.1364260458</v>
      </c>
      <c r="S50" s="112"/>
      <c r="T50" s="103">
        <v>3730238</v>
      </c>
      <c r="U50" s="110"/>
      <c r="V50" s="103">
        <f>+T50+R50</f>
        <v>5050404.136426046</v>
      </c>
      <c r="W50" s="110"/>
      <c r="X50" s="103">
        <f>E50-V50-((M50/100)*E50)</f>
        <v>11724309.511573954</v>
      </c>
      <c r="Y50" s="110"/>
      <c r="Z50" s="103">
        <f>+X50/K50</f>
        <v>420226.1473682421</v>
      </c>
      <c r="AA50" s="112"/>
      <c r="AB50" s="111">
        <f>IF(E50="","",ROUND(Z50/E50*100,2))</f>
        <v>2.76</v>
      </c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</row>
    <row r="51" spans="1:148" ht="12.75">
      <c r="A51" s="123">
        <v>335</v>
      </c>
      <c r="B51" s="100"/>
      <c r="C51" s="101" t="s">
        <v>187</v>
      </c>
      <c r="D51" s="101"/>
      <c r="E51" s="103">
        <v>10147784.89</v>
      </c>
      <c r="F51" s="101"/>
      <c r="G51" s="104" t="s">
        <v>188</v>
      </c>
      <c r="H51" s="105">
        <v>75</v>
      </c>
      <c r="I51" s="105" t="s">
        <v>142</v>
      </c>
      <c r="J51" s="104"/>
      <c r="K51" s="106">
        <v>59.7</v>
      </c>
      <c r="L51" s="101"/>
      <c r="M51" s="107">
        <v>-25</v>
      </c>
      <c r="N51" s="112"/>
      <c r="O51" s="108">
        <v>-36</v>
      </c>
      <c r="P51" s="113"/>
      <c r="Q51" s="109">
        <f>IF(O51&lt;0,((O51/100)*E51)/K51*-1,0)</f>
        <v>61192.67270351759</v>
      </c>
      <c r="R51" s="103">
        <f>(Q51/$Q$80)*$R$80</f>
        <v>278864.9385549503</v>
      </c>
      <c r="S51" s="112"/>
      <c r="T51" s="103">
        <v>1978660</v>
      </c>
      <c r="U51" s="110"/>
      <c r="V51" s="103">
        <f>+T51+R51</f>
        <v>2257524.93855495</v>
      </c>
      <c r="W51" s="110"/>
      <c r="X51" s="103">
        <f>E51-V51-((M51/100)*E51)</f>
        <v>10427206.17394505</v>
      </c>
      <c r="Y51" s="110"/>
      <c r="Z51" s="103">
        <f>+X51/K51</f>
        <v>174660.06991532748</v>
      </c>
      <c r="AA51" s="112"/>
      <c r="AB51" s="111">
        <f>IF(E51="","",ROUND(Z51/E51*100,2))</f>
        <v>1.72</v>
      </c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</row>
    <row r="52" spans="1:148" ht="12.75">
      <c r="A52" s="123">
        <v>339.1</v>
      </c>
      <c r="B52" s="100"/>
      <c r="C52" s="101" t="s">
        <v>189</v>
      </c>
      <c r="D52" s="101"/>
      <c r="E52" s="103">
        <v>3838</v>
      </c>
      <c r="F52" s="101"/>
      <c r="G52" s="104" t="s">
        <v>190</v>
      </c>
      <c r="H52" s="105">
        <v>5</v>
      </c>
      <c r="I52" s="105" t="s">
        <v>191</v>
      </c>
      <c r="J52" s="104"/>
      <c r="K52" s="106">
        <v>1</v>
      </c>
      <c r="L52" s="101"/>
      <c r="M52" s="107" t="s">
        <v>146</v>
      </c>
      <c r="N52" s="112"/>
      <c r="O52" s="108"/>
      <c r="P52" s="113"/>
      <c r="Q52" s="109">
        <f>IF(O52&lt;0,((O52/100)*E52)/K52*-1,0)</f>
        <v>0</v>
      </c>
      <c r="R52" s="103">
        <f>(Q52/$Q$80)*$R$80</f>
        <v>0</v>
      </c>
      <c r="S52" s="112"/>
      <c r="T52" s="103">
        <v>2758</v>
      </c>
      <c r="U52" s="110"/>
      <c r="V52" s="103">
        <f>+T52+R52</f>
        <v>2758</v>
      </c>
      <c r="W52" s="110"/>
      <c r="X52" s="103">
        <f>E52-V52-((M52/100)*E52)</f>
        <v>1080</v>
      </c>
      <c r="Y52" s="110"/>
      <c r="Z52" s="103">
        <f>+X52/K52</f>
        <v>1080</v>
      </c>
      <c r="AA52" s="112"/>
      <c r="AB52" s="111">
        <f>IF(E52="","",ROUND(Z52/E52*100,2))</f>
        <v>28.14</v>
      </c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</row>
    <row r="53" spans="1:148" ht="12.75">
      <c r="A53" s="123"/>
      <c r="B53" s="100"/>
      <c r="C53" s="101"/>
      <c r="D53" s="101"/>
      <c r="E53" s="116"/>
      <c r="F53" s="101"/>
      <c r="G53" s="104"/>
      <c r="H53" s="105"/>
      <c r="I53" s="105"/>
      <c r="J53" s="104"/>
      <c r="K53" s="106" t="s">
        <v>2</v>
      </c>
      <c r="L53" s="101"/>
      <c r="M53" s="117"/>
      <c r="N53" s="112"/>
      <c r="O53" s="121"/>
      <c r="P53" s="113"/>
      <c r="Q53" s="119"/>
      <c r="R53" s="116"/>
      <c r="S53" s="112"/>
      <c r="T53" s="116"/>
      <c r="U53" s="120"/>
      <c r="V53" s="116"/>
      <c r="W53" s="120"/>
      <c r="X53" s="116"/>
      <c r="Y53" s="120"/>
      <c r="Z53" s="116"/>
      <c r="AA53" s="112"/>
      <c r="AB53" s="111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</row>
    <row r="54" spans="1:148" ht="13.5" customHeight="1">
      <c r="A54" s="123"/>
      <c r="B54" s="100"/>
      <c r="C54" s="122" t="s">
        <v>192</v>
      </c>
      <c r="D54" s="101"/>
      <c r="E54" s="116"/>
      <c r="F54" s="101"/>
      <c r="G54" s="104"/>
      <c r="H54" s="105"/>
      <c r="I54" s="105"/>
      <c r="J54" s="104"/>
      <c r="K54" s="106"/>
      <c r="L54" s="101"/>
      <c r="M54" s="117"/>
      <c r="N54" s="112"/>
      <c r="O54" s="121"/>
      <c r="P54" s="113"/>
      <c r="Q54" s="119"/>
      <c r="R54" s="116"/>
      <c r="S54" s="112"/>
      <c r="T54" s="116"/>
      <c r="U54" s="120"/>
      <c r="V54" s="116"/>
      <c r="W54" s="120"/>
      <c r="X54" s="116"/>
      <c r="Y54" s="120"/>
      <c r="Z54" s="116"/>
      <c r="AA54" s="112"/>
      <c r="AB54" s="111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</row>
    <row r="55" spans="1:148" ht="13.5" customHeight="1">
      <c r="A55" s="123">
        <v>340.1</v>
      </c>
      <c r="B55" s="100"/>
      <c r="C55" s="101" t="s">
        <v>193</v>
      </c>
      <c r="D55" s="101"/>
      <c r="E55" s="103">
        <v>701103.19</v>
      </c>
      <c r="F55" s="101"/>
      <c r="G55" s="104" t="s">
        <v>194</v>
      </c>
      <c r="H55" s="105">
        <v>20</v>
      </c>
      <c r="I55" s="105" t="s">
        <v>191</v>
      </c>
      <c r="J55" s="104"/>
      <c r="K55" s="106">
        <v>4.1</v>
      </c>
      <c r="L55" s="101"/>
      <c r="M55" s="107" t="s">
        <v>146</v>
      </c>
      <c r="N55" s="112"/>
      <c r="O55" s="108">
        <v>3</v>
      </c>
      <c r="P55" s="113"/>
      <c r="Q55" s="109">
        <f aca="true" t="shared" si="6" ref="Q55:Q62">IF(O55&lt;0,((O55/100)*E55)/K55*-1,0)</f>
        <v>0</v>
      </c>
      <c r="R55" s="103">
        <f aca="true" t="shared" si="7" ref="R55:R62">(Q55/$Q$80)*$R$80</f>
        <v>0</v>
      </c>
      <c r="S55" s="112"/>
      <c r="T55" s="103">
        <v>404660</v>
      </c>
      <c r="U55" s="110"/>
      <c r="V55" s="103">
        <f aca="true" t="shared" si="8" ref="V55:V62">+T55+R55</f>
        <v>404660</v>
      </c>
      <c r="W55" s="110"/>
      <c r="X55" s="103">
        <f aca="true" t="shared" si="9" ref="X55:X62">E55-V55-((M55/100)*E55)</f>
        <v>296443.18999999994</v>
      </c>
      <c r="Y55" s="110"/>
      <c r="Z55" s="103">
        <f>+X55/K55</f>
        <v>72303.21707317073</v>
      </c>
      <c r="AA55" s="112"/>
      <c r="AB55" s="111">
        <f>IF(E55="","",ROUND(Z55/E55*100,2))</f>
        <v>10.31</v>
      </c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</row>
    <row r="56" spans="1:148" ht="13.5" customHeight="1">
      <c r="A56" s="123">
        <v>340.21</v>
      </c>
      <c r="B56" s="100"/>
      <c r="C56" s="101" t="s">
        <v>195</v>
      </c>
      <c r="D56" s="101"/>
      <c r="E56" s="103">
        <v>50239.84</v>
      </c>
      <c r="F56" s="101"/>
      <c r="G56" s="104" t="s">
        <v>190</v>
      </c>
      <c r="H56" s="105">
        <v>5</v>
      </c>
      <c r="I56" s="105" t="s">
        <v>191</v>
      </c>
      <c r="J56" s="104"/>
      <c r="K56" s="106">
        <v>4.5</v>
      </c>
      <c r="L56" s="101"/>
      <c r="M56" s="107" t="s">
        <v>146</v>
      </c>
      <c r="N56" s="112"/>
      <c r="O56" s="108">
        <v>17</v>
      </c>
      <c r="P56" s="113"/>
      <c r="Q56" s="109">
        <f t="shared" si="6"/>
        <v>0</v>
      </c>
      <c r="R56" s="103">
        <f t="shared" si="7"/>
        <v>0</v>
      </c>
      <c r="S56" s="112"/>
      <c r="T56" s="103">
        <v>28793</v>
      </c>
      <c r="U56" s="110"/>
      <c r="V56" s="103">
        <f t="shared" si="8"/>
        <v>28793</v>
      </c>
      <c r="W56" s="110"/>
      <c r="X56" s="103">
        <f t="shared" si="9"/>
        <v>21446.839999999997</v>
      </c>
      <c r="Y56" s="110"/>
      <c r="Z56" s="103">
        <f>+X56/K56</f>
        <v>4765.964444444444</v>
      </c>
      <c r="AA56" s="112"/>
      <c r="AB56" s="111">
        <f>IF(E56="","",ROUND(Z56/E56*100,2))</f>
        <v>9.49</v>
      </c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</row>
    <row r="57" spans="1:148" ht="13.5" customHeight="1">
      <c r="A57" s="123">
        <v>340.22</v>
      </c>
      <c r="B57" s="100"/>
      <c r="C57" s="101" t="s">
        <v>196</v>
      </c>
      <c r="D57" s="101"/>
      <c r="E57" s="103">
        <v>1509960.66</v>
      </c>
      <c r="F57" s="101"/>
      <c r="G57" s="104" t="s">
        <v>190</v>
      </c>
      <c r="H57" s="105">
        <v>5</v>
      </c>
      <c r="I57" s="105" t="s">
        <v>191</v>
      </c>
      <c r="J57" s="104"/>
      <c r="K57" s="106">
        <v>1.9</v>
      </c>
      <c r="L57" s="101"/>
      <c r="M57" s="107" t="s">
        <v>146</v>
      </c>
      <c r="N57" s="112"/>
      <c r="O57" s="108">
        <v>17</v>
      </c>
      <c r="P57" s="113"/>
      <c r="Q57" s="109">
        <f t="shared" si="6"/>
        <v>0</v>
      </c>
      <c r="R57" s="103">
        <f t="shared" si="7"/>
        <v>0</v>
      </c>
      <c r="S57" s="112"/>
      <c r="T57" s="103">
        <v>1088965</v>
      </c>
      <c r="U57" s="110"/>
      <c r="V57" s="103">
        <f t="shared" si="8"/>
        <v>1088965</v>
      </c>
      <c r="W57" s="110"/>
      <c r="X57" s="103">
        <f t="shared" si="9"/>
        <v>420995.6599999999</v>
      </c>
      <c r="Y57" s="110"/>
      <c r="Z57" s="103">
        <f>+X57/K57</f>
        <v>221576.6631578947</v>
      </c>
      <c r="AA57" s="112"/>
      <c r="AB57" s="111">
        <f>IF(E57="","",ROUND(Z57/E57*100,2))</f>
        <v>14.67</v>
      </c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</row>
    <row r="58" spans="1:148" ht="12.75">
      <c r="A58" s="123">
        <v>340.23</v>
      </c>
      <c r="B58" s="100"/>
      <c r="C58" s="101" t="s">
        <v>197</v>
      </c>
      <c r="D58" s="101"/>
      <c r="E58" s="103">
        <v>497999.21</v>
      </c>
      <c r="F58" s="101"/>
      <c r="G58" s="104" t="s">
        <v>190</v>
      </c>
      <c r="H58" s="105">
        <v>5</v>
      </c>
      <c r="I58" s="105" t="s">
        <v>191</v>
      </c>
      <c r="J58" s="104"/>
      <c r="K58" s="106">
        <v>1.1</v>
      </c>
      <c r="L58" s="101"/>
      <c r="M58" s="107" t="s">
        <v>146</v>
      </c>
      <c r="N58" s="112"/>
      <c r="O58" s="108">
        <v>17</v>
      </c>
      <c r="P58" s="113"/>
      <c r="Q58" s="109">
        <f t="shared" si="6"/>
        <v>0</v>
      </c>
      <c r="R58" s="103">
        <f t="shared" si="7"/>
        <v>0</v>
      </c>
      <c r="S58" s="112"/>
      <c r="T58" s="103">
        <v>354769</v>
      </c>
      <c r="U58" s="110"/>
      <c r="V58" s="103">
        <f t="shared" si="8"/>
        <v>354769</v>
      </c>
      <c r="W58" s="110"/>
      <c r="X58" s="103">
        <f t="shared" si="9"/>
        <v>143230.21000000002</v>
      </c>
      <c r="Y58" s="110"/>
      <c r="Z58" s="103">
        <f>+X58/K58</f>
        <v>130209.28181818183</v>
      </c>
      <c r="AA58" s="112"/>
      <c r="AB58" s="111">
        <f>IF(E58="","",ROUND(Z58/E58*100,2))</f>
        <v>26.15</v>
      </c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</row>
    <row r="59" spans="1:148" ht="12.75">
      <c r="A59" s="123">
        <v>340.3</v>
      </c>
      <c r="B59" s="100"/>
      <c r="C59" s="101" t="s">
        <v>198</v>
      </c>
      <c r="D59" s="101"/>
      <c r="E59" s="103">
        <v>4551309.57</v>
      </c>
      <c r="F59" s="101"/>
      <c r="G59" s="104" t="s">
        <v>190</v>
      </c>
      <c r="H59" s="105">
        <v>5</v>
      </c>
      <c r="I59" s="105" t="s">
        <v>191</v>
      </c>
      <c r="J59" s="104"/>
      <c r="K59" s="125">
        <v>2.5</v>
      </c>
      <c r="L59" s="101"/>
      <c r="M59" s="107" t="s">
        <v>146</v>
      </c>
      <c r="N59" s="112"/>
      <c r="O59" s="108">
        <v>0</v>
      </c>
      <c r="P59" s="113"/>
      <c r="Q59" s="109">
        <f t="shared" si="6"/>
        <v>0</v>
      </c>
      <c r="R59" s="103">
        <f t="shared" si="7"/>
        <v>0</v>
      </c>
      <c r="S59" s="112"/>
      <c r="T59" s="103">
        <v>3386491</v>
      </c>
      <c r="U59" s="110"/>
      <c r="V59" s="103">
        <f t="shared" si="8"/>
        <v>3386491</v>
      </c>
      <c r="W59" s="110"/>
      <c r="X59" s="103">
        <f t="shared" si="9"/>
        <v>1164818.5700000003</v>
      </c>
      <c r="Y59" s="110"/>
      <c r="Z59" s="103">
        <f>+X59/K59</f>
        <v>465927.42800000013</v>
      </c>
      <c r="AA59" s="112"/>
      <c r="AB59" s="126">
        <f>IF(E59="","",ROUND(Z59/E59*100,2))</f>
        <v>10.24</v>
      </c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</row>
    <row r="60" spans="1:148" ht="12.75">
      <c r="A60" s="123">
        <v>340.32</v>
      </c>
      <c r="B60" s="100"/>
      <c r="C60" s="101" t="s">
        <v>199</v>
      </c>
      <c r="D60" s="101"/>
      <c r="E60" s="103">
        <v>638669.14</v>
      </c>
      <c r="F60" s="101"/>
      <c r="G60" s="104" t="s">
        <v>190</v>
      </c>
      <c r="H60" s="105">
        <v>5</v>
      </c>
      <c r="I60" s="105" t="s">
        <v>191</v>
      </c>
      <c r="J60" s="104"/>
      <c r="K60" s="127">
        <v>0</v>
      </c>
      <c r="L60" s="101"/>
      <c r="M60" s="107" t="s">
        <v>146</v>
      </c>
      <c r="N60" s="112"/>
      <c r="O60" s="108">
        <v>0</v>
      </c>
      <c r="P60" s="113"/>
      <c r="Q60" s="109">
        <f t="shared" si="6"/>
        <v>0</v>
      </c>
      <c r="R60" s="103">
        <f t="shared" si="7"/>
        <v>0</v>
      </c>
      <c r="S60" s="112"/>
      <c r="T60" s="103">
        <v>638669</v>
      </c>
      <c r="U60" s="110"/>
      <c r="V60" s="103">
        <f t="shared" si="8"/>
        <v>638669</v>
      </c>
      <c r="W60" s="110"/>
      <c r="X60" s="103">
        <f t="shared" si="9"/>
        <v>0.14000000001396984</v>
      </c>
      <c r="Y60" s="110"/>
      <c r="Z60" s="103">
        <v>0</v>
      </c>
      <c r="AA60" s="112"/>
      <c r="AB60" s="128">
        <v>0</v>
      </c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</row>
    <row r="61" spans="1:148" ht="12.75">
      <c r="A61" s="123">
        <v>340.33</v>
      </c>
      <c r="B61" s="100"/>
      <c r="C61" s="101" t="s">
        <v>200</v>
      </c>
      <c r="D61" s="101"/>
      <c r="E61" s="103">
        <v>528219.88</v>
      </c>
      <c r="F61" s="101"/>
      <c r="G61" s="104" t="s">
        <v>190</v>
      </c>
      <c r="H61" s="105">
        <v>5</v>
      </c>
      <c r="I61" s="105" t="s">
        <v>191</v>
      </c>
      <c r="J61" s="104"/>
      <c r="K61" s="125">
        <v>1</v>
      </c>
      <c r="L61" s="101"/>
      <c r="M61" s="107" t="s">
        <v>146</v>
      </c>
      <c r="N61" s="112"/>
      <c r="O61" s="108">
        <v>0</v>
      </c>
      <c r="P61" s="113"/>
      <c r="Q61" s="109">
        <f t="shared" si="6"/>
        <v>0</v>
      </c>
      <c r="R61" s="103">
        <f t="shared" si="7"/>
        <v>0</v>
      </c>
      <c r="S61" s="112"/>
      <c r="T61" s="103">
        <v>388859</v>
      </c>
      <c r="U61" s="110"/>
      <c r="V61" s="103">
        <f t="shared" si="8"/>
        <v>388859</v>
      </c>
      <c r="W61" s="110"/>
      <c r="X61" s="103">
        <f t="shared" si="9"/>
        <v>139360.88</v>
      </c>
      <c r="Y61" s="110"/>
      <c r="Z61" s="103">
        <f>+X61/K61</f>
        <v>139360.88</v>
      </c>
      <c r="AA61" s="112"/>
      <c r="AB61" s="126">
        <f>IF(E61="","",ROUND(Z61/E61*100,2))</f>
        <v>26.38</v>
      </c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</row>
    <row r="62" spans="1:148" ht="12.75">
      <c r="A62" s="123">
        <v>340.5</v>
      </c>
      <c r="B62" s="100"/>
      <c r="C62" s="101" t="s">
        <v>201</v>
      </c>
      <c r="D62" s="101"/>
      <c r="E62" s="114">
        <v>178703.11</v>
      </c>
      <c r="F62" s="101"/>
      <c r="G62" s="104" t="s">
        <v>202</v>
      </c>
      <c r="H62" s="105">
        <v>15</v>
      </c>
      <c r="I62" s="105" t="s">
        <v>191</v>
      </c>
      <c r="J62" s="104"/>
      <c r="K62" s="106">
        <v>4.4</v>
      </c>
      <c r="L62" s="101"/>
      <c r="M62" s="107" t="s">
        <v>146</v>
      </c>
      <c r="N62" s="112"/>
      <c r="O62" s="108">
        <v>3</v>
      </c>
      <c r="P62" s="113"/>
      <c r="Q62" s="115">
        <f t="shared" si="6"/>
        <v>0</v>
      </c>
      <c r="R62" s="114">
        <f t="shared" si="7"/>
        <v>0</v>
      </c>
      <c r="S62" s="112"/>
      <c r="T62" s="114">
        <v>101898</v>
      </c>
      <c r="U62" s="110"/>
      <c r="V62" s="114">
        <f t="shared" si="8"/>
        <v>101898</v>
      </c>
      <c r="W62" s="110"/>
      <c r="X62" s="114">
        <f t="shared" si="9"/>
        <v>76805.10999999999</v>
      </c>
      <c r="Y62" s="110"/>
      <c r="Z62" s="114">
        <f>+X62/K62</f>
        <v>17455.706818181814</v>
      </c>
      <c r="AA62" s="112"/>
      <c r="AB62" s="111">
        <f>IF(E62="","",ROUND(Z62/E62*100,2))</f>
        <v>9.77</v>
      </c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</row>
    <row r="63" spans="1:148" ht="12.75">
      <c r="A63" s="123"/>
      <c r="B63" s="100"/>
      <c r="C63" s="101" t="s">
        <v>203</v>
      </c>
      <c r="D63" s="101"/>
      <c r="E63" s="116">
        <f>SUM(E55:E62)</f>
        <v>8656204.6</v>
      </c>
      <c r="F63" s="101"/>
      <c r="G63" s="104"/>
      <c r="H63" s="105"/>
      <c r="I63" s="105"/>
      <c r="J63" s="104"/>
      <c r="K63" s="106"/>
      <c r="L63" s="101"/>
      <c r="M63" s="117"/>
      <c r="N63" s="112"/>
      <c r="O63" s="121"/>
      <c r="P63" s="113"/>
      <c r="Q63" s="119">
        <f>SUM(Q55:Q62)</f>
        <v>0</v>
      </c>
      <c r="R63" s="116">
        <f>SUM(R55:R62)</f>
        <v>0</v>
      </c>
      <c r="S63" s="112"/>
      <c r="T63" s="116">
        <f>SUM(T55:T62)</f>
        <v>6393104</v>
      </c>
      <c r="U63" s="120"/>
      <c r="V63" s="116">
        <f>SUM(V55:V62)</f>
        <v>6393104</v>
      </c>
      <c r="W63" s="120"/>
      <c r="X63" s="116">
        <f>SUM(X55:X62)</f>
        <v>2263100.6</v>
      </c>
      <c r="Y63" s="120"/>
      <c r="Z63" s="116">
        <f>SUM(Z55:Z62)</f>
        <v>1051599.1413118737</v>
      </c>
      <c r="AA63" s="112"/>
      <c r="AB63" s="111">
        <f>IF(E63="","",ROUND(Z63/E63*100,2))</f>
        <v>12.15</v>
      </c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</row>
    <row r="64" spans="1:148" ht="12.75">
      <c r="A64" s="123"/>
      <c r="B64" s="100"/>
      <c r="C64" s="101"/>
      <c r="D64" s="101"/>
      <c r="E64" s="116"/>
      <c r="F64" s="101"/>
      <c r="G64" s="104"/>
      <c r="H64" s="105"/>
      <c r="I64" s="105"/>
      <c r="J64" s="104"/>
      <c r="K64" s="106"/>
      <c r="L64" s="101"/>
      <c r="M64" s="117"/>
      <c r="N64" s="112"/>
      <c r="O64" s="121"/>
      <c r="P64" s="113"/>
      <c r="Q64" s="119"/>
      <c r="R64" s="116"/>
      <c r="S64" s="112"/>
      <c r="T64" s="116"/>
      <c r="U64" s="120"/>
      <c r="V64" s="116"/>
      <c r="W64" s="120"/>
      <c r="X64" s="116"/>
      <c r="Y64" s="120"/>
      <c r="Z64" s="116"/>
      <c r="AA64" s="112"/>
      <c r="AB64" s="111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</row>
    <row r="65" spans="1:148" ht="12.75">
      <c r="A65" s="123"/>
      <c r="B65" s="100"/>
      <c r="C65" s="122" t="s">
        <v>204</v>
      </c>
      <c r="D65" s="101"/>
      <c r="E65" s="116"/>
      <c r="F65" s="101"/>
      <c r="G65" s="104"/>
      <c r="H65" s="105"/>
      <c r="I65" s="105"/>
      <c r="J65" s="104"/>
      <c r="K65" s="106"/>
      <c r="L65" s="101"/>
      <c r="M65" s="117"/>
      <c r="N65" s="112"/>
      <c r="O65" s="121"/>
      <c r="P65" s="113"/>
      <c r="Q65" s="119"/>
      <c r="R65" s="116"/>
      <c r="S65" s="112"/>
      <c r="T65" s="116"/>
      <c r="U65" s="120"/>
      <c r="V65" s="116"/>
      <c r="W65" s="120"/>
      <c r="X65" s="116"/>
      <c r="Y65" s="120"/>
      <c r="Z65" s="116"/>
      <c r="AA65" s="112"/>
      <c r="AB65" s="111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</row>
    <row r="66" spans="1:148" ht="12.75">
      <c r="A66" s="123">
        <v>341.1</v>
      </c>
      <c r="B66" s="100"/>
      <c r="C66" s="101" t="s">
        <v>205</v>
      </c>
      <c r="D66" s="101"/>
      <c r="E66" s="103">
        <v>1718376.55</v>
      </c>
      <c r="F66" s="101"/>
      <c r="G66" s="104" t="s">
        <v>206</v>
      </c>
      <c r="H66" s="105">
        <v>13</v>
      </c>
      <c r="I66" s="105" t="s">
        <v>163</v>
      </c>
      <c r="J66" s="104"/>
      <c r="K66" s="106">
        <v>6.7</v>
      </c>
      <c r="L66" s="101"/>
      <c r="M66" s="107" t="s">
        <v>207</v>
      </c>
      <c r="N66" s="112"/>
      <c r="O66" s="108">
        <v>30</v>
      </c>
      <c r="P66" s="113"/>
      <c r="Q66" s="109">
        <f>IF(O66&lt;0,((O66/100)*E66)/K66*-1,0)</f>
        <v>0</v>
      </c>
      <c r="R66" s="103">
        <f>(Q66/$Q$80)*$R$80</f>
        <v>0</v>
      </c>
      <c r="S66" s="112"/>
      <c r="T66" s="103">
        <v>448274</v>
      </c>
      <c r="U66" s="110"/>
      <c r="V66" s="103">
        <f>+T66+R66</f>
        <v>448274</v>
      </c>
      <c r="W66" s="110"/>
      <c r="X66" s="103">
        <f>E66-V66-((M66/100)*E66)</f>
        <v>926427.24</v>
      </c>
      <c r="Y66" s="110"/>
      <c r="Z66" s="103">
        <f>+X66/K66</f>
        <v>138272.7223880597</v>
      </c>
      <c r="AA66" s="112"/>
      <c r="AB66" s="111">
        <f>IF(E66="","",ROUND(Z66/E66*100,2))</f>
        <v>8.05</v>
      </c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</row>
    <row r="67" spans="1:148" ht="12.75">
      <c r="A67" s="123">
        <v>341.2</v>
      </c>
      <c r="B67" s="100"/>
      <c r="C67" s="101" t="s">
        <v>208</v>
      </c>
      <c r="D67" s="101"/>
      <c r="E67" s="103">
        <v>783375.6</v>
      </c>
      <c r="F67" s="101"/>
      <c r="G67" s="104" t="s">
        <v>209</v>
      </c>
      <c r="H67" s="105">
        <v>15</v>
      </c>
      <c r="I67" s="105" t="s">
        <v>163</v>
      </c>
      <c r="J67" s="104"/>
      <c r="K67" s="106">
        <v>7.8</v>
      </c>
      <c r="L67" s="101"/>
      <c r="M67" s="107" t="s">
        <v>210</v>
      </c>
      <c r="N67" s="112"/>
      <c r="O67" s="108">
        <v>25</v>
      </c>
      <c r="P67" s="113"/>
      <c r="Q67" s="109">
        <f>IF(O67&lt;0,((O67/100)*E67)/K67*-1,0)</f>
        <v>0</v>
      </c>
      <c r="R67" s="103">
        <f>(Q67/$Q$80)*$R$80</f>
        <v>0</v>
      </c>
      <c r="S67" s="112"/>
      <c r="T67" s="103">
        <v>229926</v>
      </c>
      <c r="U67" s="110"/>
      <c r="V67" s="103">
        <f>+T67+R67</f>
        <v>229926</v>
      </c>
      <c r="W67" s="110"/>
      <c r="X67" s="103">
        <f>E67-V67-((M67/100)*E67)</f>
        <v>435943.26</v>
      </c>
      <c r="Y67" s="110"/>
      <c r="Z67" s="103">
        <f>+X67/K67</f>
        <v>55890.16153846154</v>
      </c>
      <c r="AA67" s="112"/>
      <c r="AB67" s="111">
        <f>IF(E67="","",ROUND(Z67/E67*100,2))</f>
        <v>7.13</v>
      </c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</row>
    <row r="68" spans="1:148" ht="12.75">
      <c r="A68" s="123">
        <v>341.3</v>
      </c>
      <c r="B68" s="100"/>
      <c r="C68" s="101" t="s">
        <v>211</v>
      </c>
      <c r="D68" s="101"/>
      <c r="E68" s="103">
        <v>180201.94</v>
      </c>
      <c r="F68" s="101"/>
      <c r="G68" s="104" t="s">
        <v>212</v>
      </c>
      <c r="H68" s="105">
        <v>10</v>
      </c>
      <c r="I68" s="105" t="s">
        <v>158</v>
      </c>
      <c r="J68" s="104"/>
      <c r="K68" s="106">
        <v>2.9</v>
      </c>
      <c r="L68" s="101"/>
      <c r="M68" s="107" t="s">
        <v>210</v>
      </c>
      <c r="N68" s="112"/>
      <c r="O68" s="108">
        <v>23</v>
      </c>
      <c r="P68" s="113"/>
      <c r="Q68" s="109">
        <f>IF(O68&lt;0,((O68/100)*E68)/K68*-1,0)</f>
        <v>0</v>
      </c>
      <c r="R68" s="103">
        <f>(Q68/$Q$80)*$R$80</f>
        <v>0</v>
      </c>
      <c r="S68" s="112"/>
      <c r="T68" s="103">
        <v>81728</v>
      </c>
      <c r="U68" s="110"/>
      <c r="V68" s="103">
        <f>+T68+R68</f>
        <v>81728</v>
      </c>
      <c r="W68" s="110"/>
      <c r="X68" s="103">
        <f>E68-V68-((M68/100)*E68)</f>
        <v>71443.649</v>
      </c>
      <c r="Y68" s="110"/>
      <c r="Z68" s="103">
        <f>+X68/K68</f>
        <v>24635.741034482762</v>
      </c>
      <c r="AA68" s="112"/>
      <c r="AB68" s="111">
        <f>IF(E68="","",ROUND(Z68/E68*100,2))</f>
        <v>13.67</v>
      </c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</row>
    <row r="69" spans="1:148" ht="12.75">
      <c r="A69" s="123">
        <v>341.4</v>
      </c>
      <c r="B69" s="100"/>
      <c r="C69" s="101" t="s">
        <v>213</v>
      </c>
      <c r="D69" s="101"/>
      <c r="E69" s="114">
        <v>135681.17</v>
      </c>
      <c r="F69" s="101"/>
      <c r="G69" s="104" t="s">
        <v>214</v>
      </c>
      <c r="H69" s="105">
        <v>16</v>
      </c>
      <c r="I69" s="105" t="s">
        <v>215</v>
      </c>
      <c r="J69" s="104"/>
      <c r="K69" s="106">
        <v>13.7</v>
      </c>
      <c r="L69" s="101"/>
      <c r="M69" s="107" t="s">
        <v>146</v>
      </c>
      <c r="N69" s="112"/>
      <c r="O69" s="108">
        <v>0</v>
      </c>
      <c r="P69" s="113"/>
      <c r="Q69" s="115">
        <f>IF(O69&lt;0,((O69/100)*E69)/K69*-1,0)</f>
        <v>0</v>
      </c>
      <c r="R69" s="114">
        <f>(Q69/$Q$80)*$R$80</f>
        <v>0</v>
      </c>
      <c r="S69" s="112"/>
      <c r="T69" s="114">
        <v>15127</v>
      </c>
      <c r="U69" s="110"/>
      <c r="V69" s="114">
        <f>+T69+R69</f>
        <v>15127</v>
      </c>
      <c r="W69" s="110"/>
      <c r="X69" s="114">
        <f>E69-V69-((M69/100)*E69)</f>
        <v>120554.17000000001</v>
      </c>
      <c r="Y69" s="110"/>
      <c r="Z69" s="114">
        <f>+X69/K69</f>
        <v>8799.574452554745</v>
      </c>
      <c r="AA69" s="112"/>
      <c r="AB69" s="111">
        <f>IF(E69="","",ROUND(Z69/E69*100,2))</f>
        <v>6.49</v>
      </c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</row>
    <row r="70" spans="1:148" ht="12.75">
      <c r="A70" s="123"/>
      <c r="B70" s="100"/>
      <c r="C70" s="101" t="s">
        <v>216</v>
      </c>
      <c r="D70" s="101"/>
      <c r="E70" s="116">
        <f>SUM(E66:E69)</f>
        <v>2817635.26</v>
      </c>
      <c r="F70" s="101"/>
      <c r="G70" s="104"/>
      <c r="H70" s="105"/>
      <c r="I70" s="105"/>
      <c r="J70" s="104"/>
      <c r="K70" s="106">
        <v>6.8</v>
      </c>
      <c r="L70" s="101"/>
      <c r="M70" s="117"/>
      <c r="N70" s="112"/>
      <c r="O70" s="121"/>
      <c r="P70" s="113"/>
      <c r="Q70" s="119">
        <f>SUM(Q66:Q69)</f>
        <v>0</v>
      </c>
      <c r="R70" s="116">
        <f>SUM(R66:R69)</f>
        <v>0</v>
      </c>
      <c r="S70" s="112"/>
      <c r="T70" s="116">
        <f>SUM(T66:T69)</f>
        <v>775055</v>
      </c>
      <c r="U70" s="120"/>
      <c r="V70" s="116">
        <f>SUM(V66:V69)</f>
        <v>775055</v>
      </c>
      <c r="W70" s="120"/>
      <c r="X70" s="116">
        <f>SUM(X66:X69)</f>
        <v>1554368.319</v>
      </c>
      <c r="Y70" s="120"/>
      <c r="Z70" s="116">
        <f>SUM(Z66:Z69)</f>
        <v>227598.19941355873</v>
      </c>
      <c r="AA70" s="112"/>
      <c r="AB70" s="111">
        <f>IF(E70="","",ROUND(Z70/E70*100,2))</f>
        <v>8.08</v>
      </c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</row>
    <row r="71" spans="1:148" ht="12.75">
      <c r="A71" s="123"/>
      <c r="B71" s="100"/>
      <c r="C71" s="101"/>
      <c r="D71" s="101"/>
      <c r="E71" s="116"/>
      <c r="F71" s="101"/>
      <c r="G71" s="104"/>
      <c r="H71" s="105"/>
      <c r="I71" s="105"/>
      <c r="J71" s="104"/>
      <c r="K71" s="106"/>
      <c r="L71" s="101"/>
      <c r="M71" s="117"/>
      <c r="N71" s="112"/>
      <c r="O71" s="121"/>
      <c r="P71" s="113"/>
      <c r="Q71" s="119"/>
      <c r="R71" s="116"/>
      <c r="S71" s="112"/>
      <c r="T71" s="116"/>
      <c r="U71" s="120"/>
      <c r="V71" s="116"/>
      <c r="W71" s="120"/>
      <c r="X71" s="116"/>
      <c r="Y71" s="120"/>
      <c r="Z71" s="116"/>
      <c r="AA71" s="112"/>
      <c r="AB71" s="111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</row>
    <row r="72" spans="1:148" ht="12.75">
      <c r="A72" s="123">
        <v>342</v>
      </c>
      <c r="B72" s="100"/>
      <c r="C72" s="101" t="s">
        <v>217</v>
      </c>
      <c r="D72" s="101"/>
      <c r="E72" s="103">
        <v>35546.95</v>
      </c>
      <c r="F72" s="101"/>
      <c r="G72" s="104" t="s">
        <v>218</v>
      </c>
      <c r="H72" s="105">
        <v>25</v>
      </c>
      <c r="I72" s="105" t="s">
        <v>191</v>
      </c>
      <c r="J72" s="104"/>
      <c r="K72" s="106">
        <v>5.6</v>
      </c>
      <c r="L72" s="101"/>
      <c r="M72" s="107" t="s">
        <v>146</v>
      </c>
      <c r="N72" s="112"/>
      <c r="O72" s="108">
        <v>0</v>
      </c>
      <c r="P72" s="113"/>
      <c r="Q72" s="109">
        <f aca="true" t="shared" si="10" ref="Q72:Q78">IF(O72&lt;0,((O72/100)*E72)/K72*-1,0)</f>
        <v>0</v>
      </c>
      <c r="R72" s="103">
        <f aca="true" t="shared" si="11" ref="R72:R78">(Q72/$Q$80)*$R$80</f>
        <v>0</v>
      </c>
      <c r="S72" s="112"/>
      <c r="T72" s="103">
        <v>22656</v>
      </c>
      <c r="U72" s="110"/>
      <c r="V72" s="103">
        <f aca="true" t="shared" si="12" ref="V72:V78">+T72+R72</f>
        <v>22656</v>
      </c>
      <c r="W72" s="110"/>
      <c r="X72" s="103">
        <f aca="true" t="shared" si="13" ref="X72:X78">E72-V72-((M72/100)*E72)</f>
        <v>12890.949999999997</v>
      </c>
      <c r="Y72" s="110"/>
      <c r="Z72" s="103">
        <f aca="true" t="shared" si="14" ref="Z72:Z78">+X72/K72</f>
        <v>2301.955357142857</v>
      </c>
      <c r="AA72" s="112"/>
      <c r="AB72" s="111">
        <f aca="true" t="shared" si="15" ref="AB72:AB78">IF(E72="","",ROUND(Z72/E72*100,2))</f>
        <v>6.48</v>
      </c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</row>
    <row r="73" spans="1:148" ht="12.75">
      <c r="A73" s="123">
        <v>343</v>
      </c>
      <c r="B73" s="100"/>
      <c r="C73" s="101" t="s">
        <v>219</v>
      </c>
      <c r="D73" s="101"/>
      <c r="E73" s="103">
        <v>1421289.04</v>
      </c>
      <c r="F73" s="101"/>
      <c r="G73" s="104" t="s">
        <v>194</v>
      </c>
      <c r="H73" s="105">
        <v>20</v>
      </c>
      <c r="I73" s="105" t="s">
        <v>191</v>
      </c>
      <c r="J73" s="104"/>
      <c r="K73" s="106">
        <v>11.3</v>
      </c>
      <c r="L73" s="101"/>
      <c r="M73" s="107" t="s">
        <v>146</v>
      </c>
      <c r="N73" s="112"/>
      <c r="O73" s="108">
        <v>0</v>
      </c>
      <c r="P73" s="113"/>
      <c r="Q73" s="109">
        <f t="shared" si="10"/>
        <v>0</v>
      </c>
      <c r="R73" s="103">
        <f t="shared" si="11"/>
        <v>0</v>
      </c>
      <c r="S73" s="112"/>
      <c r="T73" s="103">
        <v>392902</v>
      </c>
      <c r="U73" s="110"/>
      <c r="V73" s="103">
        <f t="shared" si="12"/>
        <v>392902</v>
      </c>
      <c r="W73" s="110"/>
      <c r="X73" s="103">
        <f t="shared" si="13"/>
        <v>1028387.04</v>
      </c>
      <c r="Y73" s="110"/>
      <c r="Z73" s="103">
        <f t="shared" si="14"/>
        <v>91007.70265486726</v>
      </c>
      <c r="AA73" s="112"/>
      <c r="AB73" s="111">
        <f t="shared" si="15"/>
        <v>6.4</v>
      </c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</row>
    <row r="74" spans="1:148" ht="12.75">
      <c r="A74" s="123">
        <v>344</v>
      </c>
      <c r="B74" s="100"/>
      <c r="C74" s="101" t="s">
        <v>220</v>
      </c>
      <c r="D74" s="101"/>
      <c r="E74" s="103">
        <v>843098.99</v>
      </c>
      <c r="F74" s="101"/>
      <c r="G74" s="104" t="s">
        <v>202</v>
      </c>
      <c r="H74" s="105">
        <v>15</v>
      </c>
      <c r="I74" s="105" t="s">
        <v>191</v>
      </c>
      <c r="J74" s="104"/>
      <c r="K74" s="106">
        <v>7.2</v>
      </c>
      <c r="L74" s="101"/>
      <c r="M74" s="107" t="s">
        <v>146</v>
      </c>
      <c r="N74" s="112"/>
      <c r="O74" s="108">
        <v>-3</v>
      </c>
      <c r="P74" s="113"/>
      <c r="Q74" s="109">
        <f t="shared" si="10"/>
        <v>3512.912458333333</v>
      </c>
      <c r="R74" s="103">
        <f t="shared" si="11"/>
        <v>16008.91207331971</v>
      </c>
      <c r="S74" s="112"/>
      <c r="T74" s="103">
        <v>357103</v>
      </c>
      <c r="U74" s="110"/>
      <c r="V74" s="103">
        <f t="shared" si="12"/>
        <v>373111.9120733197</v>
      </c>
      <c r="W74" s="110"/>
      <c r="X74" s="103">
        <f t="shared" si="13"/>
        <v>469987.0779266803</v>
      </c>
      <c r="Y74" s="110"/>
      <c r="Z74" s="103">
        <f t="shared" si="14"/>
        <v>65275.98304537226</v>
      </c>
      <c r="AA74" s="112"/>
      <c r="AB74" s="111">
        <f t="shared" si="15"/>
        <v>7.74</v>
      </c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</row>
    <row r="75" spans="1:148" ht="12.75">
      <c r="A75" s="123">
        <v>345</v>
      </c>
      <c r="B75" s="100"/>
      <c r="C75" s="101" t="s">
        <v>221</v>
      </c>
      <c r="D75" s="101"/>
      <c r="E75" s="103">
        <v>1589810.84</v>
      </c>
      <c r="F75" s="101"/>
      <c r="G75" s="104" t="s">
        <v>222</v>
      </c>
      <c r="H75" s="105">
        <v>18</v>
      </c>
      <c r="I75" s="105" t="s">
        <v>215</v>
      </c>
      <c r="J75" s="104"/>
      <c r="K75" s="106">
        <v>12.3</v>
      </c>
      <c r="L75" s="101"/>
      <c r="M75" s="107" t="s">
        <v>223</v>
      </c>
      <c r="N75" s="112"/>
      <c r="O75" s="108">
        <v>24</v>
      </c>
      <c r="P75" s="113"/>
      <c r="Q75" s="109">
        <f t="shared" si="10"/>
        <v>0</v>
      </c>
      <c r="R75" s="103">
        <f t="shared" si="11"/>
        <v>0</v>
      </c>
      <c r="S75" s="112"/>
      <c r="T75" s="103">
        <v>274367</v>
      </c>
      <c r="U75" s="110"/>
      <c r="V75" s="103">
        <f t="shared" si="12"/>
        <v>274367</v>
      </c>
      <c r="W75" s="110"/>
      <c r="X75" s="103">
        <f t="shared" si="13"/>
        <v>917991.1300000001</v>
      </c>
      <c r="Y75" s="110"/>
      <c r="Z75" s="103">
        <f t="shared" si="14"/>
        <v>74633.42520325205</v>
      </c>
      <c r="AA75" s="112"/>
      <c r="AB75" s="111">
        <f t="shared" si="15"/>
        <v>4.69</v>
      </c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</row>
    <row r="76" spans="1:148" ht="12.75">
      <c r="A76" s="123">
        <v>346.1</v>
      </c>
      <c r="B76" s="100"/>
      <c r="C76" s="101" t="s">
        <v>224</v>
      </c>
      <c r="D76" s="101"/>
      <c r="E76" s="103">
        <v>1931144.48</v>
      </c>
      <c r="F76" s="101"/>
      <c r="G76" s="104" t="s">
        <v>202</v>
      </c>
      <c r="H76" s="105">
        <v>15</v>
      </c>
      <c r="I76" s="105" t="s">
        <v>191</v>
      </c>
      <c r="J76" s="104"/>
      <c r="K76" s="106">
        <v>7.6</v>
      </c>
      <c r="L76" s="101"/>
      <c r="M76" s="107" t="s">
        <v>146</v>
      </c>
      <c r="N76" s="112"/>
      <c r="O76" s="108">
        <v>0</v>
      </c>
      <c r="P76" s="113"/>
      <c r="Q76" s="109">
        <f t="shared" si="10"/>
        <v>0</v>
      </c>
      <c r="R76" s="103">
        <f t="shared" si="11"/>
        <v>0</v>
      </c>
      <c r="S76" s="112"/>
      <c r="T76" s="103">
        <v>912722</v>
      </c>
      <c r="U76" s="110"/>
      <c r="V76" s="103">
        <f t="shared" si="12"/>
        <v>912722</v>
      </c>
      <c r="W76" s="110"/>
      <c r="X76" s="103">
        <f t="shared" si="13"/>
        <v>1018422.48</v>
      </c>
      <c r="Y76" s="110"/>
      <c r="Z76" s="103">
        <f t="shared" si="14"/>
        <v>134002.95789473684</v>
      </c>
      <c r="AA76" s="112"/>
      <c r="AB76" s="111">
        <f t="shared" si="15"/>
        <v>6.94</v>
      </c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</row>
    <row r="77" spans="1:148" ht="12.75">
      <c r="A77" s="99">
        <v>347</v>
      </c>
      <c r="B77" s="100"/>
      <c r="C77" s="101" t="s">
        <v>225</v>
      </c>
      <c r="D77" s="101"/>
      <c r="E77" s="103">
        <v>1262276.87</v>
      </c>
      <c r="F77" s="101"/>
      <c r="G77" s="104" t="s">
        <v>194</v>
      </c>
      <c r="H77" s="105">
        <v>20</v>
      </c>
      <c r="I77" s="105" t="s">
        <v>191</v>
      </c>
      <c r="J77" s="104"/>
      <c r="K77" s="106">
        <v>14.2</v>
      </c>
      <c r="L77" s="101"/>
      <c r="M77" s="107" t="s">
        <v>146</v>
      </c>
      <c r="N77" s="112"/>
      <c r="O77" s="108">
        <v>0</v>
      </c>
      <c r="P77" s="113"/>
      <c r="Q77" s="109">
        <f t="shared" si="10"/>
        <v>0</v>
      </c>
      <c r="R77" s="103">
        <f t="shared" si="11"/>
        <v>0</v>
      </c>
      <c r="S77" s="112"/>
      <c r="T77" s="103">
        <v>259545</v>
      </c>
      <c r="U77" s="110"/>
      <c r="V77" s="103">
        <f t="shared" si="12"/>
        <v>259545</v>
      </c>
      <c r="W77" s="110"/>
      <c r="X77" s="103">
        <f t="shared" si="13"/>
        <v>1002731.8700000001</v>
      </c>
      <c r="Y77" s="110"/>
      <c r="Z77" s="103">
        <f t="shared" si="14"/>
        <v>70614.92042253523</v>
      </c>
      <c r="AA77" s="112"/>
      <c r="AB77" s="111">
        <f t="shared" si="15"/>
        <v>5.59</v>
      </c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</row>
    <row r="78" spans="1:148" ht="12.75">
      <c r="A78" s="99">
        <v>348</v>
      </c>
      <c r="B78" s="100"/>
      <c r="C78" s="101" t="s">
        <v>226</v>
      </c>
      <c r="D78" s="101"/>
      <c r="E78" s="114">
        <v>138484.58</v>
      </c>
      <c r="F78" s="101"/>
      <c r="G78" s="104" t="s">
        <v>194</v>
      </c>
      <c r="H78" s="105">
        <v>20</v>
      </c>
      <c r="I78" s="105" t="s">
        <v>191</v>
      </c>
      <c r="J78" s="104"/>
      <c r="K78" s="106">
        <v>10.6</v>
      </c>
      <c r="L78" s="101"/>
      <c r="M78" s="107" t="s">
        <v>146</v>
      </c>
      <c r="N78" s="112"/>
      <c r="O78" s="108">
        <v>0</v>
      </c>
      <c r="P78" s="113"/>
      <c r="Q78" s="115">
        <f t="shared" si="10"/>
        <v>0</v>
      </c>
      <c r="R78" s="114">
        <f t="shared" si="11"/>
        <v>0</v>
      </c>
      <c r="S78" s="112"/>
      <c r="T78" s="114">
        <v>50116</v>
      </c>
      <c r="U78" s="110"/>
      <c r="V78" s="114">
        <f t="shared" si="12"/>
        <v>50116</v>
      </c>
      <c r="W78" s="110"/>
      <c r="X78" s="114">
        <f t="shared" si="13"/>
        <v>88368.57999999999</v>
      </c>
      <c r="Y78" s="110"/>
      <c r="Z78" s="114">
        <f t="shared" si="14"/>
        <v>8336.658490566037</v>
      </c>
      <c r="AA78" s="112"/>
      <c r="AB78" s="111">
        <f t="shared" si="15"/>
        <v>6.02</v>
      </c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</row>
    <row r="79" spans="1:148" ht="12.75">
      <c r="A79" s="123"/>
      <c r="B79" s="100"/>
      <c r="C79" s="101"/>
      <c r="D79" s="101"/>
      <c r="E79" s="129"/>
      <c r="F79" s="101"/>
      <c r="G79" s="104"/>
      <c r="H79" s="105"/>
      <c r="I79" s="105"/>
      <c r="J79" s="104"/>
      <c r="K79" s="106" t="s">
        <v>2</v>
      </c>
      <c r="L79" s="112"/>
      <c r="M79" s="130"/>
      <c r="N79" s="112"/>
      <c r="O79" s="113"/>
      <c r="P79" s="113"/>
      <c r="Q79" s="119"/>
      <c r="R79" s="116"/>
      <c r="S79" s="112"/>
      <c r="T79" s="116"/>
      <c r="U79" s="120"/>
      <c r="V79" s="116"/>
      <c r="W79" s="120"/>
      <c r="X79" s="116"/>
      <c r="Y79" s="120"/>
      <c r="Z79" s="116"/>
      <c r="AA79" s="112"/>
      <c r="AB79" s="111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</row>
    <row r="80" spans="1:148" ht="13.5" thickBot="1">
      <c r="A80" s="123"/>
      <c r="B80" s="100"/>
      <c r="C80" s="102" t="s">
        <v>227</v>
      </c>
      <c r="D80" s="102"/>
      <c r="E80" s="167">
        <f>SUM(E17:E78)-E70-E63-E48-E24-E36</f>
        <v>319004743.40999997</v>
      </c>
      <c r="F80" s="102"/>
      <c r="G80" s="102"/>
      <c r="H80" s="77"/>
      <c r="I80" s="77"/>
      <c r="J80" s="102"/>
      <c r="K80" s="131"/>
      <c r="L80" s="61"/>
      <c r="M80" s="132"/>
      <c r="N80" s="61"/>
      <c r="O80" s="60"/>
      <c r="P80" s="60"/>
      <c r="Q80" s="133">
        <f>SUM(Q17:Q78)-Q70-Q63-Q48-Q24-Q36</f>
        <v>1667047.8092931337</v>
      </c>
      <c r="R80" s="167">
        <v>7597007.36</v>
      </c>
      <c r="S80" s="61"/>
      <c r="T80" s="76">
        <f>SUM(T17:T78)-T70-T63-T48-T24-T36</f>
        <v>75828389</v>
      </c>
      <c r="U80" s="78"/>
      <c r="V80" s="76">
        <f>SUM(V17:V78)-V70-V63-V48-V24-V36</f>
        <v>83425396.36000001</v>
      </c>
      <c r="W80" s="78"/>
      <c r="X80" s="167">
        <f>SUM(X17:X78)-X70-X63-X48-X24-X36</f>
        <v>289626834.39650005</v>
      </c>
      <c r="Y80" s="78"/>
      <c r="Z80" s="167">
        <f>SUM(Z17:Z78)-Z70-Z63-Z48-Z24-Z36</f>
        <v>7448853.66863835</v>
      </c>
      <c r="AA80" s="61"/>
      <c r="AB80" s="111">
        <f>IF(E80="","",ROUND(Z80/E80*100,2))</f>
        <v>2.34</v>
      </c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</row>
    <row r="81" spans="1:148" ht="13.5" thickTop="1">
      <c r="A81" s="123"/>
      <c r="B81" s="100"/>
      <c r="C81" s="101"/>
      <c r="D81" s="101"/>
      <c r="E81" s="134"/>
      <c r="F81" s="101"/>
      <c r="G81" s="101"/>
      <c r="H81" s="135"/>
      <c r="I81" s="135"/>
      <c r="J81" s="101"/>
      <c r="K81" s="106"/>
      <c r="L81" s="112"/>
      <c r="M81" s="136"/>
      <c r="N81" s="112"/>
      <c r="O81" s="113"/>
      <c r="P81" s="113"/>
      <c r="Q81" s="137"/>
      <c r="R81" s="134"/>
      <c r="S81" s="112"/>
      <c r="T81" s="134"/>
      <c r="U81" s="120"/>
      <c r="V81" s="134"/>
      <c r="W81" s="120"/>
      <c r="X81" s="134"/>
      <c r="Y81" s="120"/>
      <c r="Z81" s="134"/>
      <c r="AA81" s="112"/>
      <c r="AB81" s="111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</row>
    <row r="82" spans="1:26" s="141" customFormat="1" ht="12.75">
      <c r="A82" s="138"/>
      <c r="B82" s="139"/>
      <c r="C82" s="140" t="s">
        <v>228</v>
      </c>
      <c r="E82" s="142"/>
      <c r="H82" s="143"/>
      <c r="I82" s="143"/>
      <c r="O82" s="144"/>
      <c r="P82" s="144"/>
      <c r="Q82" s="145"/>
      <c r="R82" s="142"/>
      <c r="T82" s="142"/>
      <c r="U82" s="146"/>
      <c r="V82" s="142"/>
      <c r="W82" s="146"/>
      <c r="X82" s="142"/>
      <c r="Y82" s="146"/>
      <c r="Z82" s="168">
        <v>8234461</v>
      </c>
    </row>
    <row r="83" spans="1:26" s="141" customFormat="1" ht="12.75">
      <c r="A83" s="138"/>
      <c r="B83" s="139"/>
      <c r="E83" s="142"/>
      <c r="H83" s="143"/>
      <c r="I83" s="143"/>
      <c r="O83" s="144"/>
      <c r="P83" s="144"/>
      <c r="Q83" s="145"/>
      <c r="R83" s="142"/>
      <c r="T83" s="142"/>
      <c r="U83" s="146"/>
      <c r="V83" s="142"/>
      <c r="W83" s="146"/>
      <c r="X83" s="142"/>
      <c r="Y83" s="146"/>
      <c r="Z83" s="142"/>
    </row>
    <row r="84" spans="1:26" s="141" customFormat="1" ht="12.75">
      <c r="A84" s="138"/>
      <c r="B84" s="139"/>
      <c r="C84" s="141" t="s">
        <v>229</v>
      </c>
      <c r="E84" s="142"/>
      <c r="H84" s="143"/>
      <c r="I84" s="143"/>
      <c r="O84" s="144"/>
      <c r="P84" s="144"/>
      <c r="Q84" s="145"/>
      <c r="R84" s="142"/>
      <c r="T84" s="142"/>
      <c r="U84" s="146"/>
      <c r="V84" s="142"/>
      <c r="W84" s="146"/>
      <c r="X84" s="142"/>
      <c r="Y84" s="146"/>
      <c r="Z84" s="168">
        <f>+Z82-Z80</f>
        <v>785607.3313616496</v>
      </c>
    </row>
    <row r="86" spans="1:3" ht="12.75">
      <c r="A86" s="91" t="s">
        <v>5</v>
      </c>
      <c r="C86" s="59" t="s">
        <v>255</v>
      </c>
    </row>
    <row r="87" spans="1:3" ht="12.75">
      <c r="A87" s="91" t="s">
        <v>30</v>
      </c>
      <c r="C87" s="59" t="s">
        <v>256</v>
      </c>
    </row>
    <row r="88" spans="1:3" ht="12.75">
      <c r="A88" s="91" t="s">
        <v>51</v>
      </c>
      <c r="C88" s="147" t="s">
        <v>281</v>
      </c>
    </row>
    <row r="89" ht="12.75">
      <c r="A89" s="59"/>
    </row>
    <row r="90" spans="1:3" ht="12.75">
      <c r="A90" s="147" t="s">
        <v>50</v>
      </c>
      <c r="C90" s="59" t="s">
        <v>230</v>
      </c>
    </row>
    <row r="91" ht="12.75">
      <c r="C91" s="59" t="s">
        <v>231</v>
      </c>
    </row>
    <row r="92" ht="12.75">
      <c r="C92" s="59" t="s">
        <v>232</v>
      </c>
    </row>
    <row r="93" ht="12.75">
      <c r="C93" s="59" t="s">
        <v>282</v>
      </c>
    </row>
  </sheetData>
  <mergeCells count="8">
    <mergeCell ref="A1:AB1"/>
    <mergeCell ref="A4:AB4"/>
    <mergeCell ref="A5:AB5"/>
    <mergeCell ref="A6:AB6"/>
    <mergeCell ref="A13:C13"/>
    <mergeCell ref="A14:C14"/>
    <mergeCell ref="O8:Q8"/>
    <mergeCell ref="O9:Q9"/>
  </mergeCells>
  <printOptions/>
  <pageMargins left="0.27" right="0.2" top="1" bottom="0.9" header="0.5" footer="0.5"/>
  <pageSetup firstPageNumber="2" useFirstPageNumber="1" horizontalDpi="600" verticalDpi="600" orientation="landscape" scale="63" r:id="rId1"/>
  <headerFooter alignWithMargins="0">
    <oddHeader>&amp;RExhibit___(MJM-4) Updated
Schedule 3
Page &amp;P of 5</oddHeader>
  </headerFooter>
  <rowBreaks count="1" manualBreakCount="1">
    <brk id="53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E35" sqref="E35"/>
    </sheetView>
  </sheetViews>
  <sheetFormatPr defaultColWidth="8.88671875" defaultRowHeight="15"/>
  <cols>
    <col min="1" max="1" width="7.3359375" style="59" bestFit="1" customWidth="1"/>
    <col min="2" max="2" width="1.5625" style="59" customWidth="1"/>
    <col min="3" max="3" width="8.5546875" style="59" bestFit="1" customWidth="1"/>
    <col min="4" max="4" width="0.9921875" style="59" customWidth="1"/>
    <col min="5" max="5" width="12.4453125" style="59" bestFit="1" customWidth="1"/>
    <col min="6" max="6" width="1.5625" style="59" customWidth="1"/>
    <col min="7" max="7" width="7.88671875" style="59" bestFit="1" customWidth="1"/>
    <col min="8" max="8" width="1.4375" style="59" customWidth="1"/>
    <col min="9" max="9" width="7.3359375" style="59" bestFit="1" customWidth="1"/>
    <col min="10" max="10" width="1.2265625" style="59" customWidth="1"/>
    <col min="11" max="11" width="4.21484375" style="59" bestFit="1" customWidth="1"/>
    <col min="12" max="12" width="1.5625" style="59" customWidth="1"/>
    <col min="13" max="13" width="7.4453125" style="59" bestFit="1" customWidth="1"/>
    <col min="14" max="14" width="9.3359375" style="59" bestFit="1" customWidth="1"/>
    <col min="15" max="16384" width="7.10546875" style="59" customWidth="1"/>
  </cols>
  <sheetData>
    <row r="1" spans="1:14" ht="12.75">
      <c r="A1" s="223" t="s">
        <v>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ht="12.75">
      <c r="A2" s="141"/>
    </row>
    <row r="3" spans="1:14" ht="12.75">
      <c r="A3" s="223" t="s">
        <v>233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2.75">
      <c r="A4" s="223" t="s">
        <v>293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11" spans="5:14" ht="12.75">
      <c r="E11" s="28" t="s">
        <v>234</v>
      </c>
      <c r="F11" s="154"/>
      <c r="G11" s="28"/>
      <c r="H11" s="155"/>
      <c r="I11" s="156" t="s">
        <v>103</v>
      </c>
      <c r="J11" s="155"/>
      <c r="K11" s="155"/>
      <c r="L11" s="155"/>
      <c r="M11" s="155" t="s">
        <v>235</v>
      </c>
      <c r="N11" s="28" t="s">
        <v>235</v>
      </c>
    </row>
    <row r="12" spans="5:14" ht="12.75">
      <c r="E12" s="28" t="s">
        <v>236</v>
      </c>
      <c r="F12" s="154"/>
      <c r="G12" s="28"/>
      <c r="H12" s="155"/>
      <c r="I12" s="156" t="s">
        <v>237</v>
      </c>
      <c r="J12" s="155"/>
      <c r="K12" s="155"/>
      <c r="L12" s="155"/>
      <c r="M12" s="155" t="s">
        <v>238</v>
      </c>
      <c r="N12" s="28" t="s">
        <v>238</v>
      </c>
    </row>
    <row r="13" spans="1:14" ht="12.75">
      <c r="A13" s="222" t="s">
        <v>239</v>
      </c>
      <c r="B13" s="222"/>
      <c r="C13" s="222"/>
      <c r="E13" s="157" t="s">
        <v>240</v>
      </c>
      <c r="F13" s="158"/>
      <c r="G13" s="157" t="s">
        <v>241</v>
      </c>
      <c r="H13" s="159"/>
      <c r="I13" s="160" t="s">
        <v>242</v>
      </c>
      <c r="J13" s="159"/>
      <c r="K13" s="159" t="s">
        <v>257</v>
      </c>
      <c r="L13" s="159"/>
      <c r="M13" s="159" t="s">
        <v>243</v>
      </c>
      <c r="N13" s="157" t="s">
        <v>123</v>
      </c>
    </row>
    <row r="14" spans="5:14" ht="12.75">
      <c r="E14" s="161" t="s">
        <v>244</v>
      </c>
      <c r="F14" s="154"/>
      <c r="G14" s="161" t="s">
        <v>245</v>
      </c>
      <c r="H14" s="155"/>
      <c r="I14" s="162" t="s">
        <v>246</v>
      </c>
      <c r="J14" s="155"/>
      <c r="K14" s="163" t="s">
        <v>247</v>
      </c>
      <c r="L14" s="155"/>
      <c r="M14" s="163" t="s">
        <v>248</v>
      </c>
      <c r="N14" s="161" t="s">
        <v>249</v>
      </c>
    </row>
    <row r="15" spans="5:14" ht="12.75">
      <c r="E15" s="29"/>
      <c r="F15" s="154"/>
      <c r="G15" s="30"/>
      <c r="H15" s="154"/>
      <c r="I15" s="164"/>
      <c r="J15" s="154"/>
      <c r="K15" s="154"/>
      <c r="L15" s="155"/>
      <c r="M15" s="154"/>
      <c r="N15" s="28"/>
    </row>
    <row r="16" spans="5:14" ht="12.75">
      <c r="E16" s="29"/>
      <c r="F16" s="154"/>
      <c r="G16" s="30"/>
      <c r="H16" s="154"/>
      <c r="I16" s="164"/>
      <c r="J16" s="154"/>
      <c r="K16" s="154"/>
      <c r="L16" s="155"/>
      <c r="M16" s="154"/>
      <c r="N16" s="28"/>
    </row>
    <row r="17" spans="1:14" ht="12.75">
      <c r="A17" s="123">
        <v>333</v>
      </c>
      <c r="B17" s="123"/>
      <c r="C17" s="112" t="s">
        <v>178</v>
      </c>
      <c r="E17" s="103">
        <v>35325950.03</v>
      </c>
      <c r="F17" s="154"/>
      <c r="G17" s="165">
        <v>107180</v>
      </c>
      <c r="H17" s="154"/>
      <c r="I17" s="164">
        <f>+G17/E17</f>
        <v>0.003034030221663652</v>
      </c>
      <c r="J17" s="154"/>
      <c r="K17" s="106">
        <v>56.9</v>
      </c>
      <c r="L17" s="155"/>
      <c r="M17" s="164">
        <f>(+K17*I17)*-1</f>
        <v>-0.1726363196126618</v>
      </c>
      <c r="N17" s="165">
        <f>+M17*-1*E17</f>
        <v>6098542</v>
      </c>
    </row>
    <row r="19" spans="3:13" ht="12.75">
      <c r="C19" s="59" t="s">
        <v>258</v>
      </c>
      <c r="M19" s="166">
        <v>-0.2</v>
      </c>
    </row>
    <row r="23" ht="12.75">
      <c r="A23" s="59" t="s">
        <v>50</v>
      </c>
    </row>
    <row r="24" ht="12.75">
      <c r="A24" s="59" t="s">
        <v>250</v>
      </c>
    </row>
    <row r="27" spans="1:3" ht="12.75">
      <c r="A27" s="59" t="s">
        <v>259</v>
      </c>
      <c r="C27" s="59" t="s">
        <v>260</v>
      </c>
    </row>
    <row r="28" ht="12.75">
      <c r="C28" s="59" t="s">
        <v>261</v>
      </c>
    </row>
  </sheetData>
  <mergeCells count="4">
    <mergeCell ref="A13:C13"/>
    <mergeCell ref="A1:N1"/>
    <mergeCell ref="A3:N3"/>
    <mergeCell ref="A4:N4"/>
  </mergeCells>
  <printOptions/>
  <pageMargins left="0.75" right="0.75" top="1.31" bottom="1" header="0.5" footer="0.5"/>
  <pageSetup horizontalDpi="600" verticalDpi="600" orientation="portrait" scale="98" r:id="rId1"/>
  <headerFooter alignWithMargins="0">
    <oddHeader>&amp;RExhibit___(MJM-4) Updated
Schedule 3
Page 4 of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workbookViewId="0" topLeftCell="A1">
      <selection activeCell="E35" sqref="E35"/>
    </sheetView>
  </sheetViews>
  <sheetFormatPr defaultColWidth="8.88671875" defaultRowHeight="15"/>
  <cols>
    <col min="1" max="1" width="11.88671875" style="51" customWidth="1"/>
    <col min="2" max="2" width="1.33203125" style="51" customWidth="1"/>
    <col min="3" max="3" width="41.88671875" style="51" bestFit="1" customWidth="1"/>
    <col min="4" max="4" width="11.10546875" style="172" customWidth="1"/>
    <col min="5" max="5" width="1.99609375" style="51" customWidth="1"/>
    <col min="6" max="6" width="7.77734375" style="172" bestFit="1" customWidth="1"/>
    <col min="7" max="7" width="7.5546875" style="51" bestFit="1" customWidth="1"/>
    <col min="8" max="8" width="1.1171875" style="51" customWidth="1"/>
    <col min="9" max="9" width="7.77734375" style="172" bestFit="1" customWidth="1"/>
    <col min="10" max="10" width="7.5546875" style="51" bestFit="1" customWidth="1"/>
    <col min="11" max="11" width="1.66796875" style="51" customWidth="1"/>
    <col min="12" max="12" width="7.77734375" style="172" bestFit="1" customWidth="1"/>
    <col min="13" max="13" width="7.5546875" style="51" bestFit="1" customWidth="1"/>
    <col min="14" max="14" width="1.5625" style="51" customWidth="1"/>
    <col min="15" max="15" width="8.77734375" style="51" bestFit="1" customWidth="1"/>
    <col min="16" max="16384" width="8.88671875" style="51" customWidth="1"/>
  </cols>
  <sheetData>
    <row r="1" spans="1:30" ht="12.75">
      <c r="A1" s="221" t="s">
        <v>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3" spans="1:15" ht="12.75">
      <c r="A3" s="221" t="s">
        <v>262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2.75">
      <c r="A4" s="221" t="s">
        <v>269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6" spans="4:15" ht="12.75">
      <c r="D6" s="182" t="s">
        <v>263</v>
      </c>
      <c r="F6" s="227" t="s">
        <v>265</v>
      </c>
      <c r="G6" s="228"/>
      <c r="I6" s="227" t="s">
        <v>267</v>
      </c>
      <c r="J6" s="228"/>
      <c r="L6" s="227" t="s">
        <v>268</v>
      </c>
      <c r="M6" s="228"/>
      <c r="O6" s="52" t="s">
        <v>252</v>
      </c>
    </row>
    <row r="7" spans="1:15" s="181" customFormat="1" ht="12.75">
      <c r="A7" s="224" t="s">
        <v>239</v>
      </c>
      <c r="B7" s="225"/>
      <c r="C7" s="226"/>
      <c r="D7" s="180" t="s">
        <v>264</v>
      </c>
      <c r="E7" s="179"/>
      <c r="F7" s="180" t="s">
        <v>123</v>
      </c>
      <c r="G7" s="181" t="s">
        <v>266</v>
      </c>
      <c r="I7" s="180" t="s">
        <v>123</v>
      </c>
      <c r="J7" s="183" t="s">
        <v>266</v>
      </c>
      <c r="K7" s="183"/>
      <c r="L7" s="184" t="s">
        <v>123</v>
      </c>
      <c r="M7" s="183" t="s">
        <v>266</v>
      </c>
      <c r="O7" s="183" t="s">
        <v>270</v>
      </c>
    </row>
    <row r="8" spans="1:15" ht="12.75">
      <c r="A8" s="170"/>
      <c r="B8" s="170"/>
      <c r="C8" s="170"/>
      <c r="D8" s="185" t="s">
        <v>244</v>
      </c>
      <c r="E8" s="170"/>
      <c r="F8" s="185" t="s">
        <v>245</v>
      </c>
      <c r="G8" s="171" t="s">
        <v>246</v>
      </c>
      <c r="I8" s="185" t="s">
        <v>247</v>
      </c>
      <c r="J8" s="186" t="s">
        <v>273</v>
      </c>
      <c r="K8" s="52"/>
      <c r="L8" s="182" t="s">
        <v>274</v>
      </c>
      <c r="M8" s="52" t="s">
        <v>275</v>
      </c>
      <c r="O8" s="186" t="s">
        <v>276</v>
      </c>
    </row>
    <row r="9" spans="1:9" ht="12.75">
      <c r="A9" s="170"/>
      <c r="B9" s="170"/>
      <c r="C9" s="170"/>
      <c r="D9" s="173"/>
      <c r="E9" s="170"/>
      <c r="F9" s="173"/>
      <c r="I9" s="173"/>
    </row>
    <row r="10" spans="1:15" ht="12.75">
      <c r="A10" s="75"/>
      <c r="B10" s="75"/>
      <c r="C10" s="169" t="s">
        <v>136</v>
      </c>
      <c r="D10" s="174"/>
      <c r="E10" s="169"/>
      <c r="F10" s="174"/>
      <c r="G10" s="66"/>
      <c r="H10" s="66"/>
      <c r="I10" s="92"/>
      <c r="J10" s="66"/>
      <c r="K10" s="66"/>
      <c r="L10" s="92"/>
      <c r="M10" s="66"/>
      <c r="N10" s="66"/>
      <c r="O10" s="66"/>
    </row>
    <row r="11" spans="1:15" ht="12.75">
      <c r="A11" s="99">
        <v>304.1</v>
      </c>
      <c r="B11" s="100"/>
      <c r="C11" s="101" t="s">
        <v>137</v>
      </c>
      <c r="D11" s="175">
        <v>12874</v>
      </c>
      <c r="E11" s="101"/>
      <c r="F11" s="175">
        <v>40557</v>
      </c>
      <c r="G11" s="178">
        <f>+F11/D11</f>
        <v>3.1503029361503807</v>
      </c>
      <c r="H11" s="101"/>
      <c r="I11" s="175">
        <v>0</v>
      </c>
      <c r="J11" s="178">
        <f>+I11/D11</f>
        <v>0</v>
      </c>
      <c r="K11" s="101"/>
      <c r="L11" s="175">
        <f>+I11-F11</f>
        <v>-40557</v>
      </c>
      <c r="M11" s="178">
        <f>+L11/D11</f>
        <v>-3.1503029361503807</v>
      </c>
      <c r="N11" s="101"/>
      <c r="O11" s="107">
        <v>-5</v>
      </c>
    </row>
    <row r="12" spans="1:15" ht="12.75">
      <c r="A12" s="99" t="s">
        <v>271</v>
      </c>
      <c r="B12" s="100"/>
      <c r="C12" s="101" t="s">
        <v>272</v>
      </c>
      <c r="D12" s="175">
        <v>9456</v>
      </c>
      <c r="E12" s="101"/>
      <c r="F12" s="175">
        <v>15570</v>
      </c>
      <c r="G12" s="178">
        <f>+F12/D12</f>
        <v>1.6465736040609138</v>
      </c>
      <c r="H12" s="101"/>
      <c r="I12" s="175">
        <v>0</v>
      </c>
      <c r="J12" s="178">
        <f>+I12/D12</f>
        <v>0</v>
      </c>
      <c r="K12" s="101"/>
      <c r="L12" s="175">
        <f aca="true" t="shared" si="0" ref="L12:L22">+I12-F12</f>
        <v>-15570</v>
      </c>
      <c r="M12" s="178">
        <f>+L12/D12</f>
        <v>-1.6465736040609138</v>
      </c>
      <c r="N12" s="101"/>
      <c r="O12" s="107">
        <v>-20</v>
      </c>
    </row>
    <row r="13" spans="1:15" ht="12.75">
      <c r="A13" s="99">
        <v>304.4</v>
      </c>
      <c r="B13" s="100"/>
      <c r="C13" s="101" t="s">
        <v>144</v>
      </c>
      <c r="D13" s="175"/>
      <c r="E13" s="101"/>
      <c r="F13" s="175"/>
      <c r="G13" s="178"/>
      <c r="H13" s="102"/>
      <c r="I13" s="177"/>
      <c r="J13" s="178"/>
      <c r="K13" s="102"/>
      <c r="L13" s="175"/>
      <c r="M13" s="178"/>
      <c r="N13" s="102"/>
      <c r="O13" s="107" t="s">
        <v>146</v>
      </c>
    </row>
    <row r="14" spans="1:15" ht="12.75">
      <c r="A14" s="99">
        <v>304.6</v>
      </c>
      <c r="B14" s="100"/>
      <c r="C14" s="101" t="s">
        <v>147</v>
      </c>
      <c r="D14" s="175">
        <v>6735</v>
      </c>
      <c r="E14" s="101"/>
      <c r="F14" s="175">
        <v>0</v>
      </c>
      <c r="G14" s="178">
        <f>+F14/D14</f>
        <v>0</v>
      </c>
      <c r="H14" s="101"/>
      <c r="I14" s="175">
        <v>0</v>
      </c>
      <c r="J14" s="178">
        <f>+I14/D14</f>
        <v>0</v>
      </c>
      <c r="K14" s="101"/>
      <c r="L14" s="175">
        <f t="shared" si="0"/>
        <v>0</v>
      </c>
      <c r="M14" s="178">
        <f>+L14/D14</f>
        <v>0</v>
      </c>
      <c r="N14" s="101"/>
      <c r="O14" s="107">
        <v>-5</v>
      </c>
    </row>
    <row r="15" spans="1:15" ht="12.75">
      <c r="A15" s="99">
        <v>304.7</v>
      </c>
      <c r="B15" s="100"/>
      <c r="C15" s="101" t="s">
        <v>150</v>
      </c>
      <c r="D15" s="175"/>
      <c r="E15" s="101"/>
      <c r="F15" s="175"/>
      <c r="G15" s="178"/>
      <c r="H15" s="101"/>
      <c r="I15" s="175"/>
      <c r="J15" s="178"/>
      <c r="K15" s="101"/>
      <c r="L15" s="175"/>
      <c r="M15" s="178"/>
      <c r="N15" s="101"/>
      <c r="O15" s="107" t="s">
        <v>146</v>
      </c>
    </row>
    <row r="16" spans="1:15" ht="12.75">
      <c r="A16" s="99">
        <v>304.8</v>
      </c>
      <c r="B16" s="100"/>
      <c r="C16" s="101" t="s">
        <v>152</v>
      </c>
      <c r="D16" s="175">
        <v>25692</v>
      </c>
      <c r="E16" s="101"/>
      <c r="F16" s="175">
        <v>3571</v>
      </c>
      <c r="G16" s="178">
        <f>+F16/D16</f>
        <v>0.13899268254709637</v>
      </c>
      <c r="H16" s="101"/>
      <c r="I16" s="175">
        <v>0</v>
      </c>
      <c r="J16" s="178">
        <f>+I16/D16</f>
        <v>0</v>
      </c>
      <c r="K16" s="101"/>
      <c r="L16" s="175">
        <f t="shared" si="0"/>
        <v>-3571</v>
      </c>
      <c r="M16" s="178">
        <f>+L16/D16</f>
        <v>-0.13899268254709637</v>
      </c>
      <c r="N16" s="101"/>
      <c r="O16" s="107" t="s">
        <v>146</v>
      </c>
    </row>
    <row r="17" spans="1:15" ht="12.75">
      <c r="A17" s="99"/>
      <c r="B17" s="100"/>
      <c r="C17" s="101"/>
      <c r="D17" s="175"/>
      <c r="E17" s="101"/>
      <c r="F17" s="175"/>
      <c r="G17" s="178"/>
      <c r="H17" s="101"/>
      <c r="I17" s="175"/>
      <c r="J17" s="178"/>
      <c r="K17" s="101"/>
      <c r="L17" s="175">
        <f t="shared" si="0"/>
        <v>0</v>
      </c>
      <c r="M17" s="178"/>
      <c r="N17" s="101"/>
      <c r="O17" s="117"/>
    </row>
    <row r="18" spans="1:15" ht="12.75">
      <c r="A18" s="99">
        <v>305</v>
      </c>
      <c r="B18" s="100"/>
      <c r="C18" s="101" t="s">
        <v>156</v>
      </c>
      <c r="D18" s="175"/>
      <c r="E18" s="101"/>
      <c r="F18" s="175"/>
      <c r="G18" s="178"/>
      <c r="H18" s="101"/>
      <c r="I18" s="175"/>
      <c r="J18" s="178"/>
      <c r="K18" s="101"/>
      <c r="L18" s="175">
        <f t="shared" si="0"/>
        <v>0</v>
      </c>
      <c r="M18" s="178"/>
      <c r="N18" s="101"/>
      <c r="O18" s="107" t="s">
        <v>146</v>
      </c>
    </row>
    <row r="19" spans="1:15" ht="12.75">
      <c r="A19" s="99">
        <v>306</v>
      </c>
      <c r="B19" s="100"/>
      <c r="C19" s="101" t="s">
        <v>159</v>
      </c>
      <c r="D19" s="175"/>
      <c r="E19" s="101"/>
      <c r="F19" s="175"/>
      <c r="G19" s="178"/>
      <c r="H19" s="101"/>
      <c r="I19" s="175"/>
      <c r="J19" s="178"/>
      <c r="K19" s="101"/>
      <c r="L19" s="175">
        <f t="shared" si="0"/>
        <v>0</v>
      </c>
      <c r="M19" s="178"/>
      <c r="N19" s="101"/>
      <c r="O19" s="107" t="s">
        <v>146</v>
      </c>
    </row>
    <row r="20" spans="1:15" ht="12.75">
      <c r="A20" s="99">
        <v>309</v>
      </c>
      <c r="B20" s="100"/>
      <c r="C20" s="101" t="s">
        <v>161</v>
      </c>
      <c r="D20" s="175">
        <v>0</v>
      </c>
      <c r="E20" s="101"/>
      <c r="F20" s="175">
        <v>0</v>
      </c>
      <c r="G20" s="178">
        <v>0</v>
      </c>
      <c r="H20" s="101"/>
      <c r="I20" s="175">
        <v>0</v>
      </c>
      <c r="J20" s="178">
        <v>0</v>
      </c>
      <c r="K20" s="101"/>
      <c r="L20" s="175">
        <f t="shared" si="0"/>
        <v>0</v>
      </c>
      <c r="M20" s="178">
        <v>0</v>
      </c>
      <c r="N20" s="101"/>
      <c r="O20" s="107">
        <v>-10</v>
      </c>
    </row>
    <row r="21" spans="1:15" ht="12.75">
      <c r="A21" s="99">
        <v>310.1</v>
      </c>
      <c r="B21" s="100"/>
      <c r="C21" s="101" t="s">
        <v>164</v>
      </c>
      <c r="D21" s="175"/>
      <c r="E21" s="101"/>
      <c r="F21" s="175"/>
      <c r="G21" s="178"/>
      <c r="H21" s="101"/>
      <c r="I21" s="175"/>
      <c r="J21" s="178"/>
      <c r="K21" s="101"/>
      <c r="L21" s="175">
        <f t="shared" si="0"/>
        <v>0</v>
      </c>
      <c r="M21" s="178"/>
      <c r="N21" s="101"/>
      <c r="O21" s="107" t="s">
        <v>146</v>
      </c>
    </row>
    <row r="22" spans="1:15" ht="12.75">
      <c r="A22" s="99">
        <v>311</v>
      </c>
      <c r="B22" s="100"/>
      <c r="C22" s="101" t="s">
        <v>166</v>
      </c>
      <c r="D22" s="175">
        <v>18642</v>
      </c>
      <c r="E22" s="101"/>
      <c r="F22" s="175">
        <v>7839</v>
      </c>
      <c r="G22" s="178">
        <f aca="true" t="shared" si="1" ref="G22:G27">+F22/D22</f>
        <v>0.4205020920502092</v>
      </c>
      <c r="H22" s="101"/>
      <c r="I22" s="175">
        <v>-350</v>
      </c>
      <c r="J22" s="178">
        <f aca="true" t="shared" si="2" ref="J22:J27">+I22/D22</f>
        <v>-0.01877480956978865</v>
      </c>
      <c r="K22" s="101"/>
      <c r="L22" s="175">
        <f t="shared" si="0"/>
        <v>-8189</v>
      </c>
      <c r="M22" s="178">
        <f>+L22/D22</f>
        <v>-0.43927690161999783</v>
      </c>
      <c r="N22" s="101"/>
      <c r="O22" s="107">
        <v>-15</v>
      </c>
    </row>
    <row r="23" spans="1:15" ht="12.75">
      <c r="A23" s="123">
        <v>320.1</v>
      </c>
      <c r="B23" s="100"/>
      <c r="C23" s="112" t="s">
        <v>172</v>
      </c>
      <c r="D23" s="116">
        <v>39508</v>
      </c>
      <c r="E23" s="112"/>
      <c r="F23" s="116">
        <v>3599</v>
      </c>
      <c r="G23" s="178">
        <f t="shared" si="1"/>
        <v>0.09109547433431203</v>
      </c>
      <c r="H23" s="101"/>
      <c r="I23" s="175">
        <v>0</v>
      </c>
      <c r="J23" s="178">
        <f t="shared" si="2"/>
        <v>0</v>
      </c>
      <c r="K23" s="101"/>
      <c r="L23" s="175">
        <f aca="true" t="shared" si="3" ref="L23:L29">+I23-F23</f>
        <v>-3599</v>
      </c>
      <c r="M23" s="178">
        <f aca="true" t="shared" si="4" ref="M23:M29">+L23/D23</f>
        <v>-0.09109547433431203</v>
      </c>
      <c r="N23" s="101"/>
      <c r="O23" s="107">
        <v>-15</v>
      </c>
    </row>
    <row r="24" spans="1:15" ht="12.75">
      <c r="A24" s="123">
        <v>330.1</v>
      </c>
      <c r="B24" s="100"/>
      <c r="C24" s="112" t="s">
        <v>174</v>
      </c>
      <c r="D24" s="116">
        <v>6370</v>
      </c>
      <c r="E24" s="112"/>
      <c r="F24" s="116">
        <v>4090</v>
      </c>
      <c r="G24" s="178">
        <f t="shared" si="1"/>
        <v>0.6420722135007849</v>
      </c>
      <c r="H24" s="101"/>
      <c r="I24" s="175">
        <v>0</v>
      </c>
      <c r="J24" s="178">
        <f t="shared" si="2"/>
        <v>0</v>
      </c>
      <c r="K24" s="101"/>
      <c r="L24" s="175">
        <f t="shared" si="3"/>
        <v>-4090</v>
      </c>
      <c r="M24" s="178">
        <f t="shared" si="4"/>
        <v>-0.6420722135007849</v>
      </c>
      <c r="N24" s="101"/>
      <c r="O24" s="107">
        <v>-30</v>
      </c>
    </row>
    <row r="25" spans="1:15" ht="12.75">
      <c r="A25" s="123">
        <v>331</v>
      </c>
      <c r="B25" s="100"/>
      <c r="C25" s="112" t="s">
        <v>176</v>
      </c>
      <c r="D25" s="116">
        <v>176763</v>
      </c>
      <c r="E25" s="112"/>
      <c r="F25" s="116">
        <v>46965</v>
      </c>
      <c r="G25" s="178">
        <f t="shared" si="1"/>
        <v>0.26569474380950764</v>
      </c>
      <c r="H25" s="101"/>
      <c r="I25" s="175">
        <v>1243</v>
      </c>
      <c r="J25" s="178">
        <f t="shared" si="2"/>
        <v>0.007032014618443905</v>
      </c>
      <c r="K25" s="101"/>
      <c r="L25" s="175">
        <f t="shared" si="3"/>
        <v>-45722</v>
      </c>
      <c r="M25" s="178">
        <f t="shared" si="4"/>
        <v>-0.25866272919106376</v>
      </c>
      <c r="N25" s="101"/>
      <c r="O25" s="107">
        <v>-20</v>
      </c>
    </row>
    <row r="26" spans="1:15" ht="12.75">
      <c r="A26" s="123">
        <v>333</v>
      </c>
      <c r="B26" s="100"/>
      <c r="C26" s="112" t="s">
        <v>178</v>
      </c>
      <c r="D26" s="116">
        <v>28233</v>
      </c>
      <c r="E26" s="112"/>
      <c r="F26" s="116">
        <v>107180</v>
      </c>
      <c r="G26" s="178">
        <f t="shared" si="1"/>
        <v>3.796266780009209</v>
      </c>
      <c r="H26" s="101"/>
      <c r="I26" s="175">
        <v>0</v>
      </c>
      <c r="J26" s="178">
        <f t="shared" si="2"/>
        <v>0</v>
      </c>
      <c r="K26" s="101"/>
      <c r="L26" s="175">
        <f t="shared" si="3"/>
        <v>-107180</v>
      </c>
      <c r="M26" s="178">
        <f t="shared" si="4"/>
        <v>-3.796266780009209</v>
      </c>
      <c r="N26" s="101"/>
      <c r="O26" s="107">
        <v>-120</v>
      </c>
    </row>
    <row r="27" spans="1:15" ht="12.75">
      <c r="A27" s="123">
        <v>334</v>
      </c>
      <c r="B27" s="100"/>
      <c r="C27" s="101" t="s">
        <v>180</v>
      </c>
      <c r="D27" s="175">
        <v>214349</v>
      </c>
      <c r="E27" s="101"/>
      <c r="F27" s="175">
        <v>57065</v>
      </c>
      <c r="G27" s="178">
        <f t="shared" si="1"/>
        <v>0.2662247083028146</v>
      </c>
      <c r="H27" s="101"/>
      <c r="I27" s="175">
        <v>4406</v>
      </c>
      <c r="J27" s="178">
        <f t="shared" si="2"/>
        <v>0.020555262679088776</v>
      </c>
      <c r="K27" s="101"/>
      <c r="L27" s="175">
        <f t="shared" si="3"/>
        <v>-52659</v>
      </c>
      <c r="M27" s="178">
        <f t="shared" si="4"/>
        <v>-0.24566944562372578</v>
      </c>
      <c r="N27" s="101"/>
      <c r="O27" s="107">
        <v>-10</v>
      </c>
    </row>
    <row r="28" spans="1:15" ht="12.75">
      <c r="A28" s="123">
        <v>334.2</v>
      </c>
      <c r="B28" s="100"/>
      <c r="C28" s="101" t="s">
        <v>186</v>
      </c>
      <c r="D28" s="175"/>
      <c r="E28" s="101"/>
      <c r="F28" s="175"/>
      <c r="G28" s="178"/>
      <c r="H28" s="101"/>
      <c r="I28" s="175"/>
      <c r="J28" s="178"/>
      <c r="K28" s="101"/>
      <c r="L28" s="175"/>
      <c r="M28" s="178"/>
      <c r="N28" s="101"/>
      <c r="O28" s="107">
        <v>-10</v>
      </c>
    </row>
    <row r="29" spans="1:15" ht="12.75">
      <c r="A29" s="123">
        <v>335</v>
      </c>
      <c r="B29" s="100"/>
      <c r="C29" s="101" t="s">
        <v>187</v>
      </c>
      <c r="D29" s="175">
        <v>13086</v>
      </c>
      <c r="E29" s="101"/>
      <c r="F29" s="175">
        <v>767</v>
      </c>
      <c r="G29" s="178">
        <f>+F29/D29</f>
        <v>0.05861225737429314</v>
      </c>
      <c r="H29" s="101"/>
      <c r="I29" s="175">
        <v>0</v>
      </c>
      <c r="J29" s="178">
        <f>+I29/D29</f>
        <v>0</v>
      </c>
      <c r="K29" s="101"/>
      <c r="L29" s="175">
        <f t="shared" si="3"/>
        <v>-767</v>
      </c>
      <c r="M29" s="178">
        <f t="shared" si="4"/>
        <v>-0.05861225737429314</v>
      </c>
      <c r="N29" s="101"/>
      <c r="O29" s="107">
        <v>-25</v>
      </c>
    </row>
    <row r="30" spans="1:15" ht="12.75">
      <c r="A30" s="123">
        <v>339.1</v>
      </c>
      <c r="B30" s="100"/>
      <c r="C30" s="101" t="s">
        <v>189</v>
      </c>
      <c r="D30" s="175"/>
      <c r="E30" s="101"/>
      <c r="F30" s="175"/>
      <c r="G30" s="178"/>
      <c r="H30" s="101"/>
      <c r="I30" s="175"/>
      <c r="J30" s="178"/>
      <c r="K30" s="101"/>
      <c r="L30" s="175"/>
      <c r="M30" s="178"/>
      <c r="N30" s="101"/>
      <c r="O30" s="107" t="s">
        <v>146</v>
      </c>
    </row>
    <row r="31" spans="1:15" ht="12.75">
      <c r="A31" s="123"/>
      <c r="B31" s="100"/>
      <c r="C31" s="101"/>
      <c r="D31" s="175"/>
      <c r="E31" s="101"/>
      <c r="F31" s="175"/>
      <c r="G31" s="178"/>
      <c r="H31" s="101"/>
      <c r="I31" s="175"/>
      <c r="J31" s="178"/>
      <c r="K31" s="101"/>
      <c r="L31" s="175"/>
      <c r="M31" s="178"/>
      <c r="N31" s="101"/>
      <c r="O31" s="117"/>
    </row>
    <row r="32" spans="1:15" ht="12.75">
      <c r="A32" s="123"/>
      <c r="B32" s="100"/>
      <c r="C32" s="122" t="s">
        <v>192</v>
      </c>
      <c r="D32" s="176"/>
      <c r="E32" s="122"/>
      <c r="F32" s="176"/>
      <c r="G32" s="178"/>
      <c r="H32" s="101"/>
      <c r="I32" s="175"/>
      <c r="J32" s="178"/>
      <c r="K32" s="101"/>
      <c r="L32" s="175"/>
      <c r="M32" s="178"/>
      <c r="N32" s="101"/>
      <c r="O32" s="117"/>
    </row>
    <row r="33" spans="1:15" ht="12.75">
      <c r="A33" s="123">
        <v>340.1</v>
      </c>
      <c r="B33" s="100"/>
      <c r="C33" s="101" t="s">
        <v>193</v>
      </c>
      <c r="D33" s="175"/>
      <c r="E33" s="101"/>
      <c r="F33" s="175"/>
      <c r="G33" s="178"/>
      <c r="H33" s="101"/>
      <c r="I33" s="175"/>
      <c r="J33" s="178"/>
      <c r="K33" s="101"/>
      <c r="L33" s="175"/>
      <c r="M33" s="178"/>
      <c r="N33" s="101"/>
      <c r="O33" s="107" t="s">
        <v>146</v>
      </c>
    </row>
    <row r="34" spans="1:15" ht="12.75">
      <c r="A34" s="123">
        <v>340.21</v>
      </c>
      <c r="B34" s="100"/>
      <c r="C34" s="101" t="s">
        <v>195</v>
      </c>
      <c r="D34" s="175"/>
      <c r="E34" s="101"/>
      <c r="F34" s="175"/>
      <c r="G34" s="178"/>
      <c r="H34" s="101"/>
      <c r="I34" s="175"/>
      <c r="J34" s="178"/>
      <c r="K34" s="101"/>
      <c r="L34" s="175"/>
      <c r="M34" s="178"/>
      <c r="N34" s="101"/>
      <c r="O34" s="107" t="s">
        <v>146</v>
      </c>
    </row>
    <row r="35" spans="1:15" ht="12.75">
      <c r="A35" s="123">
        <v>340.22</v>
      </c>
      <c r="B35" s="100"/>
      <c r="C35" s="101" t="s">
        <v>196</v>
      </c>
      <c r="D35" s="175"/>
      <c r="E35" s="101"/>
      <c r="F35" s="175"/>
      <c r="G35" s="178"/>
      <c r="H35" s="101"/>
      <c r="I35" s="175"/>
      <c r="J35" s="178"/>
      <c r="K35" s="101"/>
      <c r="L35" s="175"/>
      <c r="M35" s="178"/>
      <c r="N35" s="101"/>
      <c r="O35" s="107" t="s">
        <v>146</v>
      </c>
    </row>
    <row r="36" spans="1:15" ht="12.75">
      <c r="A36" s="123">
        <v>340.23</v>
      </c>
      <c r="B36" s="100"/>
      <c r="C36" s="101" t="s">
        <v>197</v>
      </c>
      <c r="D36" s="175"/>
      <c r="E36" s="101"/>
      <c r="F36" s="175"/>
      <c r="G36" s="178"/>
      <c r="H36" s="101"/>
      <c r="I36" s="175"/>
      <c r="J36" s="178"/>
      <c r="K36" s="101"/>
      <c r="L36" s="175"/>
      <c r="M36" s="178"/>
      <c r="N36" s="101"/>
      <c r="O36" s="107" t="s">
        <v>146</v>
      </c>
    </row>
    <row r="37" spans="1:15" ht="12.75">
      <c r="A37" s="123">
        <v>340.3</v>
      </c>
      <c r="B37" s="100"/>
      <c r="C37" s="101" t="s">
        <v>198</v>
      </c>
      <c r="D37" s="175"/>
      <c r="E37" s="101"/>
      <c r="F37" s="175"/>
      <c r="G37" s="178"/>
      <c r="H37" s="101"/>
      <c r="I37" s="175"/>
      <c r="J37" s="178"/>
      <c r="K37" s="101"/>
      <c r="L37" s="175"/>
      <c r="M37" s="178"/>
      <c r="N37" s="101"/>
      <c r="O37" s="107" t="s">
        <v>146</v>
      </c>
    </row>
    <row r="38" spans="1:15" ht="12.75">
      <c r="A38" s="123">
        <v>340.32</v>
      </c>
      <c r="B38" s="100"/>
      <c r="C38" s="101" t="s">
        <v>199</v>
      </c>
      <c r="D38" s="175"/>
      <c r="E38" s="101"/>
      <c r="F38" s="175"/>
      <c r="G38" s="178"/>
      <c r="H38" s="101"/>
      <c r="I38" s="175"/>
      <c r="J38" s="178"/>
      <c r="K38" s="101"/>
      <c r="L38" s="175"/>
      <c r="M38" s="178"/>
      <c r="N38" s="101"/>
      <c r="O38" s="107" t="s">
        <v>146</v>
      </c>
    </row>
    <row r="39" spans="1:15" ht="12.75">
      <c r="A39" s="123">
        <v>340.33</v>
      </c>
      <c r="B39" s="100"/>
      <c r="C39" s="101" t="s">
        <v>200</v>
      </c>
      <c r="D39" s="175"/>
      <c r="E39" s="101"/>
      <c r="F39" s="175"/>
      <c r="G39" s="178"/>
      <c r="H39" s="101"/>
      <c r="I39" s="175"/>
      <c r="J39" s="178"/>
      <c r="K39" s="101"/>
      <c r="L39" s="175"/>
      <c r="M39" s="178"/>
      <c r="N39" s="101"/>
      <c r="O39" s="107" t="s">
        <v>146</v>
      </c>
    </row>
    <row r="40" spans="1:15" ht="12.75">
      <c r="A40" s="123">
        <v>340.5</v>
      </c>
      <c r="B40" s="100"/>
      <c r="C40" s="101" t="s">
        <v>201</v>
      </c>
      <c r="D40" s="175"/>
      <c r="E40" s="101"/>
      <c r="F40" s="175"/>
      <c r="G40" s="178"/>
      <c r="H40" s="101"/>
      <c r="I40" s="175"/>
      <c r="J40" s="178"/>
      <c r="K40" s="101"/>
      <c r="L40" s="175"/>
      <c r="M40" s="178"/>
      <c r="N40" s="101"/>
      <c r="O40" s="107" t="s">
        <v>146</v>
      </c>
    </row>
    <row r="41" spans="1:15" ht="12.75">
      <c r="A41" s="123"/>
      <c r="B41" s="100"/>
      <c r="C41" s="101"/>
      <c r="D41" s="175"/>
      <c r="E41" s="101"/>
      <c r="F41" s="175"/>
      <c r="G41" s="178"/>
      <c r="H41" s="101"/>
      <c r="I41" s="175"/>
      <c r="J41" s="178"/>
      <c r="K41" s="101"/>
      <c r="L41" s="175"/>
      <c r="M41" s="178"/>
      <c r="N41" s="101"/>
      <c r="O41" s="117"/>
    </row>
    <row r="42" spans="1:15" ht="12.75">
      <c r="A42" s="123"/>
      <c r="B42" s="100"/>
      <c r="C42" s="122" t="s">
        <v>204</v>
      </c>
      <c r="D42" s="176"/>
      <c r="E42" s="122"/>
      <c r="F42" s="176"/>
      <c r="G42" s="178"/>
      <c r="H42" s="101"/>
      <c r="I42" s="175"/>
      <c r="J42" s="178"/>
      <c r="K42" s="101"/>
      <c r="L42" s="175"/>
      <c r="M42" s="178"/>
      <c r="N42" s="101"/>
      <c r="O42" s="117"/>
    </row>
    <row r="43" spans="1:15" ht="12.75">
      <c r="A43" s="123">
        <v>341.1</v>
      </c>
      <c r="B43" s="100"/>
      <c r="C43" s="101" t="s">
        <v>205</v>
      </c>
      <c r="D43" s="175">
        <v>59237</v>
      </c>
      <c r="E43" s="101"/>
      <c r="F43" s="175">
        <v>-639</v>
      </c>
      <c r="G43" s="178">
        <f>+F43/D43</f>
        <v>-0.010787176933335585</v>
      </c>
      <c r="H43" s="101"/>
      <c r="I43" s="175">
        <v>8664</v>
      </c>
      <c r="J43" s="178">
        <f>+I43/D43</f>
        <v>0.1462599388895454</v>
      </c>
      <c r="K43" s="101"/>
      <c r="L43" s="175">
        <f aca="true" t="shared" si="5" ref="L43:L54">+I43-F43</f>
        <v>9303</v>
      </c>
      <c r="M43" s="178">
        <f>+L43/D43</f>
        <v>0.15704711582288097</v>
      </c>
      <c r="N43" s="101"/>
      <c r="O43" s="107" t="s">
        <v>207</v>
      </c>
    </row>
    <row r="44" spans="1:15" ht="12.75">
      <c r="A44" s="123">
        <v>341.2</v>
      </c>
      <c r="B44" s="100"/>
      <c r="C44" s="101" t="s">
        <v>208</v>
      </c>
      <c r="D44" s="175">
        <v>9532</v>
      </c>
      <c r="E44" s="101"/>
      <c r="F44" s="175">
        <v>456</v>
      </c>
      <c r="G44" s="178">
        <f>+F44/D44</f>
        <v>0.047838858581619806</v>
      </c>
      <c r="H44" s="101"/>
      <c r="I44" s="175">
        <v>1220</v>
      </c>
      <c r="J44" s="178">
        <f>+I44/D44</f>
        <v>0.12798992866135123</v>
      </c>
      <c r="K44" s="101"/>
      <c r="L44" s="175">
        <f t="shared" si="5"/>
        <v>764</v>
      </c>
      <c r="M44" s="178">
        <f>+L44/D44</f>
        <v>0.08015107007973143</v>
      </c>
      <c r="N44" s="101"/>
      <c r="O44" s="107" t="s">
        <v>210</v>
      </c>
    </row>
    <row r="45" spans="1:15" ht="12.75">
      <c r="A45" s="123">
        <v>341.3</v>
      </c>
      <c r="B45" s="100"/>
      <c r="C45" s="101" t="s">
        <v>211</v>
      </c>
      <c r="D45" s="175">
        <v>3003</v>
      </c>
      <c r="E45" s="101"/>
      <c r="F45" s="175">
        <v>140</v>
      </c>
      <c r="G45" s="178">
        <f>+F45/D45</f>
        <v>0.046620046620046623</v>
      </c>
      <c r="H45" s="101"/>
      <c r="I45" s="175">
        <v>0</v>
      </c>
      <c r="J45" s="178">
        <f>+I45/D45</f>
        <v>0</v>
      </c>
      <c r="K45" s="101"/>
      <c r="L45" s="175">
        <f t="shared" si="5"/>
        <v>-140</v>
      </c>
      <c r="M45" s="178">
        <f>+L45/D45</f>
        <v>-0.046620046620046623</v>
      </c>
      <c r="N45" s="101"/>
      <c r="O45" s="107" t="s">
        <v>210</v>
      </c>
    </row>
    <row r="46" spans="1:15" ht="12.75">
      <c r="A46" s="123">
        <v>341.4</v>
      </c>
      <c r="B46" s="100"/>
      <c r="C46" s="101" t="s">
        <v>213</v>
      </c>
      <c r="D46" s="175"/>
      <c r="E46" s="101"/>
      <c r="F46" s="175"/>
      <c r="G46" s="178"/>
      <c r="H46" s="101"/>
      <c r="I46" s="175"/>
      <c r="J46" s="178"/>
      <c r="K46" s="101"/>
      <c r="L46" s="175">
        <f t="shared" si="5"/>
        <v>0</v>
      </c>
      <c r="M46" s="178"/>
      <c r="N46" s="101"/>
      <c r="O46" s="107" t="s">
        <v>146</v>
      </c>
    </row>
    <row r="47" spans="1:15" ht="12.75">
      <c r="A47" s="123"/>
      <c r="B47" s="100"/>
      <c r="C47" s="101"/>
      <c r="D47" s="175"/>
      <c r="E47" s="101"/>
      <c r="F47" s="175"/>
      <c r="G47" s="178"/>
      <c r="H47" s="101"/>
      <c r="I47" s="175"/>
      <c r="J47" s="178"/>
      <c r="K47" s="101"/>
      <c r="L47" s="175">
        <f t="shared" si="5"/>
        <v>0</v>
      </c>
      <c r="M47" s="178"/>
      <c r="N47" s="101"/>
      <c r="O47" s="117"/>
    </row>
    <row r="48" spans="1:15" ht="12.75">
      <c r="A48" s="123">
        <v>342</v>
      </c>
      <c r="B48" s="100"/>
      <c r="C48" s="101" t="s">
        <v>217</v>
      </c>
      <c r="D48" s="175"/>
      <c r="E48" s="101"/>
      <c r="F48" s="175"/>
      <c r="G48" s="178"/>
      <c r="H48" s="101"/>
      <c r="I48" s="175"/>
      <c r="J48" s="178"/>
      <c r="K48" s="101"/>
      <c r="L48" s="175">
        <f t="shared" si="5"/>
        <v>0</v>
      </c>
      <c r="M48" s="178"/>
      <c r="N48" s="101"/>
      <c r="O48" s="107" t="s">
        <v>146</v>
      </c>
    </row>
    <row r="49" spans="1:15" ht="12.75">
      <c r="A49" s="123">
        <v>343</v>
      </c>
      <c r="B49" s="100"/>
      <c r="C49" s="101" t="s">
        <v>219</v>
      </c>
      <c r="D49" s="175"/>
      <c r="E49" s="101"/>
      <c r="F49" s="175"/>
      <c r="G49" s="178"/>
      <c r="H49" s="101"/>
      <c r="I49" s="175"/>
      <c r="J49" s="178"/>
      <c r="K49" s="101"/>
      <c r="L49" s="175">
        <f t="shared" si="5"/>
        <v>0</v>
      </c>
      <c r="M49" s="178"/>
      <c r="N49" s="101"/>
      <c r="O49" s="107" t="s">
        <v>146</v>
      </c>
    </row>
    <row r="50" spans="1:15" ht="12.75">
      <c r="A50" s="123">
        <v>344</v>
      </c>
      <c r="B50" s="100"/>
      <c r="C50" s="101" t="s">
        <v>220</v>
      </c>
      <c r="D50" s="175"/>
      <c r="E50" s="101"/>
      <c r="F50" s="175"/>
      <c r="G50" s="178"/>
      <c r="H50" s="101"/>
      <c r="I50" s="175"/>
      <c r="J50" s="178"/>
      <c r="K50" s="101"/>
      <c r="L50" s="175">
        <f t="shared" si="5"/>
        <v>0</v>
      </c>
      <c r="M50" s="178"/>
      <c r="N50" s="101"/>
      <c r="O50" s="107" t="s">
        <v>146</v>
      </c>
    </row>
    <row r="51" spans="1:15" ht="12.75">
      <c r="A51" s="123">
        <v>345</v>
      </c>
      <c r="B51" s="100"/>
      <c r="C51" s="101" t="s">
        <v>221</v>
      </c>
      <c r="D51" s="175">
        <v>0</v>
      </c>
      <c r="E51" s="101"/>
      <c r="F51" s="175">
        <v>0</v>
      </c>
      <c r="G51" s="178">
        <v>0</v>
      </c>
      <c r="H51" s="101"/>
      <c r="I51" s="175">
        <v>0</v>
      </c>
      <c r="J51" s="178">
        <v>0</v>
      </c>
      <c r="K51" s="101"/>
      <c r="L51" s="175">
        <f t="shared" si="5"/>
        <v>0</v>
      </c>
      <c r="M51" s="178">
        <v>0</v>
      </c>
      <c r="N51" s="101"/>
      <c r="O51" s="107" t="s">
        <v>223</v>
      </c>
    </row>
    <row r="52" spans="1:15" ht="12.75">
      <c r="A52" s="123">
        <v>346.1</v>
      </c>
      <c r="B52" s="100"/>
      <c r="C52" s="101" t="s">
        <v>224</v>
      </c>
      <c r="D52" s="175"/>
      <c r="E52" s="101"/>
      <c r="F52" s="175"/>
      <c r="G52" s="178"/>
      <c r="H52" s="101"/>
      <c r="I52" s="175"/>
      <c r="J52" s="178"/>
      <c r="K52" s="101"/>
      <c r="L52" s="175">
        <f t="shared" si="5"/>
        <v>0</v>
      </c>
      <c r="M52" s="178"/>
      <c r="N52" s="101"/>
      <c r="O52" s="107" t="s">
        <v>146</v>
      </c>
    </row>
    <row r="53" spans="1:15" ht="12.75">
      <c r="A53" s="99">
        <v>347</v>
      </c>
      <c r="B53" s="100"/>
      <c r="C53" s="101" t="s">
        <v>225</v>
      </c>
      <c r="D53" s="175"/>
      <c r="E53" s="101"/>
      <c r="F53" s="175"/>
      <c r="G53" s="178"/>
      <c r="H53" s="101"/>
      <c r="I53" s="175"/>
      <c r="J53" s="178"/>
      <c r="K53" s="101"/>
      <c r="L53" s="175">
        <f t="shared" si="5"/>
        <v>0</v>
      </c>
      <c r="M53" s="178"/>
      <c r="N53" s="101"/>
      <c r="O53" s="107" t="s">
        <v>146</v>
      </c>
    </row>
    <row r="54" spans="1:15" ht="12.75">
      <c r="A54" s="99">
        <v>348</v>
      </c>
      <c r="B54" s="100"/>
      <c r="C54" s="101" t="s">
        <v>226</v>
      </c>
      <c r="D54" s="175"/>
      <c r="E54" s="101"/>
      <c r="F54" s="175"/>
      <c r="G54" s="178"/>
      <c r="H54" s="101"/>
      <c r="I54" s="175"/>
      <c r="J54" s="178"/>
      <c r="K54" s="101"/>
      <c r="L54" s="175">
        <f t="shared" si="5"/>
        <v>0</v>
      </c>
      <c r="M54" s="178"/>
      <c r="N54" s="101"/>
      <c r="O54" s="107" t="s">
        <v>146</v>
      </c>
    </row>
    <row r="56" spans="1:3" ht="12.75">
      <c r="A56" s="52" t="s">
        <v>277</v>
      </c>
      <c r="C56" s="51" t="s">
        <v>278</v>
      </c>
    </row>
    <row r="57" ht="12.75">
      <c r="C57" s="51" t="s">
        <v>279</v>
      </c>
    </row>
  </sheetData>
  <mergeCells count="7">
    <mergeCell ref="A1:O1"/>
    <mergeCell ref="A3:O3"/>
    <mergeCell ref="A4:O4"/>
    <mergeCell ref="A7:C7"/>
    <mergeCell ref="F6:G6"/>
    <mergeCell ref="I6:J6"/>
    <mergeCell ref="L6:M6"/>
  </mergeCells>
  <printOptions horizontalCentered="1"/>
  <pageMargins left="0.49" right="0.32" top="0.83" bottom="0.17" header="0.5" footer="0.17"/>
  <pageSetup fitToHeight="1" fitToWidth="1" horizontalDpi="600" verticalDpi="600" orientation="landscape" scale="74" r:id="rId1"/>
  <headerFooter alignWithMargins="0">
    <oddHeader>&amp;RExhibit___(MJM-4) Updated
Schedule 3
Page 5 of 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35" sqref="E35"/>
    </sheetView>
  </sheetViews>
  <sheetFormatPr defaultColWidth="8.88671875" defaultRowHeight="15"/>
  <cols>
    <col min="1" max="1" width="4.5546875" style="3" customWidth="1"/>
    <col min="2" max="2" width="30.4453125" style="3" customWidth="1"/>
    <col min="3" max="3" width="1.5625" style="3" customWidth="1"/>
    <col min="4" max="4" width="13.6640625" style="6" customWidth="1"/>
    <col min="5" max="5" width="3.77734375" style="7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212" t="s">
        <v>6</v>
      </c>
      <c r="B1" s="212"/>
      <c r="C1" s="212"/>
      <c r="D1" s="212"/>
      <c r="E1" s="212"/>
      <c r="F1" s="2"/>
      <c r="G1" s="2"/>
      <c r="H1" s="2"/>
      <c r="I1" s="2"/>
    </row>
    <row r="2" spans="1:9" ht="12.75">
      <c r="A2" s="212" t="s">
        <v>7</v>
      </c>
      <c r="B2" s="212"/>
      <c r="C2" s="212"/>
      <c r="D2" s="212"/>
      <c r="E2" s="212"/>
      <c r="F2" s="2"/>
      <c r="G2" s="2"/>
      <c r="H2" s="2"/>
      <c r="I2" s="2"/>
    </row>
    <row r="4" spans="1:5" ht="12.75">
      <c r="A4" s="215" t="s">
        <v>283</v>
      </c>
      <c r="B4" s="216"/>
      <c r="C4" s="216"/>
      <c r="D4" s="216"/>
      <c r="E4" s="217"/>
    </row>
    <row r="6" spans="1:5" ht="12.75">
      <c r="A6" s="213" t="s">
        <v>284</v>
      </c>
      <c r="B6" s="213"/>
      <c r="C6" s="213"/>
      <c r="D6" s="213"/>
      <c r="E6" s="214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2.75">
      <c r="A13" s="7">
        <v>1</v>
      </c>
      <c r="B13" s="3" t="s">
        <v>61</v>
      </c>
      <c r="D13" s="8">
        <v>252550</v>
      </c>
      <c r="E13" s="7" t="s">
        <v>5</v>
      </c>
    </row>
    <row r="14" spans="1:6" ht="12.75">
      <c r="A14" s="7"/>
      <c r="D14" s="9"/>
      <c r="F14" s="7"/>
    </row>
    <row r="15" spans="1:8" ht="12.75">
      <c r="A15" s="7">
        <v>2</v>
      </c>
      <c r="B15" s="3" t="s">
        <v>8</v>
      </c>
      <c r="D15" s="10">
        <f>-D13</f>
        <v>-252550</v>
      </c>
      <c r="H15" s="11"/>
    </row>
    <row r="16" spans="1:8" ht="12.75">
      <c r="A16" s="7"/>
      <c r="D16" s="23"/>
      <c r="H16" s="11"/>
    </row>
    <row r="17" spans="1:8" ht="12.75">
      <c r="A17" s="7">
        <v>3</v>
      </c>
      <c r="B17" s="3" t="s">
        <v>13</v>
      </c>
      <c r="C17" s="21"/>
      <c r="D17" s="24">
        <f>+'[1]Sch 3'!L32</f>
        <v>0.389</v>
      </c>
      <c r="E17" s="32"/>
      <c r="H17" s="11"/>
    </row>
    <row r="18" spans="1:8" ht="12.75">
      <c r="A18" s="7"/>
      <c r="D18" s="20"/>
      <c r="H18" s="11"/>
    </row>
    <row r="19" spans="1:8" ht="12.75">
      <c r="A19" s="7">
        <v>4</v>
      </c>
      <c r="B19" s="3" t="s">
        <v>11</v>
      </c>
      <c r="D19" s="25">
        <f>-D15*D17</f>
        <v>98241.95</v>
      </c>
      <c r="H19" s="11"/>
    </row>
    <row r="20" spans="1:8" ht="12.75">
      <c r="A20" s="7"/>
      <c r="D20" s="20"/>
      <c r="H20" s="11"/>
    </row>
    <row r="21" spans="1:4" ht="13.5" thickBot="1">
      <c r="A21" s="7">
        <v>5</v>
      </c>
      <c r="B21" s="3" t="s">
        <v>16</v>
      </c>
      <c r="D21" s="14">
        <f>+D15+D19</f>
        <v>-154308.05</v>
      </c>
    </row>
    <row r="22" ht="13.5" thickTop="1">
      <c r="D22" s="13"/>
    </row>
    <row r="23" spans="1:4" ht="12.75">
      <c r="A23" s="7">
        <v>6</v>
      </c>
      <c r="B23" s="3" t="s">
        <v>3</v>
      </c>
      <c r="D23" s="19">
        <f>+'[1]Sch 3'!J30</f>
        <v>1.6524921</v>
      </c>
    </row>
    <row r="24" ht="12.75">
      <c r="A24" s="7"/>
    </row>
    <row r="25" spans="1:4" ht="13.5" thickBot="1">
      <c r="A25" s="7">
        <v>7</v>
      </c>
      <c r="B25" s="3" t="s">
        <v>17</v>
      </c>
      <c r="D25" s="14">
        <f>+D21*D23</f>
        <v>-254992.83359140495</v>
      </c>
    </row>
    <row r="26" ht="13.5" thickTop="1">
      <c r="D26" s="13"/>
    </row>
    <row r="29" ht="12.75">
      <c r="A29" s="3" t="s">
        <v>50</v>
      </c>
    </row>
    <row r="30" spans="1:2" ht="12.75">
      <c r="A30" s="3" t="s">
        <v>5</v>
      </c>
      <c r="B30" s="3" t="s">
        <v>60</v>
      </c>
    </row>
  </sheetData>
  <mergeCells count="4">
    <mergeCell ref="A4:E4"/>
    <mergeCell ref="A1:E1"/>
    <mergeCell ref="A2:E2"/>
    <mergeCell ref="A6:E6"/>
  </mergeCells>
  <printOptions horizontalCentered="1"/>
  <pageMargins left="0.75" right="0.75" top="1.21" bottom="1" header="0.5" footer="0.5"/>
  <pageSetup horizontalDpi="600" verticalDpi="600" orientation="portrait" r:id="rId1"/>
  <headerFooter alignWithMargins="0">
    <oddHeader>&amp;RExhibit___(MJM-4) Updated
Schedule 4
Page 1 of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E35" sqref="E35"/>
    </sheetView>
  </sheetViews>
  <sheetFormatPr defaultColWidth="8.88671875" defaultRowHeight="15"/>
  <cols>
    <col min="1" max="1" width="4.5546875" style="3" customWidth="1"/>
    <col min="2" max="2" width="30.4453125" style="3" customWidth="1"/>
    <col min="3" max="3" width="1.5625" style="3" customWidth="1"/>
    <col min="4" max="4" width="13.6640625" style="6" customWidth="1"/>
    <col min="5" max="5" width="3.99609375" style="7" customWidth="1"/>
    <col min="6" max="6" width="5.6640625" style="3" customWidth="1"/>
    <col min="7" max="7" width="1.4375" style="3" customWidth="1"/>
    <col min="8" max="16384" width="8.88671875" style="3" customWidth="1"/>
  </cols>
  <sheetData>
    <row r="1" spans="1:9" ht="12.75">
      <c r="A1" s="212" t="s">
        <v>6</v>
      </c>
      <c r="B1" s="212"/>
      <c r="C1" s="212"/>
      <c r="D1" s="212"/>
      <c r="E1" s="212"/>
      <c r="F1" s="2"/>
      <c r="G1" s="2"/>
      <c r="H1" s="2"/>
      <c r="I1" s="2"/>
    </row>
    <row r="2" spans="1:9" ht="12.75">
      <c r="A2" s="212" t="s">
        <v>7</v>
      </c>
      <c r="B2" s="212"/>
      <c r="C2" s="212"/>
      <c r="D2" s="212"/>
      <c r="E2" s="212"/>
      <c r="F2" s="2"/>
      <c r="G2" s="2"/>
      <c r="H2" s="2"/>
      <c r="I2" s="2"/>
    </row>
    <row r="4" spans="1:5" ht="12.75">
      <c r="A4" s="213" t="s">
        <v>285</v>
      </c>
      <c r="B4" s="213"/>
      <c r="C4" s="213"/>
      <c r="D4" s="213"/>
      <c r="E4" s="214"/>
    </row>
    <row r="6" spans="1:5" ht="12.75">
      <c r="A6" s="213" t="s">
        <v>63</v>
      </c>
      <c r="B6" s="213"/>
      <c r="C6" s="213"/>
      <c r="D6" s="213"/>
      <c r="E6" s="214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2.75">
      <c r="A13" s="7">
        <v>1</v>
      </c>
      <c r="B13" s="3" t="s">
        <v>64</v>
      </c>
      <c r="D13" s="10">
        <v>1427004</v>
      </c>
      <c r="E13" s="7" t="s">
        <v>5</v>
      </c>
    </row>
    <row r="14" spans="1:6" ht="12.75">
      <c r="A14" s="7"/>
      <c r="D14" s="9"/>
      <c r="F14" s="7"/>
    </row>
    <row r="15" spans="1:8" ht="12.75">
      <c r="A15" s="7">
        <v>2</v>
      </c>
      <c r="B15" s="3" t="s">
        <v>18</v>
      </c>
      <c r="D15" s="15">
        <v>1312308</v>
      </c>
      <c r="E15" s="7" t="s">
        <v>30</v>
      </c>
      <c r="F15" s="7"/>
      <c r="H15" s="7"/>
    </row>
    <row r="16" spans="1:8" ht="12.75">
      <c r="A16" s="7"/>
      <c r="D16" s="13"/>
      <c r="H16" s="11"/>
    </row>
    <row r="17" spans="1:8" ht="12.75">
      <c r="A17" s="7">
        <v>3</v>
      </c>
      <c r="B17" s="3" t="s">
        <v>12</v>
      </c>
      <c r="D17" s="10">
        <f>+D15-D13</f>
        <v>-114696</v>
      </c>
      <c r="H17" s="11"/>
    </row>
    <row r="18" spans="1:8" ht="12.75">
      <c r="A18" s="7"/>
      <c r="H18" s="11"/>
    </row>
    <row r="19" spans="1:8" ht="12.75">
      <c r="A19" s="7">
        <v>4</v>
      </c>
      <c r="B19" s="3" t="s">
        <v>13</v>
      </c>
      <c r="D19" s="16">
        <f>+'[1]Sch 3'!L32</f>
        <v>0.389</v>
      </c>
      <c r="H19" s="11"/>
    </row>
    <row r="20" spans="1:8" ht="12.75">
      <c r="A20" s="7"/>
      <c r="H20" s="11"/>
    </row>
    <row r="21" spans="1:8" ht="12.75">
      <c r="A21" s="7">
        <v>5</v>
      </c>
      <c r="B21" s="3" t="s">
        <v>10</v>
      </c>
      <c r="D21" s="12">
        <f>-D17*D19</f>
        <v>44616.744</v>
      </c>
      <c r="H21" s="11"/>
    </row>
    <row r="22" spans="1:4" ht="12.75">
      <c r="A22" s="7"/>
      <c r="D22" s="13"/>
    </row>
    <row r="23" spans="1:4" ht="13.5" thickBot="1">
      <c r="A23" s="7">
        <v>6</v>
      </c>
      <c r="B23" s="3" t="s">
        <v>15</v>
      </c>
      <c r="D23" s="14">
        <f>+D17+D21</f>
        <v>-70079.256</v>
      </c>
    </row>
    <row r="24" ht="13.5" thickTop="1">
      <c r="D24" s="13"/>
    </row>
    <row r="25" spans="1:4" ht="12.75">
      <c r="A25" s="7">
        <v>7</v>
      </c>
      <c r="B25" s="3" t="s">
        <v>3</v>
      </c>
      <c r="D25" s="18">
        <f>+'[1]Sch 3'!J30</f>
        <v>1.6524921</v>
      </c>
    </row>
    <row r="26" spans="1:4" ht="12.75">
      <c r="A26" s="7"/>
      <c r="D26" s="13"/>
    </row>
    <row r="27" spans="1:4" ht="13.5" thickBot="1">
      <c r="A27" s="7">
        <v>8</v>
      </c>
      <c r="B27" s="3" t="s">
        <v>14</v>
      </c>
      <c r="D27" s="14">
        <f>+D23*D25</f>
        <v>-115805.41691387759</v>
      </c>
    </row>
    <row r="28" ht="13.5" thickTop="1">
      <c r="D28" s="13"/>
    </row>
    <row r="33" ht="12.75">
      <c r="A33" s="3" t="s">
        <v>50</v>
      </c>
    </row>
    <row r="34" spans="1:2" ht="12.75">
      <c r="A34" s="3" t="s">
        <v>52</v>
      </c>
      <c r="B34" s="3" t="s">
        <v>62</v>
      </c>
    </row>
    <row r="35" spans="1:2" ht="12.75">
      <c r="A35" s="3" t="s">
        <v>30</v>
      </c>
      <c r="B35" s="3" t="s">
        <v>65</v>
      </c>
    </row>
  </sheetData>
  <mergeCells count="4">
    <mergeCell ref="A1:E1"/>
    <mergeCell ref="A2:E2"/>
    <mergeCell ref="A4:E4"/>
    <mergeCell ref="A6:E6"/>
  </mergeCells>
  <printOptions horizontalCentered="1"/>
  <pageMargins left="0.75" right="0.75" top="1.19" bottom="1" header="0.5" footer="0.5"/>
  <pageSetup horizontalDpi="600" verticalDpi="600" orientation="portrait" r:id="rId1"/>
  <headerFooter alignWithMargins="0">
    <oddHeader>&amp;RExhibit___(MJM-4) Updated
Schedule 5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Snavely King Majoros O'Connor &amp; Lee,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 Kenney</dc:creator>
  <cp:keywords/>
  <dc:description/>
  <cp:lastModifiedBy>DSPENARD</cp:lastModifiedBy>
  <cp:lastPrinted>2007-08-27T16:00:33Z</cp:lastPrinted>
  <dcterms:created xsi:type="dcterms:W3CDTF">2007-07-23T15:39:15Z</dcterms:created>
  <dcterms:modified xsi:type="dcterms:W3CDTF">2007-08-27T16:37:08Z</dcterms:modified>
  <cp:category/>
  <cp:version/>
  <cp:contentType/>
  <cp:contentStatus/>
</cp:coreProperties>
</file>