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JR-1" sheetId="1" r:id="rId1"/>
    <sheet name="SJR-2" sheetId="2" r:id="rId2"/>
    <sheet name="SJR-3" sheetId="3" r:id="rId3"/>
    <sheet name="SJR-4" sheetId="4" r:id="rId4"/>
    <sheet name="SJR-5" sheetId="5" r:id="rId5"/>
    <sheet name="SJR-6" sheetId="6" r:id="rId6"/>
    <sheet name="SJR-7" sheetId="7" r:id="rId7"/>
    <sheet name="SJR-8" sheetId="8" r:id="rId8"/>
    <sheet name="SJR-9" sheetId="9" r:id="rId9"/>
  </sheets>
  <definedNames>
    <definedName name="_xlnm.Print_Area" localSheetId="4">'SJR-5'!$A$1:$H$182</definedName>
    <definedName name="_xlnm.Print_Area" localSheetId="7">'SJR-8'!$A$1:$E$184</definedName>
  </definedNames>
  <calcPr fullCalcOnLoad="1"/>
</workbook>
</file>

<file path=xl/sharedStrings.xml><?xml version="1.0" encoding="utf-8"?>
<sst xmlns="http://schemas.openxmlformats.org/spreadsheetml/2006/main" count="1045" uniqueCount="150">
  <si>
    <t>Kentucky-American Water Company</t>
  </si>
  <si>
    <t>Case No. 2007-00143</t>
  </si>
  <si>
    <t>Schedule SJR-1</t>
  </si>
  <si>
    <t>Change in Allocation of Miscellaneous Service Revenues</t>
  </si>
  <si>
    <t>Miscellaneous Revenues:</t>
  </si>
  <si>
    <t>KAWC Exh. 36, Sch. D</t>
  </si>
  <si>
    <t>Allocation Among Customer Classes:</t>
  </si>
  <si>
    <t>Residential</t>
  </si>
  <si>
    <t>Commercial</t>
  </si>
  <si>
    <t>Industrial</t>
  </si>
  <si>
    <t>Public Authority</t>
  </si>
  <si>
    <t>Sales for Resale</t>
  </si>
  <si>
    <t>Private Fire Service</t>
  </si>
  <si>
    <t>Public Fire Service</t>
  </si>
  <si>
    <t>KAWC
(Factor F)</t>
  </si>
  <si>
    <t>Factor</t>
  </si>
  <si>
    <t>Revenue</t>
  </si>
  <si>
    <t>AG</t>
  </si>
  <si>
    <t>Total</t>
  </si>
  <si>
    <t>Difference</t>
  </si>
  <si>
    <t>AG allocation based on actual data from 8/06 to 1/07, from AG 2-2:</t>
  </si>
  <si>
    <t>Charges</t>
  </si>
  <si>
    <t>Schedule SJR-2</t>
  </si>
  <si>
    <t>Cost of Service (Revenue Target) for Each Customer Class</t>
  </si>
  <si>
    <t>KAWC</t>
  </si>
  <si>
    <t>Source:</t>
  </si>
  <si>
    <t>KAWC: Exh. 36 revised, Sch. A</t>
  </si>
  <si>
    <t>AG: Effect on cost of service model of changes shown on SJR-1</t>
  </si>
  <si>
    <t xml:space="preserve">       (see workpaper file: Work_KAW_R_PSCDR3_51_attachment_071607.xls)</t>
  </si>
  <si>
    <t>Schedule SJR-3</t>
  </si>
  <si>
    <t>Comparison of Cost of Service and Existing Revenues</t>
  </si>
  <si>
    <t>KAWC Cost of Service Study</t>
  </si>
  <si>
    <t>Cost of Service</t>
  </si>
  <si>
    <t>Revenues</t>
  </si>
  <si>
    <t>Percent</t>
  </si>
  <si>
    <t>AG Cost of Service Study</t>
  </si>
  <si>
    <t>Customer Charge</t>
  </si>
  <si>
    <t>Central Division</t>
  </si>
  <si>
    <t>Present</t>
  </si>
  <si>
    <t>% Increase</t>
  </si>
  <si>
    <t>Company Proposed</t>
  </si>
  <si>
    <t>AG Proposed</t>
  </si>
  <si>
    <t>Rate</t>
  </si>
  <si>
    <t xml:space="preserve"> 5/8" MONTHLY</t>
  </si>
  <si>
    <t xml:space="preserve"> 3/4" MONTHLY</t>
  </si>
  <si>
    <t xml:space="preserve"> 1" MONTHLY</t>
  </si>
  <si>
    <t xml:space="preserve"> 1 1/2" MONTHLY</t>
  </si>
  <si>
    <t xml:space="preserve"> 2" MONTHLY</t>
  </si>
  <si>
    <t xml:space="preserve"> 3" MONTHLY</t>
  </si>
  <si>
    <t xml:space="preserve"> 4" MONTHLY</t>
  </si>
  <si>
    <t xml:space="preserve"> 6" MONTHLY</t>
  </si>
  <si>
    <t xml:space="preserve"> 8" MONTHLY</t>
  </si>
  <si>
    <t>Northern Division - Elk Lake Shores</t>
  </si>
  <si>
    <t>Consumption Charge</t>
  </si>
  <si>
    <t>RESIDENTIAL</t>
  </si>
  <si>
    <t>COMMERCIAL</t>
  </si>
  <si>
    <t>INDUSTRIAL</t>
  </si>
  <si>
    <t xml:space="preserve">OPA </t>
  </si>
  <si>
    <t>SALE FOR RESALE</t>
  </si>
  <si>
    <t>Central Division (rates per CCF)</t>
  </si>
  <si>
    <t>First 2.67</t>
  </si>
  <si>
    <t>Second 5.33</t>
  </si>
  <si>
    <t>Third 5.33</t>
  </si>
  <si>
    <t>Fourth 13.33</t>
  </si>
  <si>
    <t>In Excess of 26.66</t>
  </si>
  <si>
    <t>Northern Division - Tri-Village (rates per CCF)</t>
  </si>
  <si>
    <t>Northern Division - Tri-Village</t>
  </si>
  <si>
    <t>Other Public Authority</t>
  </si>
  <si>
    <t>Northern Division - Elk Lake Shores (rates per CCF)</t>
  </si>
  <si>
    <t>Second 2.67</t>
  </si>
  <si>
    <t>In Excess of 5.34</t>
  </si>
  <si>
    <t>Northern Division - City of Owenton (rates per CCF)</t>
  </si>
  <si>
    <t>First 2.67 ccf</t>
  </si>
  <si>
    <t>Next 1.33 ccf</t>
  </si>
  <si>
    <t>Next 2.67 ccf</t>
  </si>
  <si>
    <t>Next 6.67 ccf</t>
  </si>
  <si>
    <t>Next 13.33 ccf</t>
  </si>
  <si>
    <t>Next 26.67 ccf</t>
  </si>
  <si>
    <t>All over 53.34 ccf</t>
  </si>
  <si>
    <t>Residential Inside City</t>
  </si>
  <si>
    <t>Residential Rate B</t>
  </si>
  <si>
    <t>First 8.00 ccf</t>
  </si>
  <si>
    <t>All over 10.67 ccf</t>
  </si>
  <si>
    <t>Residential Rate G</t>
  </si>
  <si>
    <t>Commercial Inside City</t>
  </si>
  <si>
    <t>Commercial Rate B</t>
  </si>
  <si>
    <t>Commercial Rate G</t>
  </si>
  <si>
    <t>Units</t>
  </si>
  <si>
    <t>Company</t>
  </si>
  <si>
    <t>Proof of Revenues - Residential</t>
  </si>
  <si>
    <t>Proof of Revenues - Commercial</t>
  </si>
  <si>
    <t>Proof of Revenues - Industrial</t>
  </si>
  <si>
    <t>Proof of Revenues - OPA</t>
  </si>
  <si>
    <t>Proof of Revenues - OWU</t>
  </si>
  <si>
    <t>Northern Division - City of Owenton - Inside City</t>
  </si>
  <si>
    <t>Northern Division - City of Owenton - Rate B</t>
  </si>
  <si>
    <t>Northern Division - City of Owenton - Rate G</t>
  </si>
  <si>
    <t>Residential Rate ?</t>
  </si>
  <si>
    <t>Next 5.33 ccf</t>
  </si>
  <si>
    <t>All over 26.67 ccf</t>
  </si>
  <si>
    <t>Commercial Rate ?</t>
  </si>
  <si>
    <t>Revenue Recap</t>
  </si>
  <si>
    <t>Customer Charges</t>
  </si>
  <si>
    <t>Co. Prop.</t>
  </si>
  <si>
    <t>AG Prop</t>
  </si>
  <si>
    <t>Consumption Charges</t>
  </si>
  <si>
    <t>Total Revenue</t>
  </si>
  <si>
    <t>Revenue Target</t>
  </si>
  <si>
    <t>Co. Difference</t>
  </si>
  <si>
    <t>AG Difference</t>
  </si>
  <si>
    <t>Tri-Village</t>
  </si>
  <si>
    <t>Elk Lake Shores</t>
  </si>
  <si>
    <t>City of Owenton</t>
  </si>
  <si>
    <t>Schedule SJR-4</t>
  </si>
  <si>
    <t>% Change</t>
  </si>
  <si>
    <t>KAWC Proposed</t>
  </si>
  <si>
    <t>Schedule SJR-6</t>
  </si>
  <si>
    <t>Company and AG Proposed Rates Under Company Proposed Revenue Requirement</t>
  </si>
  <si>
    <t>(Note: Company proposed rates taken from KAWC Exh. 36 Revised)</t>
  </si>
  <si>
    <t>Comparison of Company and AG Proposed Changes in Northern Division Revenues</t>
  </si>
  <si>
    <t>Comparison of Company and AG Revenues by Customer Class Under KAWC Revenue Requirement</t>
  </si>
  <si>
    <t>AG 
Cost of Service</t>
  </si>
  <si>
    <t>Present
Revenues</t>
  </si>
  <si>
    <t>Percent 
Increase</t>
  </si>
  <si>
    <t>Revenue
vs. Cost</t>
  </si>
  <si>
    <t>KAWC Proposal</t>
  </si>
  <si>
    <t>AG Proposal</t>
  </si>
  <si>
    <t>Schedule SJR-7</t>
  </si>
  <si>
    <t>Development of Rates to Collect Lower Revenue Requirement</t>
  </si>
  <si>
    <t>Total revenue requirement</t>
  </si>
  <si>
    <t>Less miscellaneous revenue</t>
  </si>
  <si>
    <t>Sales revenue requirement</t>
  </si>
  <si>
    <t>Percentage recovered from fire classes</t>
  </si>
  <si>
    <t>Revenue recovered from fire classes</t>
  </si>
  <si>
    <t>Revenue recovered from water-consuming classes</t>
  </si>
  <si>
    <t>Line</t>
  </si>
  <si>
    <t>Line 5: line 3 x line 4</t>
  </si>
  <si>
    <t>Line 6:  line 3 - line 5</t>
  </si>
  <si>
    <t>Line 1: KAWC Exh. 36 revised, Sch. A (revenues - proposed rates, total); Majoros Sch. A</t>
  </si>
  <si>
    <t>Line 2: KAWC Exh. 36 revised, Sch. A (revenues - proposed rates, miscellaneous revenues)</t>
  </si>
  <si>
    <t>KAWC Proposed
with AG change in
cost of service study</t>
  </si>
  <si>
    <t>Line 3:  line 1 + line 2</t>
  </si>
  <si>
    <t>Line 4: Sch. SJR-3 (sum of public and private fire under AG cost of service) / line 3 for KAWC</t>
  </si>
  <si>
    <t>AG Proposed Rates Under AG Proposed Revenue Requirement</t>
  </si>
  <si>
    <t>Original AG</t>
  </si>
  <si>
    <t>Revised AG</t>
  </si>
  <si>
    <t>Maximum increase</t>
  </si>
  <si>
    <t>Comparison of AG Revenues by Customer Class Under AG Proposed Revenue Requirement</t>
  </si>
  <si>
    <t>Schedule SJR-9</t>
  </si>
  <si>
    <t>Target: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</si>
</sst>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_(* #,##0.00000_);_(* \(#,##0.00000\);_(* &quot;-&quot;??_);_(@_)"/>
    <numFmt numFmtId="172" formatCode="_(* #,##0.00000_);_(* \(#,##0.00000\);_(* &quot;-&quot;?????_);_(@_)"/>
  </numFmts>
  <fonts count="7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 horizontal="center"/>
    </xf>
    <xf numFmtId="167" fontId="0" fillId="0" borderId="0" xfId="17" applyNumberFormat="1" applyAlignment="1">
      <alignment/>
    </xf>
    <xf numFmtId="169" fontId="0" fillId="0" borderId="0" xfId="15" applyNumberFormat="1" applyAlignment="1">
      <alignment/>
    </xf>
    <xf numFmtId="169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 wrapText="1"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43" fontId="0" fillId="0" borderId="0" xfId="15" applyFont="1" applyAlignment="1">
      <alignment horizontal="right"/>
    </xf>
    <xf numFmtId="43" fontId="0" fillId="0" borderId="0" xfId="15" applyFont="1" applyAlignment="1">
      <alignment/>
    </xf>
    <xf numFmtId="43" fontId="2" fillId="0" borderId="0" xfId="15" applyFont="1" applyAlignment="1">
      <alignment/>
    </xf>
    <xf numFmtId="165" fontId="4" fillId="0" borderId="0" xfId="15" applyNumberFormat="1" applyFont="1" applyAlignment="1">
      <alignment/>
    </xf>
    <xf numFmtId="43" fontId="2" fillId="0" borderId="0" xfId="15" applyFont="1" applyAlignment="1">
      <alignment horizontal="center"/>
    </xf>
    <xf numFmtId="170" fontId="0" fillId="0" borderId="0" xfId="19" applyNumberFormat="1" applyAlignment="1">
      <alignment/>
    </xf>
    <xf numFmtId="170" fontId="2" fillId="0" borderId="0" xfId="19" applyNumberFormat="1" applyFont="1" applyAlignment="1">
      <alignment/>
    </xf>
    <xf numFmtId="43" fontId="0" fillId="0" borderId="0" xfId="15" applyAlignment="1">
      <alignment horizontal="center"/>
    </xf>
    <xf numFmtId="43" fontId="5" fillId="0" borderId="0" xfId="15" applyFont="1" applyAlignment="1">
      <alignment/>
    </xf>
    <xf numFmtId="43" fontId="6" fillId="0" borderId="0" xfId="15" applyFont="1" applyAlignment="1">
      <alignment/>
    </xf>
    <xf numFmtId="43" fontId="0" fillId="0" borderId="0" xfId="15" applyFont="1" applyAlignment="1">
      <alignment/>
    </xf>
    <xf numFmtId="171" fontId="0" fillId="0" borderId="0" xfId="15" applyNumberFormat="1" applyAlignment="1">
      <alignment/>
    </xf>
    <xf numFmtId="43" fontId="4" fillId="0" borderId="0" xfId="15" applyFont="1" applyAlignment="1">
      <alignment horizontal="left"/>
    </xf>
    <xf numFmtId="43" fontId="4" fillId="0" borderId="0" xfId="15" applyFont="1" applyAlignment="1">
      <alignment/>
    </xf>
    <xf numFmtId="43" fontId="0" fillId="0" borderId="0" xfId="15" applyFont="1" applyAlignment="1">
      <alignment horizontal="center"/>
    </xf>
    <xf numFmtId="171" fontId="0" fillId="2" borderId="0" xfId="15" applyNumberFormat="1" applyFont="1" applyFill="1" applyAlignment="1">
      <alignment/>
    </xf>
    <xf numFmtId="171" fontId="0" fillId="2" borderId="0" xfId="15" applyNumberFormat="1" applyFill="1" applyAlignment="1">
      <alignment/>
    </xf>
    <xf numFmtId="43" fontId="0" fillId="2" borderId="0" xfId="15" applyFill="1" applyAlignment="1">
      <alignment/>
    </xf>
    <xf numFmtId="170" fontId="0" fillId="3" borderId="0" xfId="19" applyNumberFormat="1" applyFill="1" applyAlignment="1">
      <alignment/>
    </xf>
    <xf numFmtId="165" fontId="0" fillId="0" borderId="0" xfId="15" applyNumberFormat="1" applyFont="1" applyAlignment="1">
      <alignment horizontal="center" vertical="center" wrapText="1"/>
    </xf>
    <xf numFmtId="165" fontId="0" fillId="0" borderId="0" xfId="15" applyNumberFormat="1" applyFont="1" applyAlignment="1">
      <alignment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right"/>
    </xf>
    <xf numFmtId="165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165" fontId="0" fillId="0" borderId="0" xfId="15" applyNumberFormat="1" applyAlignment="1">
      <alignment horizontal="center"/>
    </xf>
    <xf numFmtId="170" fontId="0" fillId="0" borderId="0" xfId="19" applyNumberFormat="1" applyAlignment="1">
      <alignment/>
    </xf>
    <xf numFmtId="43" fontId="0" fillId="2" borderId="0" xfId="15" applyFill="1" applyAlignment="1">
      <alignment/>
    </xf>
    <xf numFmtId="171" fontId="0" fillId="0" borderId="0" xfId="15" applyNumberFormat="1" applyAlignment="1">
      <alignment/>
    </xf>
    <xf numFmtId="171" fontId="0" fillId="2" borderId="0" xfId="15" applyNumberFormat="1" applyFill="1" applyAlignment="1">
      <alignment/>
    </xf>
    <xf numFmtId="167" fontId="0" fillId="0" borderId="0" xfId="17" applyNumberFormat="1" applyAlignment="1">
      <alignment/>
    </xf>
    <xf numFmtId="10" fontId="0" fillId="0" borderId="0" xfId="19" applyNumberFormat="1" applyAlignment="1">
      <alignment/>
    </xf>
    <xf numFmtId="165" fontId="0" fillId="4" borderId="0" xfId="15" applyNumberFormat="1" applyFill="1" applyAlignment="1">
      <alignment/>
    </xf>
    <xf numFmtId="10" fontId="0" fillId="3" borderId="0" xfId="19" applyNumberFormat="1" applyFill="1" applyAlignment="1">
      <alignment/>
    </xf>
    <xf numFmtId="10" fontId="2" fillId="0" borderId="0" xfId="19" applyNumberFormat="1" applyFont="1" applyAlignment="1">
      <alignment/>
    </xf>
    <xf numFmtId="165" fontId="0" fillId="0" borderId="0" xfId="15" applyNumberFormat="1" applyFont="1" applyAlignment="1">
      <alignment horizontal="right"/>
    </xf>
    <xf numFmtId="43" fontId="0" fillId="4" borderId="0" xfId="15" applyFont="1" applyFill="1" applyAlignment="1">
      <alignment horizontal="right"/>
    </xf>
    <xf numFmtId="165" fontId="2" fillId="0" borderId="0" xfId="15" applyNumberFormat="1" applyFont="1" applyAlignment="1">
      <alignment horizontal="center" wrapText="1"/>
    </xf>
    <xf numFmtId="165" fontId="2" fillId="0" borderId="0" xfId="15" applyNumberFormat="1" applyFont="1" applyAlignment="1">
      <alignment horizontal="center"/>
    </xf>
    <xf numFmtId="43" fontId="2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3" bestFit="1" customWidth="1"/>
    <col min="2" max="2" width="10.421875" style="3" customWidth="1"/>
    <col min="3" max="3" width="11.00390625" style="3" customWidth="1"/>
    <col min="4" max="4" width="2.28125" style="3" customWidth="1"/>
    <col min="5" max="5" width="9.140625" style="3" customWidth="1"/>
    <col min="6" max="6" width="11.00390625" style="3" customWidth="1"/>
    <col min="7" max="7" width="2.7109375" style="3" customWidth="1"/>
    <col min="8" max="8" width="10.140625" style="3" customWidth="1"/>
    <col min="9" max="16384" width="9.140625" style="3" customWidth="1"/>
  </cols>
  <sheetData>
    <row r="1" spans="1:8" ht="12.75">
      <c r="A1" s="3" t="s">
        <v>0</v>
      </c>
      <c r="H1" s="5" t="s">
        <v>2</v>
      </c>
    </row>
    <row r="2" ht="12.75">
      <c r="A2" s="3" t="s">
        <v>1</v>
      </c>
    </row>
    <row r="4" ht="12.75">
      <c r="A4" s="4" t="s">
        <v>3</v>
      </c>
    </row>
    <row r="7" spans="1:6" ht="12.75">
      <c r="A7" s="3" t="s">
        <v>4</v>
      </c>
      <c r="C7" s="8">
        <v>986550</v>
      </c>
      <c r="F7" s="6" t="s">
        <v>5</v>
      </c>
    </row>
    <row r="9" ht="12.75">
      <c r="A9" s="14" t="s">
        <v>6</v>
      </c>
    </row>
    <row r="11" spans="2:8" s="11" customFormat="1" ht="29.25" customHeight="1">
      <c r="B11" s="56" t="s">
        <v>14</v>
      </c>
      <c r="C11" s="56"/>
      <c r="E11" s="56" t="s">
        <v>17</v>
      </c>
      <c r="F11" s="56"/>
      <c r="H11" s="11" t="s">
        <v>19</v>
      </c>
    </row>
    <row r="12" spans="2:6" s="13" customFormat="1" ht="15">
      <c r="B12" s="13" t="s">
        <v>15</v>
      </c>
      <c r="C12" s="13" t="s">
        <v>16</v>
      </c>
      <c r="E12" s="13" t="s">
        <v>15</v>
      </c>
      <c r="F12" s="13" t="s">
        <v>16</v>
      </c>
    </row>
    <row r="13" spans="1:8" ht="12.75">
      <c r="A13" s="6" t="s">
        <v>7</v>
      </c>
      <c r="B13" s="9">
        <v>0.9051</v>
      </c>
      <c r="C13" s="8">
        <f>ROUND(B13*$C$7,0)+1</f>
        <v>892927</v>
      </c>
      <c r="E13" s="9">
        <f>C28</f>
        <v>0.9584</v>
      </c>
      <c r="F13" s="8">
        <f>ROUND(E13*$C$7,0)-2</f>
        <v>945508</v>
      </c>
      <c r="H13" s="8">
        <f>F13-C13</f>
        <v>52581</v>
      </c>
    </row>
    <row r="14" spans="1:8" ht="12.75">
      <c r="A14" s="3" t="s">
        <v>8</v>
      </c>
      <c r="B14" s="9">
        <v>0.075</v>
      </c>
      <c r="C14" s="3">
        <f aca="true" t="shared" si="0" ref="C14:C19">ROUND(B14*$C$7,0)</f>
        <v>73991</v>
      </c>
      <c r="E14" s="9">
        <f aca="true" t="shared" si="1" ref="E14:E19">C29</f>
        <v>0.0395</v>
      </c>
      <c r="F14" s="3">
        <f aca="true" t="shared" si="2" ref="F14:F19">ROUND(E14*$C$7,0)</f>
        <v>38969</v>
      </c>
      <c r="H14" s="3">
        <f aca="true" t="shared" si="3" ref="H14:H19">F14-C14</f>
        <v>-35022</v>
      </c>
    </row>
    <row r="15" spans="1:8" ht="12.75">
      <c r="A15" s="3" t="s">
        <v>9</v>
      </c>
      <c r="B15" s="9">
        <v>0.0004</v>
      </c>
      <c r="C15" s="3">
        <f t="shared" si="0"/>
        <v>395</v>
      </c>
      <c r="E15" s="9">
        <f t="shared" si="1"/>
        <v>0</v>
      </c>
      <c r="F15" s="3">
        <f t="shared" si="2"/>
        <v>0</v>
      </c>
      <c r="H15" s="3">
        <f t="shared" si="3"/>
        <v>-395</v>
      </c>
    </row>
    <row r="16" spans="1:8" ht="12.75">
      <c r="A16" s="3" t="s">
        <v>10</v>
      </c>
      <c r="B16" s="9">
        <v>0.006</v>
      </c>
      <c r="C16" s="3">
        <f t="shared" si="0"/>
        <v>5919</v>
      </c>
      <c r="E16" s="9">
        <f t="shared" si="1"/>
        <v>0</v>
      </c>
      <c r="F16" s="3">
        <f t="shared" si="2"/>
        <v>0</v>
      </c>
      <c r="H16" s="3">
        <f t="shared" si="3"/>
        <v>-5919</v>
      </c>
    </row>
    <row r="17" spans="1:8" ht="12.75">
      <c r="A17" s="3" t="s">
        <v>11</v>
      </c>
      <c r="B17" s="9">
        <v>0.0002</v>
      </c>
      <c r="C17" s="3">
        <f t="shared" si="0"/>
        <v>197</v>
      </c>
      <c r="E17" s="9">
        <f t="shared" si="1"/>
        <v>0.0001</v>
      </c>
      <c r="F17" s="3">
        <f t="shared" si="2"/>
        <v>99</v>
      </c>
      <c r="H17" s="3">
        <f t="shared" si="3"/>
        <v>-98</v>
      </c>
    </row>
    <row r="18" spans="1:8" ht="12.75">
      <c r="A18" s="3" t="s">
        <v>12</v>
      </c>
      <c r="B18" s="9">
        <v>0.013</v>
      </c>
      <c r="C18" s="3">
        <f t="shared" si="0"/>
        <v>12825</v>
      </c>
      <c r="E18" s="9">
        <f t="shared" si="1"/>
        <v>0.0013</v>
      </c>
      <c r="F18" s="3">
        <f t="shared" si="2"/>
        <v>1283</v>
      </c>
      <c r="H18" s="3">
        <f t="shared" si="3"/>
        <v>-11542</v>
      </c>
    </row>
    <row r="19" spans="1:8" ht="15">
      <c r="A19" s="3" t="s">
        <v>13</v>
      </c>
      <c r="B19" s="10">
        <v>0.0003</v>
      </c>
      <c r="C19" s="11">
        <f t="shared" si="0"/>
        <v>296</v>
      </c>
      <c r="E19" s="10">
        <f t="shared" si="1"/>
        <v>0.0007</v>
      </c>
      <c r="F19" s="11">
        <f t="shared" si="2"/>
        <v>691</v>
      </c>
      <c r="H19" s="11">
        <f t="shared" si="3"/>
        <v>395</v>
      </c>
    </row>
    <row r="20" spans="1:8" ht="12.75">
      <c r="A20" s="6" t="s">
        <v>18</v>
      </c>
      <c r="B20" s="9">
        <f>SUM(B13:B19)</f>
        <v>0.9999999999999999</v>
      </c>
      <c r="C20" s="8">
        <f>SUM(C13:C19)</f>
        <v>986550</v>
      </c>
      <c r="E20" s="9">
        <f>SUM(E13:E19)</f>
        <v>1</v>
      </c>
      <c r="F20" s="8">
        <f>SUM(F13:F19)</f>
        <v>986550</v>
      </c>
      <c r="H20" s="8">
        <f>SUM(H13:H19)</f>
        <v>0</v>
      </c>
    </row>
    <row r="21" spans="1:8" ht="12.75">
      <c r="A21" s="6"/>
      <c r="B21" s="9"/>
      <c r="C21" s="8"/>
      <c r="E21" s="9"/>
      <c r="F21" s="8"/>
      <c r="H21" s="8"/>
    </row>
    <row r="22" spans="1:8" ht="12.75">
      <c r="A22" s="6"/>
      <c r="B22" s="9"/>
      <c r="C22" s="8"/>
      <c r="E22" s="9"/>
      <c r="F22" s="8"/>
      <c r="H22" s="8"/>
    </row>
    <row r="25" ht="12.75">
      <c r="A25" s="6" t="s">
        <v>20</v>
      </c>
    </row>
    <row r="27" spans="2:3" s="13" customFormat="1" ht="15">
      <c r="B27" s="13" t="s">
        <v>21</v>
      </c>
      <c r="C27" s="13" t="s">
        <v>15</v>
      </c>
    </row>
    <row r="28" spans="1:3" ht="12.75">
      <c r="A28" s="6" t="s">
        <v>7</v>
      </c>
      <c r="B28" s="8">
        <f>318674+9360+101903</f>
        <v>429937</v>
      </c>
      <c r="C28" s="9">
        <f>ROUND(B28/$B$35,4)</f>
        <v>0.9584</v>
      </c>
    </row>
    <row r="29" spans="1:3" ht="12.75">
      <c r="A29" s="3" t="s">
        <v>8</v>
      </c>
      <c r="B29" s="3">
        <f>15168+252+2280</f>
        <v>17700</v>
      </c>
      <c r="C29" s="9">
        <f aca="true" t="shared" si="4" ref="C29:C34">ROUND(B29/$B$35,4)</f>
        <v>0.0395</v>
      </c>
    </row>
    <row r="30" spans="1:3" ht="12.75">
      <c r="A30" s="3" t="s">
        <v>9</v>
      </c>
      <c r="B30" s="3">
        <v>0</v>
      </c>
      <c r="C30" s="9">
        <f t="shared" si="4"/>
        <v>0</v>
      </c>
    </row>
    <row r="31" spans="1:3" ht="12.75">
      <c r="A31" s="3" t="s">
        <v>10</v>
      </c>
      <c r="B31" s="3">
        <v>12</v>
      </c>
      <c r="C31" s="9">
        <f t="shared" si="4"/>
        <v>0</v>
      </c>
    </row>
    <row r="32" spans="1:3" ht="12.75">
      <c r="A32" s="3" t="s">
        <v>11</v>
      </c>
      <c r="B32" s="3">
        <v>24</v>
      </c>
      <c r="C32" s="9">
        <f t="shared" si="4"/>
        <v>0.0001</v>
      </c>
    </row>
    <row r="33" spans="1:3" ht="12.75">
      <c r="A33" s="3" t="s">
        <v>12</v>
      </c>
      <c r="B33" s="3">
        <v>576</v>
      </c>
      <c r="C33" s="9">
        <f t="shared" si="4"/>
        <v>0.0013</v>
      </c>
    </row>
    <row r="34" spans="1:3" ht="15">
      <c r="A34" s="3" t="s">
        <v>13</v>
      </c>
      <c r="B34" s="11">
        <v>336</v>
      </c>
      <c r="C34" s="10">
        <f t="shared" si="4"/>
        <v>0.0007</v>
      </c>
    </row>
    <row r="35" spans="1:3" ht="12.75">
      <c r="A35" s="6" t="s">
        <v>18</v>
      </c>
      <c r="B35" s="8">
        <f>SUM(B28:B34)</f>
        <v>448585</v>
      </c>
      <c r="C35" s="9">
        <f>SUM(C28:C34)</f>
        <v>1</v>
      </c>
    </row>
  </sheetData>
  <mergeCells count="2">
    <mergeCell ref="B11:C11"/>
    <mergeCell ref="E11:F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18.28125" style="3" bestFit="1" customWidth="1"/>
    <col min="2" max="3" width="14.28125" style="3" customWidth="1"/>
    <col min="4" max="4" width="11.421875" style="3" customWidth="1"/>
    <col min="5" max="16384" width="9.140625" style="3" customWidth="1"/>
  </cols>
  <sheetData>
    <row r="1" spans="1:6" ht="12.75">
      <c r="A1" s="3" t="s">
        <v>0</v>
      </c>
      <c r="F1" s="15" t="s">
        <v>22</v>
      </c>
    </row>
    <row r="2" ht="12.75">
      <c r="A2" s="3" t="s">
        <v>1</v>
      </c>
    </row>
    <row r="4" ht="12.75">
      <c r="A4" s="4" t="s">
        <v>23</v>
      </c>
    </row>
    <row r="7" spans="2:4" s="13" customFormat="1" ht="15">
      <c r="B7" s="13" t="s">
        <v>24</v>
      </c>
      <c r="C7" s="13" t="s">
        <v>17</v>
      </c>
      <c r="D7" s="13" t="s">
        <v>19</v>
      </c>
    </row>
    <row r="8" spans="1:4" ht="12.75">
      <c r="A8" s="6" t="s">
        <v>7</v>
      </c>
      <c r="B8" s="8">
        <v>31622575</v>
      </c>
      <c r="C8" s="8">
        <v>31569204</v>
      </c>
      <c r="D8" s="8">
        <f>C8-B8</f>
        <v>-53371</v>
      </c>
    </row>
    <row r="9" spans="1:4" ht="12.75">
      <c r="A9" s="3" t="s">
        <v>8</v>
      </c>
      <c r="B9" s="3">
        <v>16202266</v>
      </c>
      <c r="C9" s="3">
        <v>16237881</v>
      </c>
      <c r="D9" s="3">
        <f aca="true" t="shared" si="0" ref="D9:D14">C9-B9</f>
        <v>35615</v>
      </c>
    </row>
    <row r="10" spans="1:4" ht="12.75">
      <c r="A10" s="3" t="s">
        <v>9</v>
      </c>
      <c r="B10" s="3">
        <v>2409929</v>
      </c>
      <c r="C10" s="3">
        <v>2410323</v>
      </c>
      <c r="D10" s="3">
        <f t="shared" si="0"/>
        <v>394</v>
      </c>
    </row>
    <row r="11" spans="1:4" ht="12.75">
      <c r="A11" s="3" t="s">
        <v>10</v>
      </c>
      <c r="B11" s="3">
        <v>4772787</v>
      </c>
      <c r="C11" s="3">
        <v>4778805</v>
      </c>
      <c r="D11" s="3">
        <f t="shared" si="0"/>
        <v>6018</v>
      </c>
    </row>
    <row r="12" spans="1:4" ht="12.75">
      <c r="A12" s="3" t="s">
        <v>11</v>
      </c>
      <c r="B12" s="3">
        <v>1323307</v>
      </c>
      <c r="C12" s="3">
        <v>1323405</v>
      </c>
      <c r="D12" s="3">
        <f t="shared" si="0"/>
        <v>98</v>
      </c>
    </row>
    <row r="13" spans="1:4" ht="12.75">
      <c r="A13" s="3" t="s">
        <v>12</v>
      </c>
      <c r="B13" s="3">
        <v>1305274</v>
      </c>
      <c r="C13" s="3">
        <v>1316915</v>
      </c>
      <c r="D13" s="3">
        <f t="shared" si="0"/>
        <v>11641</v>
      </c>
    </row>
    <row r="14" spans="1:4" ht="15">
      <c r="A14" s="3" t="s">
        <v>13</v>
      </c>
      <c r="B14" s="11">
        <v>2538004</v>
      </c>
      <c r="C14" s="11">
        <v>2537609</v>
      </c>
      <c r="D14" s="11">
        <f t="shared" si="0"/>
        <v>-395</v>
      </c>
    </row>
    <row r="15" spans="1:4" ht="12.75">
      <c r="A15" s="6" t="s">
        <v>18</v>
      </c>
      <c r="B15" s="8">
        <f>SUM(B8:B14)</f>
        <v>60174142</v>
      </c>
      <c r="C15" s="8">
        <f>SUM(C8:C14)</f>
        <v>60174142</v>
      </c>
      <c r="D15" s="8">
        <f>SUM(D8:D14)</f>
        <v>0</v>
      </c>
    </row>
    <row r="18" ht="12.75">
      <c r="A18" s="19" t="s">
        <v>25</v>
      </c>
    </row>
    <row r="19" ht="12.75">
      <c r="A19" s="6" t="s">
        <v>26</v>
      </c>
    </row>
    <row r="20" ht="12.75">
      <c r="A20" s="6" t="s">
        <v>27</v>
      </c>
    </row>
    <row r="21" ht="12.75">
      <c r="A21" s="6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18.28125" style="3" bestFit="1" customWidth="1"/>
    <col min="2" max="2" width="14.7109375" style="3" bestFit="1" customWidth="1"/>
    <col min="3" max="3" width="13.7109375" style="3" customWidth="1"/>
    <col min="4" max="4" width="9.140625" style="3" customWidth="1"/>
    <col min="5" max="5" width="2.8515625" style="3" customWidth="1"/>
    <col min="6" max="6" width="14.7109375" style="3" bestFit="1" customWidth="1"/>
    <col min="7" max="7" width="13.7109375" style="3" customWidth="1"/>
    <col min="8" max="16384" width="9.140625" style="3" customWidth="1"/>
  </cols>
  <sheetData>
    <row r="1" spans="1:9" ht="12.75">
      <c r="A1" s="3" t="s">
        <v>0</v>
      </c>
      <c r="I1" s="15" t="s">
        <v>29</v>
      </c>
    </row>
    <row r="2" ht="12.75">
      <c r="A2" s="3" t="s">
        <v>1</v>
      </c>
    </row>
    <row r="4" ht="12.75">
      <c r="A4" s="4" t="s">
        <v>30</v>
      </c>
    </row>
    <row r="5" ht="12.75">
      <c r="A5" s="4"/>
    </row>
    <row r="7" spans="2:8" ht="15">
      <c r="B7" s="57" t="s">
        <v>31</v>
      </c>
      <c r="C7" s="57"/>
      <c r="D7" s="57"/>
      <c r="F7" s="57" t="s">
        <v>35</v>
      </c>
      <c r="G7" s="57"/>
      <c r="H7" s="57"/>
    </row>
    <row r="8" spans="2:8" s="13" customFormat="1" ht="15">
      <c r="B8" s="13" t="s">
        <v>32</v>
      </c>
      <c r="C8" s="13" t="s">
        <v>33</v>
      </c>
      <c r="D8" s="13" t="s">
        <v>34</v>
      </c>
      <c r="F8" s="13" t="s">
        <v>32</v>
      </c>
      <c r="G8" s="13" t="s">
        <v>33</v>
      </c>
      <c r="H8" s="13" t="s">
        <v>34</v>
      </c>
    </row>
    <row r="9" spans="1:8" ht="12.75">
      <c r="A9" s="6" t="s">
        <v>7</v>
      </c>
      <c r="B9" s="8">
        <f>'SJR-2'!B8</f>
        <v>31622575</v>
      </c>
      <c r="C9" s="8">
        <v>26854095</v>
      </c>
      <c r="D9" s="21">
        <f>C9/B9</f>
        <v>0.849206460890677</v>
      </c>
      <c r="F9" s="8">
        <f>'SJR-2'!C8</f>
        <v>31569204</v>
      </c>
      <c r="G9" s="8">
        <f>C9</f>
        <v>26854095</v>
      </c>
      <c r="H9" s="21">
        <f>G9/F9</f>
        <v>0.8506421321234454</v>
      </c>
    </row>
    <row r="10" spans="1:8" ht="12.75">
      <c r="A10" s="3" t="s">
        <v>8</v>
      </c>
      <c r="B10" s="3">
        <f>'SJR-2'!B9</f>
        <v>16202266</v>
      </c>
      <c r="C10" s="3">
        <v>12739187</v>
      </c>
      <c r="D10" s="21">
        <f aca="true" t="shared" si="0" ref="D10:D16">C10/B10</f>
        <v>0.7862595886279117</v>
      </c>
      <c r="F10" s="3">
        <f>'SJR-2'!C9</f>
        <v>16237881</v>
      </c>
      <c r="G10" s="3">
        <f aca="true" t="shared" si="1" ref="G10:G15">C10</f>
        <v>12739187</v>
      </c>
      <c r="H10" s="21">
        <f aca="true" t="shared" si="2" ref="H10:H16">G10/F10</f>
        <v>0.7845350634112912</v>
      </c>
    </row>
    <row r="11" spans="1:8" ht="12.75">
      <c r="A11" s="3" t="s">
        <v>9</v>
      </c>
      <c r="B11" s="3">
        <f>'SJR-2'!B10</f>
        <v>2409929</v>
      </c>
      <c r="C11" s="3">
        <v>1522907</v>
      </c>
      <c r="D11" s="21">
        <f t="shared" si="0"/>
        <v>0.6319302352890894</v>
      </c>
      <c r="F11" s="3">
        <f>'SJR-2'!C10</f>
        <v>2410323</v>
      </c>
      <c r="G11" s="3">
        <f t="shared" si="1"/>
        <v>1522907</v>
      </c>
      <c r="H11" s="21">
        <f t="shared" si="2"/>
        <v>0.631826937717476</v>
      </c>
    </row>
    <row r="12" spans="1:8" ht="12.75">
      <c r="A12" s="3" t="s">
        <v>10</v>
      </c>
      <c r="B12" s="3">
        <f>'SJR-2'!B11</f>
        <v>4772787</v>
      </c>
      <c r="C12" s="3">
        <v>3781085</v>
      </c>
      <c r="D12" s="21">
        <f t="shared" si="0"/>
        <v>0.7922174192982004</v>
      </c>
      <c r="F12" s="3">
        <f>'SJR-2'!C11</f>
        <v>4778805</v>
      </c>
      <c r="G12" s="3">
        <f t="shared" si="1"/>
        <v>3781085</v>
      </c>
      <c r="H12" s="21">
        <f t="shared" si="2"/>
        <v>0.7912197714700642</v>
      </c>
    </row>
    <row r="13" spans="1:8" ht="12.75">
      <c r="A13" s="3" t="s">
        <v>11</v>
      </c>
      <c r="B13" s="3">
        <f>'SJR-2'!B12</f>
        <v>1323307</v>
      </c>
      <c r="C13" s="3">
        <v>1018444</v>
      </c>
      <c r="D13" s="21">
        <f t="shared" si="0"/>
        <v>0.7696203526468159</v>
      </c>
      <c r="F13" s="3">
        <f>'SJR-2'!C12</f>
        <v>1323405</v>
      </c>
      <c r="G13" s="3">
        <f t="shared" si="1"/>
        <v>1018444</v>
      </c>
      <c r="H13" s="21">
        <f t="shared" si="2"/>
        <v>0.7695633611781729</v>
      </c>
    </row>
    <row r="14" spans="1:8" ht="12.75">
      <c r="A14" s="3" t="s">
        <v>12</v>
      </c>
      <c r="B14" s="3">
        <f>'SJR-2'!B13</f>
        <v>1305274</v>
      </c>
      <c r="C14" s="3">
        <v>1065763</v>
      </c>
      <c r="D14" s="21">
        <f t="shared" si="0"/>
        <v>0.8165051935455697</v>
      </c>
      <c r="F14" s="3">
        <f>'SJR-2'!C13</f>
        <v>1316915</v>
      </c>
      <c r="G14" s="3">
        <f t="shared" si="1"/>
        <v>1065763</v>
      </c>
      <c r="H14" s="21">
        <f t="shared" si="2"/>
        <v>0.8092876153738092</v>
      </c>
    </row>
    <row r="15" spans="1:8" ht="15">
      <c r="A15" s="3" t="s">
        <v>13</v>
      </c>
      <c r="B15" s="11">
        <f>'SJR-2'!B14</f>
        <v>2538004</v>
      </c>
      <c r="C15" s="11">
        <v>2261424</v>
      </c>
      <c r="D15" s="22">
        <f t="shared" si="0"/>
        <v>0.8910246004340419</v>
      </c>
      <c r="F15" s="11">
        <f>'SJR-2'!C14</f>
        <v>2537609</v>
      </c>
      <c r="G15" s="11">
        <f t="shared" si="1"/>
        <v>2261424</v>
      </c>
      <c r="H15" s="22">
        <f t="shared" si="2"/>
        <v>0.8911632958426613</v>
      </c>
    </row>
    <row r="16" spans="1:8" ht="12.75">
      <c r="A16" s="6" t="s">
        <v>18</v>
      </c>
      <c r="B16" s="8">
        <f>SUM(B9:B15)</f>
        <v>60174142</v>
      </c>
      <c r="C16" s="8">
        <f>SUM(C9:C15)</f>
        <v>49242905</v>
      </c>
      <c r="D16" s="21">
        <f t="shared" si="0"/>
        <v>0.8183399607093691</v>
      </c>
      <c r="F16" s="8">
        <f>SUM(F9:F15)</f>
        <v>60174142</v>
      </c>
      <c r="G16" s="8">
        <f>SUM(G9:G15)</f>
        <v>49242905</v>
      </c>
      <c r="H16" s="21">
        <f t="shared" si="2"/>
        <v>0.8183399607093691</v>
      </c>
    </row>
    <row r="19" ht="12.75">
      <c r="F19" s="37"/>
    </row>
  </sheetData>
  <mergeCells count="2">
    <mergeCell ref="B7:D7"/>
    <mergeCell ref="F7:H7"/>
  </mergeCells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3" bestFit="1" customWidth="1"/>
    <col min="2" max="2" width="14.00390625" style="3" bestFit="1" customWidth="1"/>
    <col min="3" max="3" width="2.8515625" style="3" customWidth="1"/>
    <col min="4" max="4" width="14.00390625" style="3" bestFit="1" customWidth="1"/>
    <col min="5" max="5" width="10.7109375" style="3" bestFit="1" customWidth="1"/>
    <col min="6" max="6" width="2.8515625" style="3" customWidth="1"/>
    <col min="7" max="7" width="11.7109375" style="3" customWidth="1"/>
    <col min="8" max="8" width="10.7109375" style="3" bestFit="1" customWidth="1"/>
    <col min="9" max="16384" width="9.140625" style="3" customWidth="1"/>
  </cols>
  <sheetData>
    <row r="1" spans="1:8" ht="12.75">
      <c r="A1" s="3" t="s">
        <v>0</v>
      </c>
      <c r="H1" s="15" t="s">
        <v>113</v>
      </c>
    </row>
    <row r="2" ht="12.75">
      <c r="A2" s="3" t="s">
        <v>1</v>
      </c>
    </row>
    <row r="4" ht="12.75">
      <c r="A4" s="4" t="s">
        <v>119</v>
      </c>
    </row>
    <row r="5" ht="12.75">
      <c r="A5" s="4"/>
    </row>
    <row r="7" spans="2:8" s="13" customFormat="1" ht="15">
      <c r="B7" s="35" t="s">
        <v>38</v>
      </c>
      <c r="C7" s="35"/>
      <c r="D7" s="56" t="s">
        <v>115</v>
      </c>
      <c r="E7" s="56"/>
      <c r="F7" s="35"/>
      <c r="G7" s="56" t="s">
        <v>41</v>
      </c>
      <c r="H7" s="56"/>
    </row>
    <row r="8" spans="2:8" s="13" customFormat="1" ht="15">
      <c r="B8" s="12" t="s">
        <v>33</v>
      </c>
      <c r="C8" s="12"/>
      <c r="D8" s="12" t="s">
        <v>33</v>
      </c>
      <c r="E8" s="13" t="s">
        <v>114</v>
      </c>
      <c r="F8" s="12"/>
      <c r="G8" s="12" t="s">
        <v>33</v>
      </c>
      <c r="H8" s="13" t="s">
        <v>114</v>
      </c>
    </row>
    <row r="9" spans="1:8" ht="12.75">
      <c r="A9" s="6" t="s">
        <v>110</v>
      </c>
      <c r="B9" s="8">
        <f>SUM('SJR-5'!K33,'SJR-5'!P33,'SJR-5'!Z33,'SJR-5'!K106,'SJR-5'!K113,'SJR-5'!K120)</f>
        <v>1156140</v>
      </c>
      <c r="C9" s="8"/>
      <c r="D9" s="8">
        <f>SUM('SJR-5'!L33,'SJR-5'!Q33,'SJR-5'!AA33,'SJR-5'!L106,'SJR-5'!L113,'SJR-5'!L120)</f>
        <v>756658</v>
      </c>
      <c r="E9" s="21">
        <f>D9/$B9-1</f>
        <v>-0.34553081806701613</v>
      </c>
      <c r="F9" s="8"/>
      <c r="G9" s="8">
        <f>SUM('SJR-5'!M33,'SJR-5'!R33,'SJR-5'!AB33,'SJR-5'!M106,'SJR-5'!M113,'SJR-5'!M120)</f>
        <v>1111774</v>
      </c>
      <c r="H9" s="21">
        <f>G9/$B9-1</f>
        <v>-0.03837424533361011</v>
      </c>
    </row>
    <row r="10" spans="1:8" ht="12.75">
      <c r="A10" s="6" t="s">
        <v>111</v>
      </c>
      <c r="B10" s="3">
        <f>SUM('SJR-5'!K46,'SJR-5'!P46,'SJR-5'!K128)</f>
        <v>93638</v>
      </c>
      <c r="D10" s="3">
        <f>SUM('SJR-5'!L46,'SJR-5'!Q46,'SJR-5'!L128)</f>
        <v>89390</v>
      </c>
      <c r="E10" s="21">
        <f>D10/$B10-1</f>
        <v>-0.04536619748392745</v>
      </c>
      <c r="G10" s="3">
        <f>SUM('SJR-5'!M46,'SJR-5'!R46,'SJR-5'!M128)</f>
        <v>87891</v>
      </c>
      <c r="H10" s="21">
        <f>G10/$B10-1</f>
        <v>-0.06137465558854316</v>
      </c>
    </row>
    <row r="11" spans="1:8" ht="15">
      <c r="A11" s="6" t="s">
        <v>112</v>
      </c>
      <c r="B11" s="11">
        <f>SUM('SJR-5'!K59,'SJR-5'!P59,'SJR-5'!K140,'SJR-5'!K145,'SJR-5'!K150,'SJR-5'!K157,'SJR-5'!K166,'SJR-5'!K171,'SJR-5'!K176,'SJR-5'!K183)</f>
        <v>474021</v>
      </c>
      <c r="C11" s="11"/>
      <c r="D11" s="11">
        <f>SUM('SJR-5'!L59,'SJR-5'!Q59,'SJR-5'!L140,'SJR-5'!L145,'SJR-5'!L150,'SJR-5'!L157,'SJR-5'!L166,'SJR-5'!L171,'SJR-5'!L176,'SJR-5'!L183)</f>
        <v>425899</v>
      </c>
      <c r="E11" s="22">
        <f>D11/$B11-1</f>
        <v>-0.10151870908672822</v>
      </c>
      <c r="F11" s="11"/>
      <c r="G11" s="11">
        <f>SUM('SJR-5'!M59,'SJR-5'!R59,'SJR-5'!M140,'SJR-5'!M145,'SJR-5'!M150,'SJR-5'!M157,'SJR-5'!M166,'SJR-5'!M171,'SJR-5'!M176,'SJR-5'!M183)</f>
        <v>450468</v>
      </c>
      <c r="H11" s="22">
        <f>G11/$B11-1</f>
        <v>-0.04968767206516167</v>
      </c>
    </row>
    <row r="12" spans="1:8" ht="12.75">
      <c r="A12" s="6" t="s">
        <v>18</v>
      </c>
      <c r="B12" s="8">
        <f>SUM(B9:B11)</f>
        <v>1723799</v>
      </c>
      <c r="C12" s="8"/>
      <c r="D12" s="8">
        <f>SUM(D9:D11)</f>
        <v>1271947</v>
      </c>
      <c r="E12" s="21">
        <f>D12/$B12-1</f>
        <v>-0.26212568866787833</v>
      </c>
      <c r="F12" s="8"/>
      <c r="G12" s="8">
        <f>SUM(G9:G11)</f>
        <v>1650133</v>
      </c>
      <c r="H12" s="21">
        <f>G12/$B12-1</f>
        <v>-0.04273468078354847</v>
      </c>
    </row>
  </sheetData>
  <mergeCells count="2">
    <mergeCell ref="D7:E7"/>
    <mergeCell ref="G7:H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1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1" bestFit="1" customWidth="1"/>
    <col min="2" max="2" width="14.00390625" style="1" bestFit="1" customWidth="1"/>
    <col min="3" max="3" width="3.140625" style="1" customWidth="1"/>
    <col min="4" max="4" width="11.28125" style="1" bestFit="1" customWidth="1"/>
    <col min="5" max="5" width="11.57421875" style="1" bestFit="1" customWidth="1"/>
    <col min="6" max="6" width="3.140625" style="1" customWidth="1"/>
    <col min="7" max="7" width="11.28125" style="1" bestFit="1" customWidth="1"/>
    <col min="8" max="8" width="11.57421875" style="1" bestFit="1" customWidth="1"/>
    <col min="9" max="9" width="9.140625" style="1" customWidth="1"/>
    <col min="10" max="10" width="14.140625" style="1" bestFit="1" customWidth="1"/>
    <col min="11" max="11" width="13.8515625" style="1" customWidth="1"/>
    <col min="12" max="12" width="14.57421875" style="1" bestFit="1" customWidth="1"/>
    <col min="13" max="13" width="11.421875" style="1" bestFit="1" customWidth="1"/>
    <col min="14" max="14" width="2.8515625" style="1" customWidth="1"/>
    <col min="15" max="15" width="9.140625" style="1" customWidth="1"/>
    <col min="16" max="16" width="11.28125" style="1" bestFit="1" customWidth="1"/>
    <col min="17" max="17" width="10.00390625" style="1" bestFit="1" customWidth="1"/>
    <col min="18" max="18" width="10.28125" style="1" bestFit="1" customWidth="1"/>
    <col min="19" max="19" width="3.00390625" style="3" customWidth="1"/>
    <col min="20" max="20" width="7.7109375" style="1" customWidth="1"/>
    <col min="21" max="22" width="10.28125" style="1" bestFit="1" customWidth="1"/>
    <col min="23" max="23" width="10.28125" style="3" bestFit="1" customWidth="1"/>
    <col min="24" max="24" width="2.57421875" style="1" customWidth="1"/>
    <col min="25" max="28" width="9.140625" style="1" customWidth="1"/>
    <col min="29" max="29" width="3.140625" style="1" customWidth="1"/>
    <col min="30" max="16384" width="9.140625" style="1" customWidth="1"/>
  </cols>
  <sheetData>
    <row r="1" spans="1:8" ht="12.75">
      <c r="A1" s="1" t="s">
        <v>0</v>
      </c>
      <c r="H1" s="16"/>
    </row>
    <row r="2" ht="12.75">
      <c r="A2" s="1" t="s">
        <v>1</v>
      </c>
    </row>
    <row r="4" ht="12.75">
      <c r="A4" s="2" t="s">
        <v>117</v>
      </c>
    </row>
    <row r="5" ht="12.75">
      <c r="A5" s="26" t="s">
        <v>118</v>
      </c>
    </row>
    <row r="7" spans="1:31" ht="12.75">
      <c r="A7" s="24" t="s">
        <v>36</v>
      </c>
      <c r="K7" s="17" t="s">
        <v>89</v>
      </c>
      <c r="P7" s="17" t="s">
        <v>90</v>
      </c>
      <c r="U7" s="17" t="s">
        <v>91</v>
      </c>
      <c r="W7" s="1"/>
      <c r="Z7" s="17" t="s">
        <v>92</v>
      </c>
      <c r="AE7" s="17" t="s">
        <v>93</v>
      </c>
    </row>
    <row r="8" spans="1:23" ht="12.75">
      <c r="A8" s="17"/>
      <c r="B8" s="25" t="s">
        <v>37</v>
      </c>
      <c r="W8" s="1"/>
    </row>
    <row r="9" spans="1:33" s="23" customFormat="1" ht="15">
      <c r="A9" s="30"/>
      <c r="D9" s="58" t="s">
        <v>40</v>
      </c>
      <c r="E9" s="58"/>
      <c r="G9" s="58" t="s">
        <v>41</v>
      </c>
      <c r="H9" s="58"/>
      <c r="K9" s="30" t="s">
        <v>38</v>
      </c>
      <c r="L9" s="30" t="s">
        <v>88</v>
      </c>
      <c r="M9" s="30" t="s">
        <v>17</v>
      </c>
      <c r="P9" s="30" t="s">
        <v>38</v>
      </c>
      <c r="Q9" s="30" t="s">
        <v>88</v>
      </c>
      <c r="R9" s="30" t="s">
        <v>17</v>
      </c>
      <c r="S9" s="7"/>
      <c r="U9" s="30" t="s">
        <v>38</v>
      </c>
      <c r="V9" s="30" t="s">
        <v>88</v>
      </c>
      <c r="W9" s="30" t="s">
        <v>17</v>
      </c>
      <c r="Z9" s="30" t="s">
        <v>38</v>
      </c>
      <c r="AA9" s="30" t="s">
        <v>88</v>
      </c>
      <c r="AB9" s="30" t="s">
        <v>17</v>
      </c>
      <c r="AE9" s="30" t="s">
        <v>38</v>
      </c>
      <c r="AF9" s="30" t="s">
        <v>88</v>
      </c>
      <c r="AG9" s="30" t="s">
        <v>17</v>
      </c>
    </row>
    <row r="10" spans="2:33" s="20" customFormat="1" ht="15">
      <c r="B10" s="20" t="s">
        <v>38</v>
      </c>
      <c r="D10" s="20" t="s">
        <v>42</v>
      </c>
      <c r="E10" s="20" t="s">
        <v>39</v>
      </c>
      <c r="G10" s="20" t="s">
        <v>42</v>
      </c>
      <c r="H10" s="20" t="s">
        <v>39</v>
      </c>
      <c r="J10" s="20" t="s">
        <v>87</v>
      </c>
      <c r="K10" s="20" t="s">
        <v>16</v>
      </c>
      <c r="L10" s="20" t="s">
        <v>16</v>
      </c>
      <c r="M10" s="20" t="s">
        <v>16</v>
      </c>
      <c r="O10" s="20" t="s">
        <v>87</v>
      </c>
      <c r="P10" s="20" t="s">
        <v>16</v>
      </c>
      <c r="Q10" s="20" t="s">
        <v>16</v>
      </c>
      <c r="R10" s="20" t="s">
        <v>16</v>
      </c>
      <c r="S10" s="13"/>
      <c r="T10" s="20" t="s">
        <v>87</v>
      </c>
      <c r="U10" s="20" t="s">
        <v>16</v>
      </c>
      <c r="V10" s="20" t="s">
        <v>16</v>
      </c>
      <c r="W10" s="20" t="s">
        <v>16</v>
      </c>
      <c r="Y10" s="20" t="s">
        <v>87</v>
      </c>
      <c r="Z10" s="20" t="s">
        <v>16</v>
      </c>
      <c r="AA10" s="20" t="s">
        <v>16</v>
      </c>
      <c r="AB10" s="20" t="s">
        <v>16</v>
      </c>
      <c r="AD10" s="20" t="s">
        <v>87</v>
      </c>
      <c r="AE10" s="20" t="s">
        <v>16</v>
      </c>
      <c r="AF10" s="20" t="s">
        <v>16</v>
      </c>
      <c r="AG10" s="20" t="s">
        <v>16</v>
      </c>
    </row>
    <row r="11" spans="1:33" ht="12.75">
      <c r="A11" s="1" t="s">
        <v>43</v>
      </c>
      <c r="B11" s="1">
        <v>7.95</v>
      </c>
      <c r="D11" s="1">
        <f>$B11</f>
        <v>7.95</v>
      </c>
      <c r="E11" s="21">
        <f>D11/$B11-1</f>
        <v>0</v>
      </c>
      <c r="G11" s="1">
        <f>$B11</f>
        <v>7.95</v>
      </c>
      <c r="H11" s="21">
        <f aca="true" t="shared" si="0" ref="H11:H19">G11/$B11-1</f>
        <v>0</v>
      </c>
      <c r="J11" s="3">
        <v>1229400</v>
      </c>
      <c r="K11" s="3">
        <f>ROUND(J11*$B11,0)</f>
        <v>9773730</v>
      </c>
      <c r="L11" s="3">
        <f>ROUND(J11*$D11,0)</f>
        <v>9773730</v>
      </c>
      <c r="M11" s="3">
        <f>ROUND(J11*$G11,0)</f>
        <v>9773730</v>
      </c>
      <c r="O11" s="3">
        <v>56725</v>
      </c>
      <c r="P11" s="3">
        <f>ROUND(O11*$B11,0)</f>
        <v>450964</v>
      </c>
      <c r="Q11" s="3">
        <f>ROUND(O11*$D11,0)</f>
        <v>450964</v>
      </c>
      <c r="R11" s="3">
        <f>ROUND(O11*$G11,0)</f>
        <v>450964</v>
      </c>
      <c r="T11" s="3">
        <v>24</v>
      </c>
      <c r="U11" s="3">
        <f>ROUND(T11*$B11,0)</f>
        <v>191</v>
      </c>
      <c r="V11" s="3">
        <f>ROUND(T11*$D11,0)</f>
        <v>191</v>
      </c>
      <c r="W11" s="3">
        <f>ROUND(T11*$G11,0)</f>
        <v>191</v>
      </c>
      <c r="Y11" s="3">
        <v>1692</v>
      </c>
      <c r="Z11" s="3">
        <f>ROUND(Y11*$B11,0)</f>
        <v>13451</v>
      </c>
      <c r="AA11" s="3">
        <f>ROUND(Y11*$D11,0)</f>
        <v>13451</v>
      </c>
      <c r="AB11" s="3">
        <f>ROUND(Y11*$G11,0)</f>
        <v>13451</v>
      </c>
      <c r="AD11" s="3">
        <v>0</v>
      </c>
      <c r="AE11" s="3">
        <f>ROUND(AD11*$B11,0)</f>
        <v>0</v>
      </c>
      <c r="AF11" s="3">
        <f>ROUND(AD11*$D11,0)</f>
        <v>0</v>
      </c>
      <c r="AG11" s="3">
        <f>ROUND(AD11*$G11,0)</f>
        <v>0</v>
      </c>
    </row>
    <row r="12" spans="1:33" ht="12.75">
      <c r="A12" s="1" t="s">
        <v>44</v>
      </c>
      <c r="B12" s="1">
        <v>11.94</v>
      </c>
      <c r="D12" s="1">
        <f aca="true" t="shared" si="1" ref="D12:D19">$B12</f>
        <v>11.94</v>
      </c>
      <c r="E12" s="21">
        <f aca="true" t="shared" si="2" ref="E12:E19">D12/$B12-1</f>
        <v>0</v>
      </c>
      <c r="G12" s="1">
        <f aca="true" t="shared" si="3" ref="G12:G19">$B12</f>
        <v>11.94</v>
      </c>
      <c r="H12" s="21">
        <f t="shared" si="0"/>
        <v>0</v>
      </c>
      <c r="J12" s="3">
        <v>12</v>
      </c>
      <c r="K12" s="3">
        <f aca="true" t="shared" si="4" ref="K12:K19">ROUND(J12*$B12,0)</f>
        <v>143</v>
      </c>
      <c r="L12" s="3">
        <f aca="true" t="shared" si="5" ref="L12:L19">ROUND(J12*$D12,0)</f>
        <v>143</v>
      </c>
      <c r="M12" s="3">
        <f aca="true" t="shared" si="6" ref="M12:M19">ROUND(J12*$G12,0)</f>
        <v>143</v>
      </c>
      <c r="O12" s="3">
        <v>0</v>
      </c>
      <c r="P12" s="3">
        <f aca="true" t="shared" si="7" ref="P12:P19">ROUND(O12*$B12,0)</f>
        <v>0</v>
      </c>
      <c r="Q12" s="3">
        <f aca="true" t="shared" si="8" ref="Q12:Q19">ROUND(O12*$D12,0)</f>
        <v>0</v>
      </c>
      <c r="R12" s="3">
        <f aca="true" t="shared" si="9" ref="R12:R19">ROUND(O12*$G12,0)</f>
        <v>0</v>
      </c>
      <c r="T12" s="3">
        <v>0</v>
      </c>
      <c r="U12" s="3">
        <f aca="true" t="shared" si="10" ref="U12:U19">ROUND(T12*$B12,0)</f>
        <v>0</v>
      </c>
      <c r="V12" s="3">
        <f aca="true" t="shared" si="11" ref="V12:V19">ROUND(T12*$D12,0)</f>
        <v>0</v>
      </c>
      <c r="W12" s="3">
        <f aca="true" t="shared" si="12" ref="W12:W19">ROUND(T12*$G12,0)</f>
        <v>0</v>
      </c>
      <c r="Y12" s="3">
        <v>0</v>
      </c>
      <c r="Z12" s="3">
        <f aca="true" t="shared" si="13" ref="Z12:Z19">ROUND(Y12*$B12,0)</f>
        <v>0</v>
      </c>
      <c r="AA12" s="3">
        <f aca="true" t="shared" si="14" ref="AA12:AA19">ROUND(Y12*$D12,0)</f>
        <v>0</v>
      </c>
      <c r="AB12" s="3">
        <f aca="true" t="shared" si="15" ref="AB12:AB19">ROUND(Y12*$G12,0)</f>
        <v>0</v>
      </c>
      <c r="AD12" s="3">
        <v>0</v>
      </c>
      <c r="AE12" s="3">
        <f aca="true" t="shared" si="16" ref="AE12:AE19">ROUND(AD12*$B12,0)</f>
        <v>0</v>
      </c>
      <c r="AF12" s="3">
        <f aca="true" t="shared" si="17" ref="AF12:AF19">ROUND(AD12*$D12,0)</f>
        <v>0</v>
      </c>
      <c r="AG12" s="3">
        <f aca="true" t="shared" si="18" ref="AG12:AG19">ROUND(AD12*$G12,0)</f>
        <v>0</v>
      </c>
    </row>
    <row r="13" spans="1:33" ht="12.75">
      <c r="A13" s="1" t="s">
        <v>45</v>
      </c>
      <c r="B13" s="1">
        <v>19.89</v>
      </c>
      <c r="D13" s="1">
        <f t="shared" si="1"/>
        <v>19.89</v>
      </c>
      <c r="E13" s="21">
        <f t="shared" si="2"/>
        <v>0</v>
      </c>
      <c r="G13" s="1">
        <f t="shared" si="3"/>
        <v>19.89</v>
      </c>
      <c r="H13" s="21">
        <f t="shared" si="0"/>
        <v>0</v>
      </c>
      <c r="J13" s="3">
        <v>20876</v>
      </c>
      <c r="K13" s="3">
        <f t="shared" si="4"/>
        <v>415224</v>
      </c>
      <c r="L13" s="3">
        <f t="shared" si="5"/>
        <v>415224</v>
      </c>
      <c r="M13" s="3">
        <f t="shared" si="6"/>
        <v>415224</v>
      </c>
      <c r="O13" s="3">
        <v>26123</v>
      </c>
      <c r="P13" s="3">
        <f t="shared" si="7"/>
        <v>519586</v>
      </c>
      <c r="Q13" s="3">
        <f t="shared" si="8"/>
        <v>519586</v>
      </c>
      <c r="R13" s="3">
        <f t="shared" si="9"/>
        <v>519586</v>
      </c>
      <c r="T13" s="3">
        <v>24</v>
      </c>
      <c r="U13" s="3">
        <f t="shared" si="10"/>
        <v>477</v>
      </c>
      <c r="V13" s="3">
        <f t="shared" si="11"/>
        <v>477</v>
      </c>
      <c r="W13" s="3">
        <f t="shared" si="12"/>
        <v>477</v>
      </c>
      <c r="Y13" s="3">
        <v>2004</v>
      </c>
      <c r="Z13" s="3">
        <f t="shared" si="13"/>
        <v>39860</v>
      </c>
      <c r="AA13" s="3">
        <f t="shared" si="14"/>
        <v>39860</v>
      </c>
      <c r="AB13" s="3">
        <f t="shared" si="15"/>
        <v>39860</v>
      </c>
      <c r="AD13" s="3">
        <v>0</v>
      </c>
      <c r="AE13" s="3">
        <f t="shared" si="16"/>
        <v>0</v>
      </c>
      <c r="AF13" s="3">
        <f t="shared" si="17"/>
        <v>0</v>
      </c>
      <c r="AG13" s="3">
        <f t="shared" si="18"/>
        <v>0</v>
      </c>
    </row>
    <row r="14" spans="1:33" ht="12.75">
      <c r="A14" s="1" t="s">
        <v>46</v>
      </c>
      <c r="B14" s="1">
        <v>39.77</v>
      </c>
      <c r="D14" s="1">
        <f t="shared" si="1"/>
        <v>39.77</v>
      </c>
      <c r="E14" s="21">
        <f t="shared" si="2"/>
        <v>0</v>
      </c>
      <c r="G14" s="1">
        <f t="shared" si="3"/>
        <v>39.77</v>
      </c>
      <c r="H14" s="21">
        <f t="shared" si="0"/>
        <v>0</v>
      </c>
      <c r="J14" s="3">
        <v>192</v>
      </c>
      <c r="K14" s="3">
        <f t="shared" si="4"/>
        <v>7636</v>
      </c>
      <c r="L14" s="3">
        <f t="shared" si="5"/>
        <v>7636</v>
      </c>
      <c r="M14" s="3">
        <f t="shared" si="6"/>
        <v>7636</v>
      </c>
      <c r="O14" s="3">
        <v>2016</v>
      </c>
      <c r="P14" s="3">
        <f t="shared" si="7"/>
        <v>80176</v>
      </c>
      <c r="Q14" s="3">
        <f t="shared" si="8"/>
        <v>80176</v>
      </c>
      <c r="R14" s="3">
        <f t="shared" si="9"/>
        <v>80176</v>
      </c>
      <c r="T14" s="3">
        <v>12</v>
      </c>
      <c r="U14" s="3">
        <f t="shared" si="10"/>
        <v>477</v>
      </c>
      <c r="V14" s="3">
        <f t="shared" si="11"/>
        <v>477</v>
      </c>
      <c r="W14" s="3">
        <f t="shared" si="12"/>
        <v>477</v>
      </c>
      <c r="Y14" s="3">
        <v>312</v>
      </c>
      <c r="Z14" s="3">
        <f t="shared" si="13"/>
        <v>12408</v>
      </c>
      <c r="AA14" s="3">
        <f t="shared" si="14"/>
        <v>12408</v>
      </c>
      <c r="AB14" s="3">
        <f t="shared" si="15"/>
        <v>12408</v>
      </c>
      <c r="AD14" s="3">
        <v>36</v>
      </c>
      <c r="AE14" s="3">
        <f t="shared" si="16"/>
        <v>1432</v>
      </c>
      <c r="AF14" s="3">
        <f t="shared" si="17"/>
        <v>1432</v>
      </c>
      <c r="AG14" s="3">
        <f t="shared" si="18"/>
        <v>1432</v>
      </c>
    </row>
    <row r="15" spans="1:33" ht="12.75">
      <c r="A15" s="1" t="s">
        <v>47</v>
      </c>
      <c r="B15" s="1">
        <v>63.64</v>
      </c>
      <c r="D15" s="1">
        <f t="shared" si="1"/>
        <v>63.64</v>
      </c>
      <c r="E15" s="21">
        <f t="shared" si="2"/>
        <v>0</v>
      </c>
      <c r="G15" s="1">
        <f t="shared" si="3"/>
        <v>63.64</v>
      </c>
      <c r="H15" s="21">
        <f t="shared" si="0"/>
        <v>0</v>
      </c>
      <c r="J15" s="3">
        <v>1236</v>
      </c>
      <c r="K15" s="3">
        <f t="shared" si="4"/>
        <v>78659</v>
      </c>
      <c r="L15" s="3">
        <f t="shared" si="5"/>
        <v>78659</v>
      </c>
      <c r="M15" s="3">
        <f t="shared" si="6"/>
        <v>78659</v>
      </c>
      <c r="O15" s="3">
        <v>19848</v>
      </c>
      <c r="P15" s="3">
        <f t="shared" si="7"/>
        <v>1263127</v>
      </c>
      <c r="Q15" s="3">
        <f t="shared" si="8"/>
        <v>1263127</v>
      </c>
      <c r="R15" s="3">
        <f t="shared" si="9"/>
        <v>1263127</v>
      </c>
      <c r="T15" s="3">
        <v>288</v>
      </c>
      <c r="U15" s="3">
        <f t="shared" si="10"/>
        <v>18328</v>
      </c>
      <c r="V15" s="3">
        <f t="shared" si="11"/>
        <v>18328</v>
      </c>
      <c r="W15" s="3">
        <f t="shared" si="12"/>
        <v>18328</v>
      </c>
      <c r="Y15" s="3">
        <v>4020</v>
      </c>
      <c r="Z15" s="3">
        <f t="shared" si="13"/>
        <v>255833</v>
      </c>
      <c r="AA15" s="3">
        <f t="shared" si="14"/>
        <v>255833</v>
      </c>
      <c r="AB15" s="3">
        <f t="shared" si="15"/>
        <v>255833</v>
      </c>
      <c r="AD15" s="3">
        <v>84</v>
      </c>
      <c r="AE15" s="3">
        <f t="shared" si="16"/>
        <v>5346</v>
      </c>
      <c r="AF15" s="3">
        <f t="shared" si="17"/>
        <v>5346</v>
      </c>
      <c r="AG15" s="3">
        <f t="shared" si="18"/>
        <v>5346</v>
      </c>
    </row>
    <row r="16" spans="1:33" ht="12.75">
      <c r="A16" s="1" t="s">
        <v>48</v>
      </c>
      <c r="B16" s="1">
        <v>119.32</v>
      </c>
      <c r="D16" s="1">
        <f t="shared" si="1"/>
        <v>119.32</v>
      </c>
      <c r="E16" s="21">
        <f t="shared" si="2"/>
        <v>0</v>
      </c>
      <c r="G16" s="1">
        <f t="shared" si="3"/>
        <v>119.32</v>
      </c>
      <c r="H16" s="21">
        <f t="shared" si="0"/>
        <v>0</v>
      </c>
      <c r="J16" s="1">
        <v>0</v>
      </c>
      <c r="K16" s="3">
        <f t="shared" si="4"/>
        <v>0</v>
      </c>
      <c r="L16" s="3">
        <f t="shared" si="5"/>
        <v>0</v>
      </c>
      <c r="M16" s="3">
        <f t="shared" si="6"/>
        <v>0</v>
      </c>
      <c r="O16" s="1">
        <v>60</v>
      </c>
      <c r="P16" s="3">
        <f t="shared" si="7"/>
        <v>7159</v>
      </c>
      <c r="Q16" s="3">
        <f t="shared" si="8"/>
        <v>7159</v>
      </c>
      <c r="R16" s="3">
        <f t="shared" si="9"/>
        <v>7159</v>
      </c>
      <c r="T16" s="1">
        <v>0</v>
      </c>
      <c r="U16" s="3">
        <f t="shared" si="10"/>
        <v>0</v>
      </c>
      <c r="V16" s="3">
        <f t="shared" si="11"/>
        <v>0</v>
      </c>
      <c r="W16" s="3">
        <f t="shared" si="12"/>
        <v>0</v>
      </c>
      <c r="Y16" s="1">
        <v>0</v>
      </c>
      <c r="Z16" s="3">
        <f t="shared" si="13"/>
        <v>0</v>
      </c>
      <c r="AA16" s="3">
        <f t="shared" si="14"/>
        <v>0</v>
      </c>
      <c r="AB16" s="3">
        <f t="shared" si="15"/>
        <v>0</v>
      </c>
      <c r="AD16" s="1">
        <v>0</v>
      </c>
      <c r="AE16" s="3">
        <f t="shared" si="16"/>
        <v>0</v>
      </c>
      <c r="AF16" s="3">
        <f t="shared" si="17"/>
        <v>0</v>
      </c>
      <c r="AG16" s="3">
        <f t="shared" si="18"/>
        <v>0</v>
      </c>
    </row>
    <row r="17" spans="1:33" ht="12.75">
      <c r="A17" s="1" t="s">
        <v>49</v>
      </c>
      <c r="B17" s="1">
        <v>198.86</v>
      </c>
      <c r="D17" s="1">
        <f t="shared" si="1"/>
        <v>198.86</v>
      </c>
      <c r="E17" s="21">
        <f t="shared" si="2"/>
        <v>0</v>
      </c>
      <c r="G17" s="1">
        <f t="shared" si="3"/>
        <v>198.86</v>
      </c>
      <c r="H17" s="21">
        <f t="shared" si="0"/>
        <v>0</v>
      </c>
      <c r="J17" s="1">
        <v>0</v>
      </c>
      <c r="K17" s="3">
        <f t="shared" si="4"/>
        <v>0</v>
      </c>
      <c r="L17" s="3">
        <f t="shared" si="5"/>
        <v>0</v>
      </c>
      <c r="M17" s="3">
        <f t="shared" si="6"/>
        <v>0</v>
      </c>
      <c r="O17" s="1">
        <v>324</v>
      </c>
      <c r="P17" s="3">
        <f t="shared" si="7"/>
        <v>64431</v>
      </c>
      <c r="Q17" s="3">
        <f t="shared" si="8"/>
        <v>64431</v>
      </c>
      <c r="R17" s="3">
        <f t="shared" si="9"/>
        <v>64431</v>
      </c>
      <c r="T17" s="1">
        <v>144</v>
      </c>
      <c r="U17" s="3">
        <f t="shared" si="10"/>
        <v>28636</v>
      </c>
      <c r="V17" s="3">
        <f t="shared" si="11"/>
        <v>28636</v>
      </c>
      <c r="W17" s="3">
        <f t="shared" si="12"/>
        <v>28636</v>
      </c>
      <c r="Y17" s="1">
        <v>468</v>
      </c>
      <c r="Z17" s="3">
        <f t="shared" si="13"/>
        <v>93066</v>
      </c>
      <c r="AA17" s="3">
        <f t="shared" si="14"/>
        <v>93066</v>
      </c>
      <c r="AB17" s="3">
        <f t="shared" si="15"/>
        <v>93066</v>
      </c>
      <c r="AD17" s="1">
        <v>84</v>
      </c>
      <c r="AE17" s="3">
        <f t="shared" si="16"/>
        <v>16704</v>
      </c>
      <c r="AF17" s="3">
        <f t="shared" si="17"/>
        <v>16704</v>
      </c>
      <c r="AG17" s="3">
        <f t="shared" si="18"/>
        <v>16704</v>
      </c>
    </row>
    <row r="18" spans="1:33" ht="12.75">
      <c r="A18" s="1" t="s">
        <v>50</v>
      </c>
      <c r="B18" s="1">
        <v>397.73</v>
      </c>
      <c r="D18" s="1">
        <f t="shared" si="1"/>
        <v>397.73</v>
      </c>
      <c r="E18" s="21">
        <f t="shared" si="2"/>
        <v>0</v>
      </c>
      <c r="G18" s="1">
        <f t="shared" si="3"/>
        <v>397.73</v>
      </c>
      <c r="H18" s="21">
        <f t="shared" si="0"/>
        <v>0</v>
      </c>
      <c r="J18" s="3">
        <v>24</v>
      </c>
      <c r="K18" s="3">
        <f t="shared" si="4"/>
        <v>9546</v>
      </c>
      <c r="L18" s="3">
        <f t="shared" si="5"/>
        <v>9546</v>
      </c>
      <c r="M18" s="3">
        <f t="shared" si="6"/>
        <v>9546</v>
      </c>
      <c r="O18" s="3">
        <v>72</v>
      </c>
      <c r="P18" s="3">
        <f t="shared" si="7"/>
        <v>28637</v>
      </c>
      <c r="Q18" s="3">
        <f t="shared" si="8"/>
        <v>28637</v>
      </c>
      <c r="R18" s="3">
        <f t="shared" si="9"/>
        <v>28637</v>
      </c>
      <c r="T18" s="3">
        <v>36</v>
      </c>
      <c r="U18" s="3">
        <f t="shared" si="10"/>
        <v>14318</v>
      </c>
      <c r="V18" s="3">
        <f t="shared" si="11"/>
        <v>14318</v>
      </c>
      <c r="W18" s="3">
        <f t="shared" si="12"/>
        <v>14318</v>
      </c>
      <c r="Y18" s="3">
        <v>108</v>
      </c>
      <c r="Z18" s="3">
        <f t="shared" si="13"/>
        <v>42955</v>
      </c>
      <c r="AA18" s="3">
        <f t="shared" si="14"/>
        <v>42955</v>
      </c>
      <c r="AB18" s="3">
        <f t="shared" si="15"/>
        <v>42955</v>
      </c>
      <c r="AD18" s="3">
        <v>48</v>
      </c>
      <c r="AE18" s="3">
        <f t="shared" si="16"/>
        <v>19091</v>
      </c>
      <c r="AF18" s="3">
        <f t="shared" si="17"/>
        <v>19091</v>
      </c>
      <c r="AG18" s="3">
        <f t="shared" si="18"/>
        <v>19091</v>
      </c>
    </row>
    <row r="19" spans="1:33" ht="15">
      <c r="A19" s="1" t="s">
        <v>51</v>
      </c>
      <c r="B19" s="1">
        <v>636.36</v>
      </c>
      <c r="D19" s="1">
        <f t="shared" si="1"/>
        <v>636.36</v>
      </c>
      <c r="E19" s="21">
        <f t="shared" si="2"/>
        <v>0</v>
      </c>
      <c r="G19" s="1">
        <f t="shared" si="3"/>
        <v>636.36</v>
      </c>
      <c r="H19" s="21">
        <f t="shared" si="0"/>
        <v>0</v>
      </c>
      <c r="J19" s="1">
        <v>0</v>
      </c>
      <c r="K19" s="11">
        <f t="shared" si="4"/>
        <v>0</v>
      </c>
      <c r="L19" s="11">
        <f t="shared" si="5"/>
        <v>0</v>
      </c>
      <c r="M19" s="11">
        <f t="shared" si="6"/>
        <v>0</v>
      </c>
      <c r="O19" s="3">
        <v>84</v>
      </c>
      <c r="P19" s="11">
        <f t="shared" si="7"/>
        <v>53454</v>
      </c>
      <c r="Q19" s="11">
        <f t="shared" si="8"/>
        <v>53454</v>
      </c>
      <c r="R19" s="11">
        <f t="shared" si="9"/>
        <v>53454</v>
      </c>
      <c r="T19" s="3">
        <v>0</v>
      </c>
      <c r="U19" s="11">
        <f t="shared" si="10"/>
        <v>0</v>
      </c>
      <c r="V19" s="11">
        <f t="shared" si="11"/>
        <v>0</v>
      </c>
      <c r="W19" s="11">
        <f t="shared" si="12"/>
        <v>0</v>
      </c>
      <c r="Y19" s="3">
        <v>24</v>
      </c>
      <c r="Z19" s="11">
        <f t="shared" si="13"/>
        <v>15273</v>
      </c>
      <c r="AA19" s="11">
        <f t="shared" si="14"/>
        <v>15273</v>
      </c>
      <c r="AB19" s="11">
        <f t="shared" si="15"/>
        <v>15273</v>
      </c>
      <c r="AD19" s="3">
        <v>0</v>
      </c>
      <c r="AE19" s="11">
        <f t="shared" si="16"/>
        <v>0</v>
      </c>
      <c r="AF19" s="11">
        <f t="shared" si="17"/>
        <v>0</v>
      </c>
      <c r="AG19" s="11">
        <f t="shared" si="18"/>
        <v>0</v>
      </c>
    </row>
    <row r="20" spans="10:33" ht="12.75">
      <c r="J20" s="17" t="s">
        <v>18</v>
      </c>
      <c r="K20" s="3">
        <f>SUM(K11:K19)</f>
        <v>10284938</v>
      </c>
      <c r="L20" s="3">
        <f>SUM(L11:L19)</f>
        <v>10284938</v>
      </c>
      <c r="M20" s="3">
        <f>SUM(M11:M19)</f>
        <v>10284938</v>
      </c>
      <c r="O20" s="17" t="s">
        <v>18</v>
      </c>
      <c r="P20" s="3">
        <f>SUM(P11:P19)</f>
        <v>2467534</v>
      </c>
      <c r="Q20" s="3">
        <f>SUM(Q11:Q19)</f>
        <v>2467534</v>
      </c>
      <c r="R20" s="3">
        <f>SUM(R11:R19)</f>
        <v>2467534</v>
      </c>
      <c r="T20" s="17" t="s">
        <v>18</v>
      </c>
      <c r="U20" s="3">
        <f>SUM(U11:U19)</f>
        <v>62427</v>
      </c>
      <c r="V20" s="3">
        <f>SUM(V11:V19)</f>
        <v>62427</v>
      </c>
      <c r="W20" s="3">
        <f>SUM(W11:W19)</f>
        <v>62427</v>
      </c>
      <c r="Y20" s="17" t="s">
        <v>18</v>
      </c>
      <c r="Z20" s="3">
        <f>SUM(Z11:Z19)</f>
        <v>472846</v>
      </c>
      <c r="AA20" s="3">
        <f>SUM(AA11:AA19)</f>
        <v>472846</v>
      </c>
      <c r="AB20" s="3">
        <f>SUM(AB11:AB19)</f>
        <v>472846</v>
      </c>
      <c r="AD20" s="17" t="s">
        <v>18</v>
      </c>
      <c r="AE20" s="3">
        <f>SUM(AE11:AE19)</f>
        <v>42573</v>
      </c>
      <c r="AF20" s="3">
        <f>SUM(AF11:AF19)</f>
        <v>42573</v>
      </c>
      <c r="AG20" s="3">
        <f>SUM(AG11:AG19)</f>
        <v>42573</v>
      </c>
    </row>
    <row r="21" ht="12.75">
      <c r="B21" s="25" t="s">
        <v>66</v>
      </c>
    </row>
    <row r="22" spans="1:33" s="23" customFormat="1" ht="15">
      <c r="A22" s="30"/>
      <c r="D22" s="58" t="s">
        <v>40</v>
      </c>
      <c r="E22" s="58"/>
      <c r="G22" s="58" t="s">
        <v>41</v>
      </c>
      <c r="H22" s="58"/>
      <c r="K22" s="30" t="s">
        <v>38</v>
      </c>
      <c r="L22" s="30" t="s">
        <v>88</v>
      </c>
      <c r="M22" s="30" t="s">
        <v>17</v>
      </c>
      <c r="P22" s="30" t="s">
        <v>38</v>
      </c>
      <c r="Q22" s="30" t="s">
        <v>88</v>
      </c>
      <c r="R22" s="30" t="s">
        <v>17</v>
      </c>
      <c r="S22" s="7"/>
      <c r="U22" s="30" t="s">
        <v>38</v>
      </c>
      <c r="V22" s="30" t="s">
        <v>88</v>
      </c>
      <c r="W22" s="30" t="s">
        <v>17</v>
      </c>
      <c r="Z22" s="30" t="s">
        <v>38</v>
      </c>
      <c r="AA22" s="30" t="s">
        <v>88</v>
      </c>
      <c r="AB22" s="30" t="s">
        <v>17</v>
      </c>
      <c r="AE22" s="30" t="s">
        <v>38</v>
      </c>
      <c r="AF22" s="30" t="s">
        <v>88</v>
      </c>
      <c r="AG22" s="30" t="s">
        <v>17</v>
      </c>
    </row>
    <row r="23" spans="2:33" s="20" customFormat="1" ht="15">
      <c r="B23" s="20" t="s">
        <v>38</v>
      </c>
      <c r="D23" s="20" t="s">
        <v>42</v>
      </c>
      <c r="E23" s="20" t="s">
        <v>39</v>
      </c>
      <c r="G23" s="20" t="s">
        <v>42</v>
      </c>
      <c r="H23" s="20" t="s">
        <v>39</v>
      </c>
      <c r="J23" s="20" t="s">
        <v>87</v>
      </c>
      <c r="K23" s="20" t="s">
        <v>16</v>
      </c>
      <c r="L23" s="20" t="s">
        <v>16</v>
      </c>
      <c r="M23" s="20" t="s">
        <v>16</v>
      </c>
      <c r="O23" s="20" t="s">
        <v>87</v>
      </c>
      <c r="P23" s="20" t="s">
        <v>16</v>
      </c>
      <c r="Q23" s="20" t="s">
        <v>16</v>
      </c>
      <c r="R23" s="20" t="s">
        <v>16</v>
      </c>
      <c r="S23" s="13"/>
      <c r="T23" s="20" t="s">
        <v>87</v>
      </c>
      <c r="U23" s="20" t="s">
        <v>16</v>
      </c>
      <c r="V23" s="20" t="s">
        <v>16</v>
      </c>
      <c r="W23" s="20" t="s">
        <v>16</v>
      </c>
      <c r="Y23" s="20" t="s">
        <v>87</v>
      </c>
      <c r="Z23" s="20" t="s">
        <v>16</v>
      </c>
      <c r="AA23" s="20" t="s">
        <v>16</v>
      </c>
      <c r="AB23" s="20" t="s">
        <v>16</v>
      </c>
      <c r="AD23" s="20" t="s">
        <v>87</v>
      </c>
      <c r="AE23" s="20" t="s">
        <v>16</v>
      </c>
      <c r="AF23" s="20" t="s">
        <v>16</v>
      </c>
      <c r="AG23" s="20" t="s">
        <v>16</v>
      </c>
    </row>
    <row r="24" spans="1:28" ht="12.75">
      <c r="A24" s="1" t="s">
        <v>43</v>
      </c>
      <c r="B24" s="1">
        <v>19.4</v>
      </c>
      <c r="D24" s="1">
        <f>D11</f>
        <v>7.95</v>
      </c>
      <c r="E24" s="21">
        <f>D24/$B24-1</f>
        <v>-0.5902061855670102</v>
      </c>
      <c r="G24" s="33">
        <f>G$11*1.5</f>
        <v>11.925</v>
      </c>
      <c r="H24" s="21">
        <f aca="true" t="shared" si="19" ref="H24:H32">G24/$B24-1</f>
        <v>-0.3853092783505154</v>
      </c>
      <c r="J24" s="3">
        <v>26235</v>
      </c>
      <c r="K24" s="3">
        <f>ROUND(J24*$B24,0)</f>
        <v>508959</v>
      </c>
      <c r="L24" s="3">
        <f>ROUND(J24*$D24,0)</f>
        <v>208568</v>
      </c>
      <c r="M24" s="3">
        <f>ROUND(J24*$G24,0)</f>
        <v>312852</v>
      </c>
      <c r="O24" s="3">
        <v>443</v>
      </c>
      <c r="P24" s="3">
        <f>ROUND(O24*$B24,0)</f>
        <v>8594</v>
      </c>
      <c r="Q24" s="3">
        <f>ROUND(O24*$D24,0)</f>
        <v>3522</v>
      </c>
      <c r="R24" s="3">
        <f>ROUND(O24*$G24,0)</f>
        <v>5283</v>
      </c>
      <c r="Y24" s="3"/>
      <c r="Z24" s="3">
        <f>ROUND(Y24*$B24,0)</f>
        <v>0</v>
      </c>
      <c r="AA24" s="3">
        <f>ROUND(Y24*$D24,0)</f>
        <v>0</v>
      </c>
      <c r="AB24" s="3">
        <f>ROUND(Y24*$G24,0)</f>
        <v>0</v>
      </c>
    </row>
    <row r="25" spans="1:28" ht="12.75">
      <c r="A25" s="1" t="s">
        <v>44</v>
      </c>
      <c r="B25" s="1">
        <f>B24</f>
        <v>19.4</v>
      </c>
      <c r="D25" s="1">
        <f aca="true" t="shared" si="20" ref="D25:D32">D12</f>
        <v>11.94</v>
      </c>
      <c r="E25" s="21">
        <f aca="true" t="shared" si="21" ref="E25:E32">D25/$B25-1</f>
        <v>-0.38453608247422677</v>
      </c>
      <c r="G25" s="33">
        <f>G$12*1.5</f>
        <v>17.91</v>
      </c>
      <c r="H25" s="21">
        <f t="shared" si="19"/>
        <v>-0.07680412371134016</v>
      </c>
      <c r="J25" s="3"/>
      <c r="K25" s="3">
        <f aca="true" t="shared" si="22" ref="K25:K32">ROUND(J25*$B25,0)</f>
        <v>0</v>
      </c>
      <c r="L25" s="3">
        <f aca="true" t="shared" si="23" ref="L25:L32">ROUND(J25*$D25,0)</f>
        <v>0</v>
      </c>
      <c r="M25" s="3">
        <f aca="true" t="shared" si="24" ref="M25:M32">ROUND(J25*$G25,0)</f>
        <v>0</v>
      </c>
      <c r="O25" s="3"/>
      <c r="P25" s="3">
        <f aca="true" t="shared" si="25" ref="P25:P32">ROUND(O25*$B25,0)</f>
        <v>0</v>
      </c>
      <c r="Q25" s="3">
        <f aca="true" t="shared" si="26" ref="Q25:Q32">ROUND(O25*$D25,0)</f>
        <v>0</v>
      </c>
      <c r="R25" s="3">
        <f aca="true" t="shared" si="27" ref="R25:R32">ROUND(O25*$G25,0)</f>
        <v>0</v>
      </c>
      <c r="Y25" s="3"/>
      <c r="Z25" s="3">
        <f aca="true" t="shared" si="28" ref="Z25:Z32">ROUND(Y25*$B25,0)</f>
        <v>0</v>
      </c>
      <c r="AA25" s="3">
        <f aca="true" t="shared" si="29" ref="AA25:AA32">ROUND(Y25*$D25,0)</f>
        <v>0</v>
      </c>
      <c r="AB25" s="3">
        <f aca="true" t="shared" si="30" ref="AB25:AB32">ROUND(Y25*$G25,0)</f>
        <v>0</v>
      </c>
    </row>
    <row r="26" spans="1:28" ht="12.75">
      <c r="A26" s="1" t="s">
        <v>45</v>
      </c>
      <c r="B26" s="1">
        <f aca="true" t="shared" si="31" ref="B26:B32">B25</f>
        <v>19.4</v>
      </c>
      <c r="D26" s="1">
        <f t="shared" si="20"/>
        <v>19.89</v>
      </c>
      <c r="E26" s="21">
        <f t="shared" si="21"/>
        <v>0.02525773195876302</v>
      </c>
      <c r="G26" s="33">
        <f>G$13</f>
        <v>19.89</v>
      </c>
      <c r="H26" s="21">
        <f t="shared" si="19"/>
        <v>0.02525773195876302</v>
      </c>
      <c r="J26" s="3">
        <v>156</v>
      </c>
      <c r="K26" s="3">
        <f t="shared" si="22"/>
        <v>3026</v>
      </c>
      <c r="L26" s="3">
        <f t="shared" si="23"/>
        <v>3103</v>
      </c>
      <c r="M26" s="3">
        <f t="shared" si="24"/>
        <v>3103</v>
      </c>
      <c r="O26" s="3">
        <v>36</v>
      </c>
      <c r="P26" s="3">
        <f t="shared" si="25"/>
        <v>698</v>
      </c>
      <c r="Q26" s="3">
        <f t="shared" si="26"/>
        <v>716</v>
      </c>
      <c r="R26" s="3">
        <f t="shared" si="27"/>
        <v>716</v>
      </c>
      <c r="Y26" s="3">
        <v>12</v>
      </c>
      <c r="Z26" s="3">
        <f t="shared" si="28"/>
        <v>233</v>
      </c>
      <c r="AA26" s="3">
        <f t="shared" si="29"/>
        <v>239</v>
      </c>
      <c r="AB26" s="3">
        <f t="shared" si="30"/>
        <v>239</v>
      </c>
    </row>
    <row r="27" spans="1:28" ht="12.75">
      <c r="A27" s="1" t="s">
        <v>46</v>
      </c>
      <c r="B27" s="1">
        <f t="shared" si="31"/>
        <v>19.4</v>
      </c>
      <c r="D27" s="1">
        <f t="shared" si="20"/>
        <v>39.77</v>
      </c>
      <c r="E27" s="21">
        <f t="shared" si="21"/>
        <v>1.0500000000000003</v>
      </c>
      <c r="G27" s="33">
        <f>G$14</f>
        <v>39.77</v>
      </c>
      <c r="H27" s="21">
        <f t="shared" si="19"/>
        <v>1.0500000000000003</v>
      </c>
      <c r="J27" s="3"/>
      <c r="K27" s="3">
        <f t="shared" si="22"/>
        <v>0</v>
      </c>
      <c r="L27" s="3">
        <f t="shared" si="23"/>
        <v>0</v>
      </c>
      <c r="M27" s="3">
        <f t="shared" si="24"/>
        <v>0</v>
      </c>
      <c r="O27" s="3"/>
      <c r="P27" s="3">
        <f t="shared" si="25"/>
        <v>0</v>
      </c>
      <c r="Q27" s="3">
        <f t="shared" si="26"/>
        <v>0</v>
      </c>
      <c r="R27" s="3">
        <f t="shared" si="27"/>
        <v>0</v>
      </c>
      <c r="Y27" s="3"/>
      <c r="Z27" s="3">
        <f t="shared" si="28"/>
        <v>0</v>
      </c>
      <c r="AA27" s="3">
        <f t="shared" si="29"/>
        <v>0</v>
      </c>
      <c r="AB27" s="3">
        <f t="shared" si="30"/>
        <v>0</v>
      </c>
    </row>
    <row r="28" spans="1:28" ht="12.75">
      <c r="A28" s="1" t="s">
        <v>47</v>
      </c>
      <c r="B28" s="1">
        <f t="shared" si="31"/>
        <v>19.4</v>
      </c>
      <c r="D28" s="1">
        <f t="shared" si="20"/>
        <v>63.64</v>
      </c>
      <c r="E28" s="21">
        <f t="shared" si="21"/>
        <v>2.280412371134021</v>
      </c>
      <c r="G28" s="33">
        <f>G$15</f>
        <v>63.64</v>
      </c>
      <c r="H28" s="21">
        <f t="shared" si="19"/>
        <v>2.280412371134021</v>
      </c>
      <c r="J28" s="3">
        <v>48</v>
      </c>
      <c r="K28" s="3">
        <f t="shared" si="22"/>
        <v>931</v>
      </c>
      <c r="L28" s="3">
        <f t="shared" si="23"/>
        <v>3055</v>
      </c>
      <c r="M28" s="3">
        <f t="shared" si="24"/>
        <v>3055</v>
      </c>
      <c r="O28" s="3">
        <v>60</v>
      </c>
      <c r="P28" s="3">
        <f t="shared" si="25"/>
        <v>1164</v>
      </c>
      <c r="Q28" s="3">
        <f t="shared" si="26"/>
        <v>3818</v>
      </c>
      <c r="R28" s="3">
        <f t="shared" si="27"/>
        <v>3818</v>
      </c>
      <c r="Y28" s="3">
        <v>42</v>
      </c>
      <c r="Z28" s="3">
        <f t="shared" si="28"/>
        <v>815</v>
      </c>
      <c r="AA28" s="3">
        <f t="shared" si="29"/>
        <v>2673</v>
      </c>
      <c r="AB28" s="3">
        <f t="shared" si="30"/>
        <v>2673</v>
      </c>
    </row>
    <row r="29" spans="1:28" ht="12.75">
      <c r="A29" s="1" t="s">
        <v>48</v>
      </c>
      <c r="B29" s="1">
        <f t="shared" si="31"/>
        <v>19.4</v>
      </c>
      <c r="D29" s="1">
        <f t="shared" si="20"/>
        <v>119.32</v>
      </c>
      <c r="E29" s="21">
        <f t="shared" si="21"/>
        <v>5.150515463917526</v>
      </c>
      <c r="G29" s="33">
        <f>G$16</f>
        <v>119.32</v>
      </c>
      <c r="H29" s="21">
        <f t="shared" si="19"/>
        <v>5.150515463917526</v>
      </c>
      <c r="K29" s="3">
        <f t="shared" si="22"/>
        <v>0</v>
      </c>
      <c r="L29" s="3">
        <f t="shared" si="23"/>
        <v>0</v>
      </c>
      <c r="M29" s="3">
        <f t="shared" si="24"/>
        <v>0</v>
      </c>
      <c r="P29" s="3">
        <f t="shared" si="25"/>
        <v>0</v>
      </c>
      <c r="Q29" s="3">
        <f t="shared" si="26"/>
        <v>0</v>
      </c>
      <c r="R29" s="3">
        <f t="shared" si="27"/>
        <v>0</v>
      </c>
      <c r="Y29" s="3">
        <v>12</v>
      </c>
      <c r="Z29" s="3">
        <f t="shared" si="28"/>
        <v>233</v>
      </c>
      <c r="AA29" s="3">
        <f t="shared" si="29"/>
        <v>1432</v>
      </c>
      <c r="AB29" s="3">
        <f t="shared" si="30"/>
        <v>1432</v>
      </c>
    </row>
    <row r="30" spans="1:28" ht="12.75">
      <c r="A30" s="1" t="s">
        <v>49</v>
      </c>
      <c r="B30" s="1">
        <f t="shared" si="31"/>
        <v>19.4</v>
      </c>
      <c r="D30" s="1">
        <f t="shared" si="20"/>
        <v>198.86</v>
      </c>
      <c r="E30" s="21">
        <f t="shared" si="21"/>
        <v>9.250515463917527</v>
      </c>
      <c r="G30" s="33">
        <f>G$17</f>
        <v>198.86</v>
      </c>
      <c r="H30" s="21">
        <f t="shared" si="19"/>
        <v>9.250515463917527</v>
      </c>
      <c r="K30" s="3">
        <f t="shared" si="22"/>
        <v>0</v>
      </c>
      <c r="L30" s="3">
        <f t="shared" si="23"/>
        <v>0</v>
      </c>
      <c r="M30" s="3">
        <f t="shared" si="24"/>
        <v>0</v>
      </c>
      <c r="P30" s="3">
        <f t="shared" si="25"/>
        <v>0</v>
      </c>
      <c r="Q30" s="3">
        <f t="shared" si="26"/>
        <v>0</v>
      </c>
      <c r="R30" s="3">
        <f t="shared" si="27"/>
        <v>0</v>
      </c>
      <c r="Z30" s="3">
        <f t="shared" si="28"/>
        <v>0</v>
      </c>
      <c r="AA30" s="3">
        <f t="shared" si="29"/>
        <v>0</v>
      </c>
      <c r="AB30" s="3">
        <f t="shared" si="30"/>
        <v>0</v>
      </c>
    </row>
    <row r="31" spans="1:28" ht="12.75">
      <c r="A31" s="1" t="s">
        <v>50</v>
      </c>
      <c r="B31" s="1">
        <f t="shared" si="31"/>
        <v>19.4</v>
      </c>
      <c r="D31" s="1">
        <f t="shared" si="20"/>
        <v>397.73</v>
      </c>
      <c r="E31" s="21">
        <f t="shared" si="21"/>
        <v>19.50154639175258</v>
      </c>
      <c r="G31" s="33">
        <f>G$18*0.5</f>
        <v>198.865</v>
      </c>
      <c r="H31" s="21">
        <f t="shared" si="19"/>
        <v>9.25077319587629</v>
      </c>
      <c r="J31" s="3"/>
      <c r="K31" s="3">
        <f t="shared" si="22"/>
        <v>0</v>
      </c>
      <c r="L31" s="3">
        <f t="shared" si="23"/>
        <v>0</v>
      </c>
      <c r="M31" s="3">
        <f t="shared" si="24"/>
        <v>0</v>
      </c>
      <c r="O31" s="3"/>
      <c r="P31" s="3">
        <f t="shared" si="25"/>
        <v>0</v>
      </c>
      <c r="Q31" s="3">
        <f t="shared" si="26"/>
        <v>0</v>
      </c>
      <c r="R31" s="3">
        <f t="shared" si="27"/>
        <v>0</v>
      </c>
      <c r="Y31" s="3"/>
      <c r="Z31" s="3">
        <f t="shared" si="28"/>
        <v>0</v>
      </c>
      <c r="AA31" s="3">
        <f t="shared" si="29"/>
        <v>0</v>
      </c>
      <c r="AB31" s="3">
        <f t="shared" si="30"/>
        <v>0</v>
      </c>
    </row>
    <row r="32" spans="1:28" ht="15">
      <c r="A32" s="1" t="s">
        <v>51</v>
      </c>
      <c r="B32" s="1">
        <f t="shared" si="31"/>
        <v>19.4</v>
      </c>
      <c r="D32" s="1">
        <f t="shared" si="20"/>
        <v>636.36</v>
      </c>
      <c r="E32" s="21">
        <f t="shared" si="21"/>
        <v>31.802061855670104</v>
      </c>
      <c r="G32" s="33">
        <f>G$19*0.5</f>
        <v>318.18</v>
      </c>
      <c r="H32" s="21">
        <f t="shared" si="19"/>
        <v>15.401030927835052</v>
      </c>
      <c r="K32" s="11">
        <f t="shared" si="22"/>
        <v>0</v>
      </c>
      <c r="L32" s="11">
        <f t="shared" si="23"/>
        <v>0</v>
      </c>
      <c r="M32" s="11">
        <f t="shared" si="24"/>
        <v>0</v>
      </c>
      <c r="O32" s="3"/>
      <c r="P32" s="11">
        <f t="shared" si="25"/>
        <v>0</v>
      </c>
      <c r="Q32" s="11">
        <f t="shared" si="26"/>
        <v>0</v>
      </c>
      <c r="R32" s="11">
        <f t="shared" si="27"/>
        <v>0</v>
      </c>
      <c r="Y32" s="3"/>
      <c r="Z32" s="11">
        <f t="shared" si="28"/>
        <v>0</v>
      </c>
      <c r="AA32" s="11">
        <f t="shared" si="29"/>
        <v>0</v>
      </c>
      <c r="AB32" s="11">
        <f t="shared" si="30"/>
        <v>0</v>
      </c>
    </row>
    <row r="33" spans="10:33" ht="12.75">
      <c r="J33" s="17" t="s">
        <v>18</v>
      </c>
      <c r="K33" s="3">
        <f>SUM(K24:K32)</f>
        <v>512916</v>
      </c>
      <c r="L33" s="3">
        <f>SUM(L24:L32)</f>
        <v>214726</v>
      </c>
      <c r="M33" s="3">
        <f>SUM(M24:M32)</f>
        <v>319010</v>
      </c>
      <c r="O33" s="17" t="s">
        <v>18</v>
      </c>
      <c r="P33" s="3">
        <f>SUM(P24:P32)</f>
        <v>10456</v>
      </c>
      <c r="Q33" s="3">
        <f>SUM(Q24:Q32)</f>
        <v>8056</v>
      </c>
      <c r="R33" s="3">
        <f>SUM(R24:R32)</f>
        <v>9817</v>
      </c>
      <c r="T33" s="17" t="s">
        <v>18</v>
      </c>
      <c r="U33" s="3">
        <f>SUM(U24:U32)</f>
        <v>0</v>
      </c>
      <c r="V33" s="3">
        <f>SUM(V24:V32)</f>
        <v>0</v>
      </c>
      <c r="W33" s="3">
        <f>SUM(W24:W32)</f>
        <v>0</v>
      </c>
      <c r="Y33" s="17" t="s">
        <v>18</v>
      </c>
      <c r="Z33" s="3">
        <f>SUM(Z24:Z32)</f>
        <v>1281</v>
      </c>
      <c r="AA33" s="3">
        <f>SUM(AA24:AA32)</f>
        <v>4344</v>
      </c>
      <c r="AB33" s="3">
        <f>SUM(AB24:AB32)</f>
        <v>4344</v>
      </c>
      <c r="AD33" s="17" t="s">
        <v>18</v>
      </c>
      <c r="AE33" s="3">
        <f>SUM(AE24:AE32)</f>
        <v>0</v>
      </c>
      <c r="AF33" s="3">
        <f>SUM(AF24:AF32)</f>
        <v>0</v>
      </c>
      <c r="AG33" s="3">
        <f>SUM(AG24:AG32)</f>
        <v>0</v>
      </c>
    </row>
    <row r="34" ht="12.75">
      <c r="B34" s="25" t="s">
        <v>52</v>
      </c>
    </row>
    <row r="35" spans="1:33" s="23" customFormat="1" ht="15">
      <c r="A35" s="30"/>
      <c r="D35" s="58" t="s">
        <v>40</v>
      </c>
      <c r="E35" s="58"/>
      <c r="G35" s="58" t="s">
        <v>41</v>
      </c>
      <c r="H35" s="58"/>
      <c r="K35" s="30" t="s">
        <v>38</v>
      </c>
      <c r="L35" s="30" t="s">
        <v>88</v>
      </c>
      <c r="M35" s="30" t="s">
        <v>17</v>
      </c>
      <c r="P35" s="30" t="s">
        <v>38</v>
      </c>
      <c r="Q35" s="30" t="s">
        <v>88</v>
      </c>
      <c r="R35" s="30" t="s">
        <v>17</v>
      </c>
      <c r="S35" s="7"/>
      <c r="U35" s="30" t="s">
        <v>38</v>
      </c>
      <c r="V35" s="30" t="s">
        <v>88</v>
      </c>
      <c r="W35" s="30" t="s">
        <v>17</v>
      </c>
      <c r="Z35" s="30" t="s">
        <v>38</v>
      </c>
      <c r="AA35" s="30" t="s">
        <v>88</v>
      </c>
      <c r="AB35" s="30" t="s">
        <v>17</v>
      </c>
      <c r="AE35" s="30" t="s">
        <v>38</v>
      </c>
      <c r="AF35" s="30" t="s">
        <v>88</v>
      </c>
      <c r="AG35" s="30" t="s">
        <v>17</v>
      </c>
    </row>
    <row r="36" spans="2:33" s="20" customFormat="1" ht="15">
      <c r="B36" s="20" t="s">
        <v>38</v>
      </c>
      <c r="D36" s="20" t="s">
        <v>42</v>
      </c>
      <c r="E36" s="20" t="s">
        <v>39</v>
      </c>
      <c r="G36" s="20" t="s">
        <v>42</v>
      </c>
      <c r="H36" s="20" t="s">
        <v>39</v>
      </c>
      <c r="J36" s="20" t="s">
        <v>87</v>
      </c>
      <c r="K36" s="20" t="s">
        <v>16</v>
      </c>
      <c r="L36" s="20" t="s">
        <v>16</v>
      </c>
      <c r="M36" s="20" t="s">
        <v>16</v>
      </c>
      <c r="O36" s="20" t="s">
        <v>87</v>
      </c>
      <c r="P36" s="20" t="s">
        <v>16</v>
      </c>
      <c r="Q36" s="20" t="s">
        <v>16</v>
      </c>
      <c r="R36" s="20" t="s">
        <v>16</v>
      </c>
      <c r="S36" s="13"/>
      <c r="T36" s="20" t="s">
        <v>87</v>
      </c>
      <c r="U36" s="20" t="s">
        <v>16</v>
      </c>
      <c r="V36" s="20" t="s">
        <v>16</v>
      </c>
      <c r="W36" s="20" t="s">
        <v>16</v>
      </c>
      <c r="Y36" s="20" t="s">
        <v>87</v>
      </c>
      <c r="Z36" s="20" t="s">
        <v>16</v>
      </c>
      <c r="AA36" s="20" t="s">
        <v>16</v>
      </c>
      <c r="AB36" s="20" t="s">
        <v>16</v>
      </c>
      <c r="AD36" s="20" t="s">
        <v>87</v>
      </c>
      <c r="AE36" s="20" t="s">
        <v>16</v>
      </c>
      <c r="AF36" s="20" t="s">
        <v>16</v>
      </c>
      <c r="AG36" s="20" t="s">
        <v>16</v>
      </c>
    </row>
    <row r="37" spans="1:18" ht="12.75">
      <c r="A37" s="1" t="s">
        <v>43</v>
      </c>
      <c r="B37" s="1">
        <v>20.95</v>
      </c>
      <c r="D37" s="1">
        <f>D24</f>
        <v>7.95</v>
      </c>
      <c r="E37" s="21">
        <f>D37/$B37-1</f>
        <v>-0.6205250596658711</v>
      </c>
      <c r="G37" s="1">
        <f>G11*1</f>
        <v>7.95</v>
      </c>
      <c r="H37" s="21">
        <f aca="true" t="shared" si="32" ref="H37:H45">G37/$B37-1</f>
        <v>-0.6205250596658711</v>
      </c>
      <c r="J37" s="3">
        <v>3612</v>
      </c>
      <c r="K37" s="3">
        <f>ROUND(J37*$B37,0)</f>
        <v>75671</v>
      </c>
      <c r="L37" s="3">
        <f>ROUND(J37*$D37,0)</f>
        <v>28715</v>
      </c>
      <c r="M37" s="3">
        <f>ROUND(J37*$G37,0)</f>
        <v>28715</v>
      </c>
      <c r="O37" s="3">
        <v>12</v>
      </c>
      <c r="P37" s="3">
        <f>ROUND(O37*$B37,0)</f>
        <v>251</v>
      </c>
      <c r="Q37" s="3">
        <f>ROUND(O37*$D37,0)</f>
        <v>95</v>
      </c>
      <c r="R37" s="3">
        <f>ROUND(O37*$G37,0)</f>
        <v>95</v>
      </c>
    </row>
    <row r="38" spans="1:18" ht="12.75">
      <c r="A38" s="1" t="s">
        <v>44</v>
      </c>
      <c r="B38" s="1">
        <f>B37</f>
        <v>20.95</v>
      </c>
      <c r="D38" s="1">
        <f aca="true" t="shared" si="33" ref="D38:D45">D25</f>
        <v>11.94</v>
      </c>
      <c r="E38" s="21">
        <f aca="true" t="shared" si="34" ref="E38:E45">D38/$B38-1</f>
        <v>-0.4300715990453461</v>
      </c>
      <c r="G38" s="1">
        <f aca="true" t="shared" si="35" ref="G38:G45">G12*1</f>
        <v>11.94</v>
      </c>
      <c r="H38" s="21">
        <f t="shared" si="32"/>
        <v>-0.4300715990453461</v>
      </c>
      <c r="J38" s="3"/>
      <c r="K38" s="3">
        <f aca="true" t="shared" si="36" ref="K38:K45">ROUND(J38*$B38,0)</f>
        <v>0</v>
      </c>
      <c r="L38" s="3">
        <f aca="true" t="shared" si="37" ref="L38:L45">ROUND(J38*$D38,0)</f>
        <v>0</v>
      </c>
      <c r="M38" s="3">
        <f aca="true" t="shared" si="38" ref="M38:M45">ROUND(J38*$G38,0)</f>
        <v>0</v>
      </c>
      <c r="O38" s="3"/>
      <c r="P38" s="3">
        <f aca="true" t="shared" si="39" ref="P38:P45">ROUND(O38*$B38,0)</f>
        <v>0</v>
      </c>
      <c r="Q38" s="3">
        <f aca="true" t="shared" si="40" ref="Q38:Q45">ROUND(O38*$D38,0)</f>
        <v>0</v>
      </c>
      <c r="R38" s="3">
        <f aca="true" t="shared" si="41" ref="R38:R45">ROUND(O38*$G38,0)</f>
        <v>0</v>
      </c>
    </row>
    <row r="39" spans="1:18" ht="12.75">
      <c r="A39" s="1" t="s">
        <v>45</v>
      </c>
      <c r="B39" s="1">
        <f aca="true" t="shared" si="42" ref="B39:B45">B38</f>
        <v>20.95</v>
      </c>
      <c r="D39" s="1">
        <f t="shared" si="33"/>
        <v>19.89</v>
      </c>
      <c r="E39" s="21">
        <f t="shared" si="34"/>
        <v>-0.0505966587112171</v>
      </c>
      <c r="G39" s="1">
        <f t="shared" si="35"/>
        <v>19.89</v>
      </c>
      <c r="H39" s="21">
        <f t="shared" si="32"/>
        <v>-0.0505966587112171</v>
      </c>
      <c r="J39" s="3">
        <v>12</v>
      </c>
      <c r="K39" s="3">
        <f t="shared" si="36"/>
        <v>251</v>
      </c>
      <c r="L39" s="3">
        <f t="shared" si="37"/>
        <v>239</v>
      </c>
      <c r="M39" s="3">
        <f t="shared" si="38"/>
        <v>239</v>
      </c>
      <c r="O39" s="3"/>
      <c r="P39" s="3">
        <f t="shared" si="39"/>
        <v>0</v>
      </c>
      <c r="Q39" s="3">
        <f t="shared" si="40"/>
        <v>0</v>
      </c>
      <c r="R39" s="3">
        <f t="shared" si="41"/>
        <v>0</v>
      </c>
    </row>
    <row r="40" spans="1:18" ht="12.75">
      <c r="A40" s="1" t="s">
        <v>46</v>
      </c>
      <c r="B40" s="1">
        <f t="shared" si="42"/>
        <v>20.95</v>
      </c>
      <c r="D40" s="1">
        <f t="shared" si="33"/>
        <v>39.77</v>
      </c>
      <c r="E40" s="21">
        <f t="shared" si="34"/>
        <v>0.8983293556085921</v>
      </c>
      <c r="G40" s="1">
        <f t="shared" si="35"/>
        <v>39.77</v>
      </c>
      <c r="H40" s="21">
        <f t="shared" si="32"/>
        <v>0.8983293556085921</v>
      </c>
      <c r="J40" s="3"/>
      <c r="K40" s="3">
        <f t="shared" si="36"/>
        <v>0</v>
      </c>
      <c r="L40" s="3">
        <f t="shared" si="37"/>
        <v>0</v>
      </c>
      <c r="M40" s="3">
        <f t="shared" si="38"/>
        <v>0</v>
      </c>
      <c r="O40" s="3"/>
      <c r="P40" s="3">
        <f t="shared" si="39"/>
        <v>0</v>
      </c>
      <c r="Q40" s="3">
        <f t="shared" si="40"/>
        <v>0</v>
      </c>
      <c r="R40" s="3">
        <f t="shared" si="41"/>
        <v>0</v>
      </c>
    </row>
    <row r="41" spans="1:18" ht="12.75">
      <c r="A41" s="1" t="s">
        <v>47</v>
      </c>
      <c r="B41" s="1">
        <f t="shared" si="42"/>
        <v>20.95</v>
      </c>
      <c r="D41" s="1">
        <f t="shared" si="33"/>
        <v>63.64</v>
      </c>
      <c r="E41" s="21">
        <f t="shared" si="34"/>
        <v>2.037708830548926</v>
      </c>
      <c r="G41" s="1">
        <f t="shared" si="35"/>
        <v>63.64</v>
      </c>
      <c r="H41" s="21">
        <f t="shared" si="32"/>
        <v>2.037708830548926</v>
      </c>
      <c r="J41" s="3"/>
      <c r="K41" s="3">
        <f t="shared" si="36"/>
        <v>0</v>
      </c>
      <c r="L41" s="3">
        <f t="shared" si="37"/>
        <v>0</v>
      </c>
      <c r="M41" s="3">
        <f t="shared" si="38"/>
        <v>0</v>
      </c>
      <c r="O41" s="3"/>
      <c r="P41" s="3">
        <f t="shared" si="39"/>
        <v>0</v>
      </c>
      <c r="Q41" s="3">
        <f t="shared" si="40"/>
        <v>0</v>
      </c>
      <c r="R41" s="3">
        <f t="shared" si="41"/>
        <v>0</v>
      </c>
    </row>
    <row r="42" spans="1:18" ht="12.75">
      <c r="A42" s="1" t="s">
        <v>48</v>
      </c>
      <c r="B42" s="1">
        <f t="shared" si="42"/>
        <v>20.95</v>
      </c>
      <c r="D42" s="1">
        <f t="shared" si="33"/>
        <v>119.32</v>
      </c>
      <c r="E42" s="21">
        <f t="shared" si="34"/>
        <v>4.695465393794749</v>
      </c>
      <c r="G42" s="1">
        <f t="shared" si="35"/>
        <v>119.32</v>
      </c>
      <c r="H42" s="21">
        <f t="shared" si="32"/>
        <v>4.695465393794749</v>
      </c>
      <c r="K42" s="3">
        <f t="shared" si="36"/>
        <v>0</v>
      </c>
      <c r="L42" s="3">
        <f t="shared" si="37"/>
        <v>0</v>
      </c>
      <c r="M42" s="3">
        <f t="shared" si="38"/>
        <v>0</v>
      </c>
      <c r="P42" s="3">
        <f t="shared" si="39"/>
        <v>0</v>
      </c>
      <c r="Q42" s="3">
        <f t="shared" si="40"/>
        <v>0</v>
      </c>
      <c r="R42" s="3">
        <f t="shared" si="41"/>
        <v>0</v>
      </c>
    </row>
    <row r="43" spans="1:18" ht="12.75">
      <c r="A43" s="1" t="s">
        <v>49</v>
      </c>
      <c r="B43" s="1">
        <f t="shared" si="42"/>
        <v>20.95</v>
      </c>
      <c r="D43" s="1">
        <f t="shared" si="33"/>
        <v>198.86</v>
      </c>
      <c r="E43" s="21">
        <f t="shared" si="34"/>
        <v>8.492124105011934</v>
      </c>
      <c r="G43" s="1">
        <f t="shared" si="35"/>
        <v>198.86</v>
      </c>
      <c r="H43" s="21">
        <f t="shared" si="32"/>
        <v>8.492124105011934</v>
      </c>
      <c r="K43" s="3">
        <f t="shared" si="36"/>
        <v>0</v>
      </c>
      <c r="L43" s="3">
        <f t="shared" si="37"/>
        <v>0</v>
      </c>
      <c r="M43" s="3">
        <f t="shared" si="38"/>
        <v>0</v>
      </c>
      <c r="P43" s="3">
        <f t="shared" si="39"/>
        <v>0</v>
      </c>
      <c r="Q43" s="3">
        <f t="shared" si="40"/>
        <v>0</v>
      </c>
      <c r="R43" s="3">
        <f t="shared" si="41"/>
        <v>0</v>
      </c>
    </row>
    <row r="44" spans="1:18" ht="12.75">
      <c r="A44" s="1" t="s">
        <v>50</v>
      </c>
      <c r="B44" s="1">
        <f t="shared" si="42"/>
        <v>20.95</v>
      </c>
      <c r="D44" s="1">
        <f t="shared" si="33"/>
        <v>397.73</v>
      </c>
      <c r="E44" s="21">
        <f t="shared" si="34"/>
        <v>17.98472553699284</v>
      </c>
      <c r="G44" s="1">
        <f t="shared" si="35"/>
        <v>397.73</v>
      </c>
      <c r="H44" s="21">
        <f t="shared" si="32"/>
        <v>17.98472553699284</v>
      </c>
      <c r="J44" s="3"/>
      <c r="K44" s="3">
        <f t="shared" si="36"/>
        <v>0</v>
      </c>
      <c r="L44" s="3">
        <f t="shared" si="37"/>
        <v>0</v>
      </c>
      <c r="M44" s="3">
        <f t="shared" si="38"/>
        <v>0</v>
      </c>
      <c r="O44" s="3"/>
      <c r="P44" s="3">
        <f t="shared" si="39"/>
        <v>0</v>
      </c>
      <c r="Q44" s="3">
        <f t="shared" si="40"/>
        <v>0</v>
      </c>
      <c r="R44" s="3">
        <f t="shared" si="41"/>
        <v>0</v>
      </c>
    </row>
    <row r="45" spans="1:18" ht="15">
      <c r="A45" s="1" t="s">
        <v>51</v>
      </c>
      <c r="B45" s="1">
        <f t="shared" si="42"/>
        <v>20.95</v>
      </c>
      <c r="D45" s="1">
        <f t="shared" si="33"/>
        <v>636.36</v>
      </c>
      <c r="E45" s="21">
        <f t="shared" si="34"/>
        <v>29.375178997613368</v>
      </c>
      <c r="G45" s="1">
        <f t="shared" si="35"/>
        <v>636.36</v>
      </c>
      <c r="H45" s="21">
        <f t="shared" si="32"/>
        <v>29.375178997613368</v>
      </c>
      <c r="K45" s="11">
        <f t="shared" si="36"/>
        <v>0</v>
      </c>
      <c r="L45" s="11">
        <f t="shared" si="37"/>
        <v>0</v>
      </c>
      <c r="M45" s="11">
        <f t="shared" si="38"/>
        <v>0</v>
      </c>
      <c r="O45" s="3"/>
      <c r="P45" s="11">
        <f t="shared" si="39"/>
        <v>0</v>
      </c>
      <c r="Q45" s="11">
        <f t="shared" si="40"/>
        <v>0</v>
      </c>
      <c r="R45" s="11">
        <f t="shared" si="41"/>
        <v>0</v>
      </c>
    </row>
    <row r="46" spans="10:33" ht="12.75">
      <c r="J46" s="17" t="s">
        <v>18</v>
      </c>
      <c r="K46" s="3">
        <f>SUM(K37:K45)</f>
        <v>75922</v>
      </c>
      <c r="L46" s="3">
        <f>SUM(L37:L45)</f>
        <v>28954</v>
      </c>
      <c r="M46" s="3">
        <f>SUM(M37:M45)</f>
        <v>28954</v>
      </c>
      <c r="O46" s="17" t="s">
        <v>18</v>
      </c>
      <c r="P46" s="3">
        <f>SUM(P37:P45)</f>
        <v>251</v>
      </c>
      <c r="Q46" s="3">
        <f>SUM(Q37:Q45)</f>
        <v>95</v>
      </c>
      <c r="R46" s="3">
        <f>SUM(R37:R45)</f>
        <v>95</v>
      </c>
      <c r="T46" s="17" t="s">
        <v>18</v>
      </c>
      <c r="U46" s="3">
        <f>SUM(U37:U45)</f>
        <v>0</v>
      </c>
      <c r="V46" s="3">
        <f>SUM(V37:V45)</f>
        <v>0</v>
      </c>
      <c r="W46" s="3">
        <f>SUM(W37:W45)</f>
        <v>0</v>
      </c>
      <c r="Y46" s="17" t="s">
        <v>18</v>
      </c>
      <c r="Z46" s="3">
        <f>SUM(Z37:Z45)</f>
        <v>0</v>
      </c>
      <c r="AA46" s="3">
        <f>SUM(AA37:AA45)</f>
        <v>0</v>
      </c>
      <c r="AB46" s="3">
        <f>SUM(AB37:AB45)</f>
        <v>0</v>
      </c>
      <c r="AD46" s="17" t="s">
        <v>18</v>
      </c>
      <c r="AE46" s="3">
        <f>SUM(AE37:AE45)</f>
        <v>0</v>
      </c>
      <c r="AF46" s="3">
        <f>SUM(AF37:AF45)</f>
        <v>0</v>
      </c>
      <c r="AG46" s="3">
        <f>SUM(AG37:AG45)</f>
        <v>0</v>
      </c>
    </row>
    <row r="47" ht="12.75">
      <c r="B47" s="25" t="s">
        <v>94</v>
      </c>
    </row>
    <row r="48" spans="4:18" ht="15">
      <c r="D48" s="58" t="s">
        <v>40</v>
      </c>
      <c r="E48" s="58"/>
      <c r="G48" s="58" t="s">
        <v>41</v>
      </c>
      <c r="H48" s="58"/>
      <c r="J48" s="23"/>
      <c r="K48" s="30" t="s">
        <v>38</v>
      </c>
      <c r="L48" s="30" t="s">
        <v>88</v>
      </c>
      <c r="M48" s="30" t="s">
        <v>17</v>
      </c>
      <c r="N48" s="23"/>
      <c r="O48" s="23"/>
      <c r="P48" s="30" t="s">
        <v>38</v>
      </c>
      <c r="Q48" s="30" t="s">
        <v>88</v>
      </c>
      <c r="R48" s="30" t="s">
        <v>17</v>
      </c>
    </row>
    <row r="49" spans="2:18" ht="15">
      <c r="B49" s="20" t="s">
        <v>38</v>
      </c>
      <c r="C49" s="20"/>
      <c r="D49" s="20" t="s">
        <v>42</v>
      </c>
      <c r="E49" s="20" t="s">
        <v>39</v>
      </c>
      <c r="F49" s="20"/>
      <c r="G49" s="20" t="s">
        <v>42</v>
      </c>
      <c r="H49" s="20" t="s">
        <v>39</v>
      </c>
      <c r="J49" s="20" t="s">
        <v>87</v>
      </c>
      <c r="K49" s="20" t="s">
        <v>16</v>
      </c>
      <c r="L49" s="20" t="s">
        <v>16</v>
      </c>
      <c r="M49" s="20" t="s">
        <v>16</v>
      </c>
      <c r="N49" s="20"/>
      <c r="O49" s="20" t="s">
        <v>87</v>
      </c>
      <c r="P49" s="20" t="s">
        <v>16</v>
      </c>
      <c r="Q49" s="20" t="s">
        <v>16</v>
      </c>
      <c r="R49" s="20" t="s">
        <v>16</v>
      </c>
    </row>
    <row r="50" spans="1:18" ht="12.75">
      <c r="A50" s="1" t="s">
        <v>43</v>
      </c>
      <c r="B50" s="1">
        <v>16.77</v>
      </c>
      <c r="D50" s="1">
        <f>D37</f>
        <v>7.95</v>
      </c>
      <c r="E50" s="21">
        <f aca="true" t="shared" si="43" ref="E50:E58">D50/$B50-1</f>
        <v>-0.5259391771019678</v>
      </c>
      <c r="G50" s="1">
        <f>G$11*1.5</f>
        <v>11.925</v>
      </c>
      <c r="H50" s="21">
        <f aca="true" t="shared" si="44" ref="H50:H58">G50/$B50-1</f>
        <v>-0.28890876565295165</v>
      </c>
      <c r="J50" s="3">
        <v>6060</v>
      </c>
      <c r="K50" s="3">
        <f>ROUND(J50*$B50,0)</f>
        <v>101626</v>
      </c>
      <c r="L50" s="3">
        <f>ROUND(J50*$D50,0)</f>
        <v>48177</v>
      </c>
      <c r="M50" s="3">
        <f>ROUND(J50*$G50,0)</f>
        <v>72266</v>
      </c>
      <c r="O50" s="3">
        <v>1116</v>
      </c>
      <c r="P50" s="3">
        <f>ROUND(O50*$B50,0)</f>
        <v>18715</v>
      </c>
      <c r="Q50" s="3">
        <f>ROUND(O50*$D50,0)</f>
        <v>8872</v>
      </c>
      <c r="R50" s="3">
        <f>ROUND(O50*$G50,0)</f>
        <v>13308</v>
      </c>
    </row>
    <row r="51" spans="1:18" ht="12.75">
      <c r="A51" s="1" t="s">
        <v>44</v>
      </c>
      <c r="B51" s="1">
        <v>16.77</v>
      </c>
      <c r="D51" s="1">
        <f aca="true" t="shared" si="45" ref="D51:D58">D38</f>
        <v>11.94</v>
      </c>
      <c r="E51" s="21">
        <f t="shared" si="43"/>
        <v>-0.2880143112701252</v>
      </c>
      <c r="G51" s="1">
        <f>G$12*1.5</f>
        <v>17.91</v>
      </c>
      <c r="H51" s="21">
        <f t="shared" si="44"/>
        <v>0.06797853309481217</v>
      </c>
      <c r="J51" s="3"/>
      <c r="K51" s="3">
        <f aca="true" t="shared" si="46" ref="K51:K58">ROUND(J51*$B51,0)</f>
        <v>0</v>
      </c>
      <c r="L51" s="3">
        <f aca="true" t="shared" si="47" ref="L51:L58">ROUND(J51*$D51,0)</f>
        <v>0</v>
      </c>
      <c r="M51" s="3">
        <f aca="true" t="shared" si="48" ref="M51:M58">ROUND(J51*$G51,0)</f>
        <v>0</v>
      </c>
      <c r="O51" s="3"/>
      <c r="P51" s="3">
        <f aca="true" t="shared" si="49" ref="P51:P58">ROUND(O51*$B51,0)</f>
        <v>0</v>
      </c>
      <c r="Q51" s="3">
        <f aca="true" t="shared" si="50" ref="Q51:Q58">ROUND(O51*$D51,0)</f>
        <v>0</v>
      </c>
      <c r="R51" s="3">
        <f aca="true" t="shared" si="51" ref="R51:R58">ROUND(O51*$G51,0)</f>
        <v>0</v>
      </c>
    </row>
    <row r="52" spans="1:18" ht="12.75">
      <c r="A52" s="1" t="s">
        <v>45</v>
      </c>
      <c r="B52" s="1">
        <v>19.4</v>
      </c>
      <c r="D52" s="1">
        <f t="shared" si="45"/>
        <v>19.89</v>
      </c>
      <c r="E52" s="21">
        <f t="shared" si="43"/>
        <v>0.02525773195876302</v>
      </c>
      <c r="G52" s="1">
        <f>G$13</f>
        <v>19.89</v>
      </c>
      <c r="H52" s="21">
        <f t="shared" si="44"/>
        <v>0.02525773195876302</v>
      </c>
      <c r="J52" s="3">
        <v>60</v>
      </c>
      <c r="K52" s="3">
        <f t="shared" si="46"/>
        <v>1164</v>
      </c>
      <c r="L52" s="3">
        <f t="shared" si="47"/>
        <v>1193</v>
      </c>
      <c r="M52" s="3">
        <f t="shared" si="48"/>
        <v>1193</v>
      </c>
      <c r="O52" s="3">
        <v>132</v>
      </c>
      <c r="P52" s="3">
        <f t="shared" si="49"/>
        <v>2561</v>
      </c>
      <c r="Q52" s="3">
        <f t="shared" si="50"/>
        <v>2625</v>
      </c>
      <c r="R52" s="3">
        <f t="shared" si="51"/>
        <v>2625</v>
      </c>
    </row>
    <row r="53" spans="1:18" ht="12.75">
      <c r="A53" s="1" t="s">
        <v>46</v>
      </c>
      <c r="B53" s="1">
        <v>19.4</v>
      </c>
      <c r="D53" s="1">
        <f t="shared" si="45"/>
        <v>39.77</v>
      </c>
      <c r="E53" s="21">
        <f t="shared" si="43"/>
        <v>1.0500000000000003</v>
      </c>
      <c r="G53" s="1">
        <f>G$14</f>
        <v>39.77</v>
      </c>
      <c r="H53" s="21">
        <f t="shared" si="44"/>
        <v>1.0500000000000003</v>
      </c>
      <c r="J53" s="3"/>
      <c r="K53" s="3">
        <f t="shared" si="46"/>
        <v>0</v>
      </c>
      <c r="L53" s="3">
        <f t="shared" si="47"/>
        <v>0</v>
      </c>
      <c r="M53" s="3">
        <f t="shared" si="48"/>
        <v>0</v>
      </c>
      <c r="O53" s="3"/>
      <c r="P53" s="3">
        <f t="shared" si="49"/>
        <v>0</v>
      </c>
      <c r="Q53" s="3">
        <f t="shared" si="50"/>
        <v>0</v>
      </c>
      <c r="R53" s="3">
        <f t="shared" si="51"/>
        <v>0</v>
      </c>
    </row>
    <row r="54" spans="1:18" ht="12.75">
      <c r="A54" s="1" t="s">
        <v>47</v>
      </c>
      <c r="B54" s="1">
        <v>19.4</v>
      </c>
      <c r="D54" s="1">
        <f t="shared" si="45"/>
        <v>63.64</v>
      </c>
      <c r="E54" s="21">
        <f t="shared" si="43"/>
        <v>2.280412371134021</v>
      </c>
      <c r="G54" s="1">
        <f>G$15</f>
        <v>63.64</v>
      </c>
      <c r="H54" s="21">
        <f t="shared" si="44"/>
        <v>2.280412371134021</v>
      </c>
      <c r="J54" s="3"/>
      <c r="K54" s="3">
        <f t="shared" si="46"/>
        <v>0</v>
      </c>
      <c r="L54" s="3">
        <f t="shared" si="47"/>
        <v>0</v>
      </c>
      <c r="M54" s="3">
        <f t="shared" si="48"/>
        <v>0</v>
      </c>
      <c r="O54" s="3"/>
      <c r="P54" s="3">
        <f t="shared" si="49"/>
        <v>0</v>
      </c>
      <c r="Q54" s="3">
        <f t="shared" si="50"/>
        <v>0</v>
      </c>
      <c r="R54" s="3">
        <f t="shared" si="51"/>
        <v>0</v>
      </c>
    </row>
    <row r="55" spans="1:18" ht="12.75">
      <c r="A55" s="1" t="s">
        <v>48</v>
      </c>
      <c r="B55" s="1">
        <v>19.4</v>
      </c>
      <c r="D55" s="1">
        <f t="shared" si="45"/>
        <v>119.32</v>
      </c>
      <c r="E55" s="21">
        <f t="shared" si="43"/>
        <v>5.150515463917526</v>
      </c>
      <c r="G55" s="1">
        <f>G$16</f>
        <v>119.32</v>
      </c>
      <c r="H55" s="21">
        <f t="shared" si="44"/>
        <v>5.150515463917526</v>
      </c>
      <c r="K55" s="3">
        <f t="shared" si="46"/>
        <v>0</v>
      </c>
      <c r="L55" s="3">
        <f t="shared" si="47"/>
        <v>0</v>
      </c>
      <c r="M55" s="3">
        <f t="shared" si="48"/>
        <v>0</v>
      </c>
      <c r="P55" s="3">
        <f t="shared" si="49"/>
        <v>0</v>
      </c>
      <c r="Q55" s="3">
        <f t="shared" si="50"/>
        <v>0</v>
      </c>
      <c r="R55" s="3">
        <f t="shared" si="51"/>
        <v>0</v>
      </c>
    </row>
    <row r="56" spans="1:18" ht="12.75">
      <c r="A56" s="1" t="s">
        <v>49</v>
      </c>
      <c r="B56" s="1">
        <v>19.4</v>
      </c>
      <c r="D56" s="1">
        <f t="shared" si="45"/>
        <v>198.86</v>
      </c>
      <c r="E56" s="21">
        <f t="shared" si="43"/>
        <v>9.250515463917527</v>
      </c>
      <c r="G56" s="1">
        <f>G$17</f>
        <v>198.86</v>
      </c>
      <c r="H56" s="21">
        <f t="shared" si="44"/>
        <v>9.250515463917527</v>
      </c>
      <c r="K56" s="3">
        <f t="shared" si="46"/>
        <v>0</v>
      </c>
      <c r="L56" s="3">
        <f t="shared" si="47"/>
        <v>0</v>
      </c>
      <c r="M56" s="3">
        <f t="shared" si="48"/>
        <v>0</v>
      </c>
      <c r="P56" s="3">
        <f t="shared" si="49"/>
        <v>0</v>
      </c>
      <c r="Q56" s="3">
        <f t="shared" si="50"/>
        <v>0</v>
      </c>
      <c r="R56" s="3">
        <f t="shared" si="51"/>
        <v>0</v>
      </c>
    </row>
    <row r="57" spans="1:18" ht="12.75">
      <c r="A57" s="1" t="s">
        <v>50</v>
      </c>
      <c r="B57" s="1">
        <v>19.4</v>
      </c>
      <c r="D57" s="1">
        <f t="shared" si="45"/>
        <v>397.73</v>
      </c>
      <c r="E57" s="21">
        <f t="shared" si="43"/>
        <v>19.50154639175258</v>
      </c>
      <c r="G57" s="1">
        <f>G$18*0.5</f>
        <v>198.865</v>
      </c>
      <c r="H57" s="21">
        <f t="shared" si="44"/>
        <v>9.25077319587629</v>
      </c>
      <c r="J57" s="3"/>
      <c r="K57" s="3">
        <f t="shared" si="46"/>
        <v>0</v>
      </c>
      <c r="L57" s="3">
        <f t="shared" si="47"/>
        <v>0</v>
      </c>
      <c r="M57" s="3">
        <f t="shared" si="48"/>
        <v>0</v>
      </c>
      <c r="O57" s="3"/>
      <c r="P57" s="3">
        <f t="shared" si="49"/>
        <v>0</v>
      </c>
      <c r="Q57" s="3">
        <f t="shared" si="50"/>
        <v>0</v>
      </c>
      <c r="R57" s="3">
        <f t="shared" si="51"/>
        <v>0</v>
      </c>
    </row>
    <row r="58" spans="1:18" ht="15">
      <c r="A58" s="1" t="s">
        <v>51</v>
      </c>
      <c r="B58" s="1">
        <v>19.4</v>
      </c>
      <c r="D58" s="1">
        <f t="shared" si="45"/>
        <v>636.36</v>
      </c>
      <c r="E58" s="21">
        <f t="shared" si="43"/>
        <v>31.802061855670104</v>
      </c>
      <c r="G58" s="1">
        <f>G$19*0.5</f>
        <v>318.18</v>
      </c>
      <c r="H58" s="21">
        <f t="shared" si="44"/>
        <v>15.401030927835052</v>
      </c>
      <c r="K58" s="11">
        <f t="shared" si="46"/>
        <v>0</v>
      </c>
      <c r="L58" s="11">
        <f t="shared" si="47"/>
        <v>0</v>
      </c>
      <c r="M58" s="11">
        <f t="shared" si="48"/>
        <v>0</v>
      </c>
      <c r="O58" s="3"/>
      <c r="P58" s="11">
        <f t="shared" si="49"/>
        <v>0</v>
      </c>
      <c r="Q58" s="11">
        <f t="shared" si="50"/>
        <v>0</v>
      </c>
      <c r="R58" s="11">
        <f t="shared" si="51"/>
        <v>0</v>
      </c>
    </row>
    <row r="59" spans="10:33" ht="12.75">
      <c r="J59" s="17" t="s">
        <v>18</v>
      </c>
      <c r="K59" s="3">
        <f>SUM(K50:K58)</f>
        <v>102790</v>
      </c>
      <c r="L59" s="3">
        <f>SUM(L50:L58)</f>
        <v>49370</v>
      </c>
      <c r="M59" s="3">
        <f>SUM(M50:M58)</f>
        <v>73459</v>
      </c>
      <c r="O59" s="17" t="s">
        <v>18</v>
      </c>
      <c r="P59" s="3">
        <f>SUM(P50:P58)</f>
        <v>21276</v>
      </c>
      <c r="Q59" s="3">
        <f>SUM(Q50:Q58)</f>
        <v>11497</v>
      </c>
      <c r="R59" s="3">
        <f>SUM(R50:R58)</f>
        <v>15933</v>
      </c>
      <c r="T59" s="17" t="s">
        <v>18</v>
      </c>
      <c r="U59" s="3">
        <f>SUM(U50:U58)</f>
        <v>0</v>
      </c>
      <c r="V59" s="3">
        <f>SUM(V50:V58)</f>
        <v>0</v>
      </c>
      <c r="W59" s="3">
        <f>SUM(W50:W58)</f>
        <v>0</v>
      </c>
      <c r="Y59" s="17" t="s">
        <v>18</v>
      </c>
      <c r="Z59" s="3">
        <f>SUM(Z50:Z58)</f>
        <v>0</v>
      </c>
      <c r="AA59" s="3">
        <f>SUM(AA50:AA58)</f>
        <v>0</v>
      </c>
      <c r="AB59" s="3">
        <f>SUM(AB50:AB58)</f>
        <v>0</v>
      </c>
      <c r="AD59" s="17" t="s">
        <v>18</v>
      </c>
      <c r="AE59" s="3">
        <f>SUM(AE50:AE58)</f>
        <v>0</v>
      </c>
      <c r="AF59" s="3">
        <f>SUM(AF50:AF58)</f>
        <v>0</v>
      </c>
      <c r="AG59" s="3">
        <f>SUM(AG50:AG58)</f>
        <v>0</v>
      </c>
    </row>
    <row r="60" ht="12.75">
      <c r="B60" s="25" t="s">
        <v>95</v>
      </c>
    </row>
    <row r="61" spans="4:18" ht="15">
      <c r="D61" s="58" t="s">
        <v>40</v>
      </c>
      <c r="E61" s="58"/>
      <c r="G61" s="58" t="s">
        <v>41</v>
      </c>
      <c r="H61" s="58"/>
      <c r="J61" s="23"/>
      <c r="K61" s="30" t="s">
        <v>38</v>
      </c>
      <c r="L61" s="30" t="s">
        <v>88</v>
      </c>
      <c r="M61" s="30" t="s">
        <v>17</v>
      </c>
      <c r="N61" s="23"/>
      <c r="O61" s="23"/>
      <c r="P61" s="30" t="s">
        <v>38</v>
      </c>
      <c r="Q61" s="30" t="s">
        <v>88</v>
      </c>
      <c r="R61" s="30" t="s">
        <v>17</v>
      </c>
    </row>
    <row r="62" spans="2:18" ht="15">
      <c r="B62" s="20" t="s">
        <v>38</v>
      </c>
      <c r="C62" s="20"/>
      <c r="D62" s="20" t="s">
        <v>42</v>
      </c>
      <c r="E62" s="20" t="s">
        <v>39</v>
      </c>
      <c r="F62" s="20"/>
      <c r="G62" s="20" t="s">
        <v>42</v>
      </c>
      <c r="H62" s="20" t="s">
        <v>39</v>
      </c>
      <c r="J62" s="20" t="s">
        <v>87</v>
      </c>
      <c r="K62" s="20" t="s">
        <v>16</v>
      </c>
      <c r="L62" s="20" t="s">
        <v>16</v>
      </c>
      <c r="M62" s="20" t="s">
        <v>16</v>
      </c>
      <c r="N62" s="20"/>
      <c r="O62" s="20" t="s">
        <v>87</v>
      </c>
      <c r="P62" s="20" t="s">
        <v>16</v>
      </c>
      <c r="Q62" s="20" t="s">
        <v>16</v>
      </c>
      <c r="R62" s="20" t="s">
        <v>16</v>
      </c>
    </row>
    <row r="63" spans="1:18" ht="12.75">
      <c r="A63" s="1" t="s">
        <v>43</v>
      </c>
      <c r="B63" s="1">
        <v>39.35</v>
      </c>
      <c r="D63" s="1">
        <f>D50</f>
        <v>7.95</v>
      </c>
      <c r="E63" s="21">
        <f aca="true" t="shared" si="52" ref="E63:E71">D63/$B63-1</f>
        <v>-0.7979669631512072</v>
      </c>
      <c r="G63" s="1">
        <f>G$11*1.5</f>
        <v>11.925</v>
      </c>
      <c r="H63" s="21">
        <f aca="true" t="shared" si="53" ref="H63:H71">G63/$B63-1</f>
        <v>-0.6969504447268107</v>
      </c>
      <c r="J63" s="3"/>
      <c r="K63" s="3">
        <f>ROUND(J63*$B63,0)</f>
        <v>0</v>
      </c>
      <c r="L63" s="3">
        <f>ROUND(J63*$D63,0)</f>
        <v>0</v>
      </c>
      <c r="M63" s="3">
        <f>ROUND(J63*$G63,0)</f>
        <v>0</v>
      </c>
      <c r="O63" s="3"/>
      <c r="P63" s="3">
        <f>ROUND(O63*$B63,0)</f>
        <v>0</v>
      </c>
      <c r="Q63" s="3">
        <f>ROUND(O63*$D63,0)</f>
        <v>0</v>
      </c>
      <c r="R63" s="3">
        <f>ROUND(O63*$G63,0)</f>
        <v>0</v>
      </c>
    </row>
    <row r="64" spans="1:18" ht="12.75">
      <c r="A64" s="1" t="s">
        <v>44</v>
      </c>
      <c r="B64" s="1">
        <f>$B$63</f>
        <v>39.35</v>
      </c>
      <c r="D64" s="1">
        <f aca="true" t="shared" si="54" ref="D64:D71">D51</f>
        <v>11.94</v>
      </c>
      <c r="E64" s="21">
        <f t="shared" si="52"/>
        <v>-0.696569250317662</v>
      </c>
      <c r="G64" s="1">
        <f>G$12*1.5</f>
        <v>17.91</v>
      </c>
      <c r="H64" s="21">
        <f t="shared" si="53"/>
        <v>-0.544853875476493</v>
      </c>
      <c r="J64" s="3"/>
      <c r="K64" s="3">
        <f aca="true" t="shared" si="55" ref="K64:K71">ROUND(J64*$B64,0)</f>
        <v>0</v>
      </c>
      <c r="L64" s="3">
        <f aca="true" t="shared" si="56" ref="L64:L71">ROUND(J64*$D64,0)</f>
        <v>0</v>
      </c>
      <c r="M64" s="3">
        <f aca="true" t="shared" si="57" ref="M64:M71">ROUND(J64*$G64,0)</f>
        <v>0</v>
      </c>
      <c r="O64" s="3"/>
      <c r="P64" s="3">
        <f aca="true" t="shared" si="58" ref="P64:P71">ROUND(O64*$B64,0)</f>
        <v>0</v>
      </c>
      <c r="Q64" s="3">
        <f aca="true" t="shared" si="59" ref="Q64:Q71">ROUND(O64*$D64,0)</f>
        <v>0</v>
      </c>
      <c r="R64" s="3">
        <f aca="true" t="shared" si="60" ref="R64:R71">ROUND(O64*$G64,0)</f>
        <v>0</v>
      </c>
    </row>
    <row r="65" spans="1:18" ht="12.75">
      <c r="A65" s="1" t="s">
        <v>45</v>
      </c>
      <c r="B65" s="1">
        <f aca="true" t="shared" si="61" ref="B65:B71">$B$63</f>
        <v>39.35</v>
      </c>
      <c r="D65" s="1">
        <f t="shared" si="54"/>
        <v>19.89</v>
      </c>
      <c r="E65" s="21">
        <f t="shared" si="52"/>
        <v>-0.4945362134688691</v>
      </c>
      <c r="G65" s="1">
        <f>G$13</f>
        <v>19.89</v>
      </c>
      <c r="H65" s="21">
        <f t="shared" si="53"/>
        <v>-0.4945362134688691</v>
      </c>
      <c r="J65" s="3">
        <v>60</v>
      </c>
      <c r="K65" s="3">
        <f t="shared" si="55"/>
        <v>2361</v>
      </c>
      <c r="L65" s="3">
        <f t="shared" si="56"/>
        <v>1193</v>
      </c>
      <c r="M65" s="3">
        <f t="shared" si="57"/>
        <v>1193</v>
      </c>
      <c r="O65" s="3"/>
      <c r="P65" s="3">
        <f t="shared" si="58"/>
        <v>0</v>
      </c>
      <c r="Q65" s="3">
        <f t="shared" si="59"/>
        <v>0</v>
      </c>
      <c r="R65" s="3">
        <f t="shared" si="60"/>
        <v>0</v>
      </c>
    </row>
    <row r="66" spans="1:18" ht="12.75">
      <c r="A66" s="1" t="s">
        <v>46</v>
      </c>
      <c r="B66" s="1">
        <f t="shared" si="61"/>
        <v>39.35</v>
      </c>
      <c r="D66" s="1">
        <f t="shared" si="54"/>
        <v>39.77</v>
      </c>
      <c r="E66" s="21">
        <f t="shared" si="52"/>
        <v>0.010673443456162612</v>
      </c>
      <c r="G66" s="1">
        <f>G$14</f>
        <v>39.77</v>
      </c>
      <c r="H66" s="21">
        <f t="shared" si="53"/>
        <v>0.010673443456162612</v>
      </c>
      <c r="J66" s="3"/>
      <c r="K66" s="3">
        <f t="shared" si="55"/>
        <v>0</v>
      </c>
      <c r="L66" s="3">
        <f t="shared" si="56"/>
        <v>0</v>
      </c>
      <c r="M66" s="3">
        <f t="shared" si="57"/>
        <v>0</v>
      </c>
      <c r="O66" s="3"/>
      <c r="P66" s="3">
        <f t="shared" si="58"/>
        <v>0</v>
      </c>
      <c r="Q66" s="3">
        <f t="shared" si="59"/>
        <v>0</v>
      </c>
      <c r="R66" s="3">
        <f t="shared" si="60"/>
        <v>0</v>
      </c>
    </row>
    <row r="67" spans="1:18" ht="12.75">
      <c r="A67" s="1" t="s">
        <v>47</v>
      </c>
      <c r="B67" s="1">
        <f t="shared" si="61"/>
        <v>39.35</v>
      </c>
      <c r="D67" s="1">
        <f t="shared" si="54"/>
        <v>63.64</v>
      </c>
      <c r="E67" s="21">
        <f t="shared" si="52"/>
        <v>0.6172808132147394</v>
      </c>
      <c r="G67" s="1">
        <f>G$15</f>
        <v>63.64</v>
      </c>
      <c r="H67" s="21">
        <f t="shared" si="53"/>
        <v>0.6172808132147394</v>
      </c>
      <c r="J67" s="3"/>
      <c r="K67" s="3">
        <f t="shared" si="55"/>
        <v>0</v>
      </c>
      <c r="L67" s="3">
        <f t="shared" si="56"/>
        <v>0</v>
      </c>
      <c r="M67" s="3">
        <f t="shared" si="57"/>
        <v>0</v>
      </c>
      <c r="O67" s="3"/>
      <c r="P67" s="3">
        <f t="shared" si="58"/>
        <v>0</v>
      </c>
      <c r="Q67" s="3">
        <f t="shared" si="59"/>
        <v>0</v>
      </c>
      <c r="R67" s="3">
        <f t="shared" si="60"/>
        <v>0</v>
      </c>
    </row>
    <row r="68" spans="1:18" ht="12.75">
      <c r="A68" s="1" t="s">
        <v>48</v>
      </c>
      <c r="B68" s="1">
        <f t="shared" si="61"/>
        <v>39.35</v>
      </c>
      <c r="D68" s="1">
        <f t="shared" si="54"/>
        <v>119.32</v>
      </c>
      <c r="E68" s="21">
        <f t="shared" si="52"/>
        <v>2.0322744599745866</v>
      </c>
      <c r="G68" s="1">
        <f>G$16</f>
        <v>119.32</v>
      </c>
      <c r="H68" s="21">
        <f t="shared" si="53"/>
        <v>2.0322744599745866</v>
      </c>
      <c r="K68" s="3">
        <f t="shared" si="55"/>
        <v>0</v>
      </c>
      <c r="L68" s="3">
        <f t="shared" si="56"/>
        <v>0</v>
      </c>
      <c r="M68" s="3">
        <f t="shared" si="57"/>
        <v>0</v>
      </c>
      <c r="P68" s="3">
        <f t="shared" si="58"/>
        <v>0</v>
      </c>
      <c r="Q68" s="3">
        <f t="shared" si="59"/>
        <v>0</v>
      </c>
      <c r="R68" s="3">
        <f t="shared" si="60"/>
        <v>0</v>
      </c>
    </row>
    <row r="69" spans="1:18" ht="12.75">
      <c r="A69" s="1" t="s">
        <v>49</v>
      </c>
      <c r="B69" s="1">
        <f t="shared" si="61"/>
        <v>39.35</v>
      </c>
      <c r="D69" s="1">
        <f t="shared" si="54"/>
        <v>198.86</v>
      </c>
      <c r="E69" s="21">
        <f t="shared" si="52"/>
        <v>4.053621346886913</v>
      </c>
      <c r="G69" s="1">
        <f>G$17</f>
        <v>198.86</v>
      </c>
      <c r="H69" s="21">
        <f t="shared" si="53"/>
        <v>4.053621346886913</v>
      </c>
      <c r="K69" s="3">
        <f t="shared" si="55"/>
        <v>0</v>
      </c>
      <c r="L69" s="3">
        <f t="shared" si="56"/>
        <v>0</v>
      </c>
      <c r="M69" s="3">
        <f t="shared" si="57"/>
        <v>0</v>
      </c>
      <c r="P69" s="3">
        <f t="shared" si="58"/>
        <v>0</v>
      </c>
      <c r="Q69" s="3">
        <f t="shared" si="59"/>
        <v>0</v>
      </c>
      <c r="R69" s="3">
        <f t="shared" si="60"/>
        <v>0</v>
      </c>
    </row>
    <row r="70" spans="1:18" ht="12.75">
      <c r="A70" s="1" t="s">
        <v>50</v>
      </c>
      <c r="B70" s="1">
        <f t="shared" si="61"/>
        <v>39.35</v>
      </c>
      <c r="D70" s="1">
        <f t="shared" si="54"/>
        <v>397.73</v>
      </c>
      <c r="E70" s="21">
        <f t="shared" si="52"/>
        <v>9.107496823379924</v>
      </c>
      <c r="G70" s="1">
        <f>G$18*0.5</f>
        <v>198.865</v>
      </c>
      <c r="H70" s="21">
        <f t="shared" si="53"/>
        <v>4.053748411689962</v>
      </c>
      <c r="J70" s="3"/>
      <c r="K70" s="3">
        <f t="shared" si="55"/>
        <v>0</v>
      </c>
      <c r="L70" s="3">
        <f t="shared" si="56"/>
        <v>0</v>
      </c>
      <c r="M70" s="3">
        <f t="shared" si="57"/>
        <v>0</v>
      </c>
      <c r="O70" s="3">
        <v>48</v>
      </c>
      <c r="P70" s="3">
        <f t="shared" si="58"/>
        <v>1889</v>
      </c>
      <c r="Q70" s="3">
        <f t="shared" si="59"/>
        <v>19091</v>
      </c>
      <c r="R70" s="3">
        <f t="shared" si="60"/>
        <v>9546</v>
      </c>
    </row>
    <row r="71" spans="1:18" ht="15">
      <c r="A71" s="1" t="s">
        <v>51</v>
      </c>
      <c r="B71" s="1">
        <f t="shared" si="61"/>
        <v>39.35</v>
      </c>
      <c r="D71" s="1">
        <f t="shared" si="54"/>
        <v>636.36</v>
      </c>
      <c r="E71" s="21">
        <f t="shared" si="52"/>
        <v>15.171791613722998</v>
      </c>
      <c r="G71" s="1">
        <f>G$19*0.5</f>
        <v>318.18</v>
      </c>
      <c r="H71" s="21">
        <f t="shared" si="53"/>
        <v>7.085895806861499</v>
      </c>
      <c r="K71" s="11">
        <f t="shared" si="55"/>
        <v>0</v>
      </c>
      <c r="L71" s="11">
        <f t="shared" si="56"/>
        <v>0</v>
      </c>
      <c r="M71" s="11">
        <f t="shared" si="57"/>
        <v>0</v>
      </c>
      <c r="O71" s="3"/>
      <c r="P71" s="11">
        <f t="shared" si="58"/>
        <v>0</v>
      </c>
      <c r="Q71" s="11">
        <f t="shared" si="59"/>
        <v>0</v>
      </c>
      <c r="R71" s="11">
        <f t="shared" si="60"/>
        <v>0</v>
      </c>
    </row>
    <row r="72" spans="10:33" ht="12.75">
      <c r="J72" s="17" t="s">
        <v>18</v>
      </c>
      <c r="K72" s="3">
        <f>SUM(K63:K71)</f>
        <v>2361</v>
      </c>
      <c r="L72" s="3">
        <f>SUM(L63:L71)</f>
        <v>1193</v>
      </c>
      <c r="M72" s="3">
        <f>SUM(M63:M71)</f>
        <v>1193</v>
      </c>
      <c r="O72" s="17" t="s">
        <v>18</v>
      </c>
      <c r="P72" s="3">
        <f>SUM(P63:P71)</f>
        <v>1889</v>
      </c>
      <c r="Q72" s="3">
        <f>SUM(Q63:Q71)</f>
        <v>19091</v>
      </c>
      <c r="R72" s="3">
        <f>SUM(R63:R71)</f>
        <v>9546</v>
      </c>
      <c r="T72" s="17" t="s">
        <v>18</v>
      </c>
      <c r="U72" s="3">
        <f>SUM(U63:U71)</f>
        <v>0</v>
      </c>
      <c r="V72" s="3">
        <f>SUM(V63:V71)</f>
        <v>0</v>
      </c>
      <c r="W72" s="3">
        <f>SUM(W63:W71)</f>
        <v>0</v>
      </c>
      <c r="Y72" s="17" t="s">
        <v>18</v>
      </c>
      <c r="Z72" s="3">
        <f>SUM(Z63:Z71)</f>
        <v>0</v>
      </c>
      <c r="AA72" s="3">
        <f>SUM(AA63:AA71)</f>
        <v>0</v>
      </c>
      <c r="AB72" s="3">
        <f>SUM(AB63:AB71)</f>
        <v>0</v>
      </c>
      <c r="AD72" s="17" t="s">
        <v>18</v>
      </c>
      <c r="AE72" s="3">
        <f>SUM(AE63:AE71)</f>
        <v>0</v>
      </c>
      <c r="AF72" s="3">
        <f>SUM(AF63:AF71)</f>
        <v>0</v>
      </c>
      <c r="AG72" s="3">
        <f>SUM(AG63:AG71)</f>
        <v>0</v>
      </c>
    </row>
    <row r="73" ht="12.75">
      <c r="B73" s="25" t="s">
        <v>96</v>
      </c>
    </row>
    <row r="74" spans="4:18" ht="15">
      <c r="D74" s="58" t="s">
        <v>40</v>
      </c>
      <c r="E74" s="58"/>
      <c r="G74" s="58" t="s">
        <v>41</v>
      </c>
      <c r="H74" s="58"/>
      <c r="J74" s="23"/>
      <c r="K74" s="30" t="s">
        <v>38</v>
      </c>
      <c r="L74" s="30" t="s">
        <v>88</v>
      </c>
      <c r="M74" s="30" t="s">
        <v>17</v>
      </c>
      <c r="N74" s="23"/>
      <c r="O74" s="23"/>
      <c r="P74" s="30" t="s">
        <v>38</v>
      </c>
      <c r="Q74" s="30" t="s">
        <v>88</v>
      </c>
      <c r="R74" s="30" t="s">
        <v>17</v>
      </c>
    </row>
    <row r="75" spans="2:18" ht="15">
      <c r="B75" s="20" t="s">
        <v>38</v>
      </c>
      <c r="C75" s="20"/>
      <c r="D75" s="20" t="s">
        <v>42</v>
      </c>
      <c r="E75" s="20" t="s">
        <v>39</v>
      </c>
      <c r="F75" s="20"/>
      <c r="G75" s="20" t="s">
        <v>42</v>
      </c>
      <c r="H75" s="20" t="s">
        <v>39</v>
      </c>
      <c r="J75" s="20" t="s">
        <v>87</v>
      </c>
      <c r="K75" s="20" t="s">
        <v>16</v>
      </c>
      <c r="L75" s="20" t="s">
        <v>16</v>
      </c>
      <c r="M75" s="20" t="s">
        <v>16</v>
      </c>
      <c r="N75" s="20"/>
      <c r="O75" s="20" t="s">
        <v>87</v>
      </c>
      <c r="P75" s="20" t="s">
        <v>16</v>
      </c>
      <c r="Q75" s="20" t="s">
        <v>16</v>
      </c>
      <c r="R75" s="20" t="s">
        <v>16</v>
      </c>
    </row>
    <row r="76" spans="1:18" ht="12.75">
      <c r="A76" s="1" t="s">
        <v>43</v>
      </c>
      <c r="B76" s="1">
        <v>22.68</v>
      </c>
      <c r="D76" s="1">
        <f>D63</f>
        <v>7.95</v>
      </c>
      <c r="E76" s="21">
        <f aca="true" t="shared" si="62" ref="E76:E84">D76/$B76-1</f>
        <v>-0.6494708994708995</v>
      </c>
      <c r="G76" s="1">
        <f>G$11*1.5</f>
        <v>11.925</v>
      </c>
      <c r="H76" s="21">
        <f aca="true" t="shared" si="63" ref="H76:H84">G76/$B76-1</f>
        <v>-0.4742063492063492</v>
      </c>
      <c r="J76" s="3"/>
      <c r="K76" s="3">
        <f>ROUND(J76*$B76,0)</f>
        <v>0</v>
      </c>
      <c r="L76" s="3">
        <f>ROUND(J76*$D76,0)</f>
        <v>0</v>
      </c>
      <c r="M76" s="3">
        <f>ROUND(J76*$G76,0)</f>
        <v>0</v>
      </c>
      <c r="O76" s="3"/>
      <c r="P76" s="3">
        <f>ROUND(O76*$B76,0)</f>
        <v>0</v>
      </c>
      <c r="Q76" s="3">
        <f>ROUND(O76*$D76,0)</f>
        <v>0</v>
      </c>
      <c r="R76" s="3">
        <f>ROUND(O76*$G76,0)</f>
        <v>0</v>
      </c>
    </row>
    <row r="77" spans="1:18" ht="12.75">
      <c r="A77" s="1" t="s">
        <v>44</v>
      </c>
      <c r="B77" s="1">
        <f>$B$76</f>
        <v>22.68</v>
      </c>
      <c r="D77" s="1">
        <f aca="true" t="shared" si="64" ref="D77:D84">D64</f>
        <v>11.94</v>
      </c>
      <c r="E77" s="21">
        <f t="shared" si="62"/>
        <v>-0.4735449735449736</v>
      </c>
      <c r="G77" s="1">
        <f>G$12*1.5</f>
        <v>17.91</v>
      </c>
      <c r="H77" s="21">
        <f t="shared" si="63"/>
        <v>-0.21031746031746035</v>
      </c>
      <c r="J77" s="3"/>
      <c r="K77" s="3">
        <f aca="true" t="shared" si="65" ref="K77:K84">ROUND(J77*$B77,0)</f>
        <v>0</v>
      </c>
      <c r="L77" s="3">
        <f aca="true" t="shared" si="66" ref="L77:L84">ROUND(J77*$D77,0)</f>
        <v>0</v>
      </c>
      <c r="M77" s="3">
        <f aca="true" t="shared" si="67" ref="M77:M84">ROUND(J77*$G77,0)</f>
        <v>0</v>
      </c>
      <c r="O77" s="3"/>
      <c r="P77" s="3">
        <f aca="true" t="shared" si="68" ref="P77:P84">ROUND(O77*$B77,0)</f>
        <v>0</v>
      </c>
      <c r="Q77" s="3">
        <f aca="true" t="shared" si="69" ref="Q77:Q84">ROUND(O77*$D77,0)</f>
        <v>0</v>
      </c>
      <c r="R77" s="3">
        <f aca="true" t="shared" si="70" ref="R77:R84">ROUND(O77*$G77,0)</f>
        <v>0</v>
      </c>
    </row>
    <row r="78" spans="1:18" ht="12.75">
      <c r="A78" s="1" t="s">
        <v>45</v>
      </c>
      <c r="B78" s="1">
        <f aca="true" t="shared" si="71" ref="B78:B84">$B$76</f>
        <v>22.68</v>
      </c>
      <c r="D78" s="1">
        <f t="shared" si="64"/>
        <v>19.89</v>
      </c>
      <c r="E78" s="21">
        <f t="shared" si="62"/>
        <v>-0.12301587301587302</v>
      </c>
      <c r="G78" s="1">
        <f>G$13</f>
        <v>19.89</v>
      </c>
      <c r="H78" s="21">
        <f t="shared" si="63"/>
        <v>-0.12301587301587302</v>
      </c>
      <c r="J78" s="3">
        <v>12</v>
      </c>
      <c r="K78" s="3">
        <f t="shared" si="65"/>
        <v>272</v>
      </c>
      <c r="L78" s="3">
        <f t="shared" si="66"/>
        <v>239</v>
      </c>
      <c r="M78" s="3">
        <f t="shared" si="67"/>
        <v>239</v>
      </c>
      <c r="O78" s="3"/>
      <c r="P78" s="3">
        <f t="shared" si="68"/>
        <v>0</v>
      </c>
      <c r="Q78" s="3">
        <f t="shared" si="69"/>
        <v>0</v>
      </c>
      <c r="R78" s="3">
        <f t="shared" si="70"/>
        <v>0</v>
      </c>
    </row>
    <row r="79" spans="1:18" ht="12.75">
      <c r="A79" s="1" t="s">
        <v>46</v>
      </c>
      <c r="B79" s="1">
        <f t="shared" si="71"/>
        <v>22.68</v>
      </c>
      <c r="D79" s="1">
        <f t="shared" si="64"/>
        <v>39.77</v>
      </c>
      <c r="E79" s="21">
        <f t="shared" si="62"/>
        <v>0.7535273368606703</v>
      </c>
      <c r="G79" s="1">
        <f>G$14</f>
        <v>39.77</v>
      </c>
      <c r="H79" s="21">
        <f t="shared" si="63"/>
        <v>0.7535273368606703</v>
      </c>
      <c r="J79" s="3"/>
      <c r="K79" s="3">
        <f t="shared" si="65"/>
        <v>0</v>
      </c>
      <c r="L79" s="3">
        <f t="shared" si="66"/>
        <v>0</v>
      </c>
      <c r="M79" s="3">
        <f t="shared" si="67"/>
        <v>0</v>
      </c>
      <c r="O79" s="3"/>
      <c r="P79" s="3">
        <f t="shared" si="68"/>
        <v>0</v>
      </c>
      <c r="Q79" s="3">
        <f t="shared" si="69"/>
        <v>0</v>
      </c>
      <c r="R79" s="3">
        <f t="shared" si="70"/>
        <v>0</v>
      </c>
    </row>
    <row r="80" spans="1:18" ht="12.75">
      <c r="A80" s="1" t="s">
        <v>47</v>
      </c>
      <c r="B80" s="1">
        <f t="shared" si="71"/>
        <v>22.68</v>
      </c>
      <c r="D80" s="1">
        <f t="shared" si="64"/>
        <v>63.64</v>
      </c>
      <c r="E80" s="21">
        <f t="shared" si="62"/>
        <v>1.8059964726631392</v>
      </c>
      <c r="G80" s="1">
        <f>G$15</f>
        <v>63.64</v>
      </c>
      <c r="H80" s="21">
        <f t="shared" si="63"/>
        <v>1.8059964726631392</v>
      </c>
      <c r="J80" s="3"/>
      <c r="K80" s="3">
        <f t="shared" si="65"/>
        <v>0</v>
      </c>
      <c r="L80" s="3">
        <f t="shared" si="66"/>
        <v>0</v>
      </c>
      <c r="M80" s="3">
        <f t="shared" si="67"/>
        <v>0</v>
      </c>
      <c r="O80" s="3">
        <v>36</v>
      </c>
      <c r="P80" s="3">
        <f t="shared" si="68"/>
        <v>816</v>
      </c>
      <c r="Q80" s="3">
        <f t="shared" si="69"/>
        <v>2291</v>
      </c>
      <c r="R80" s="3">
        <f t="shared" si="70"/>
        <v>2291</v>
      </c>
    </row>
    <row r="81" spans="1:18" ht="12.75">
      <c r="A81" s="1" t="s">
        <v>48</v>
      </c>
      <c r="B81" s="1">
        <f t="shared" si="71"/>
        <v>22.68</v>
      </c>
      <c r="D81" s="1">
        <f t="shared" si="64"/>
        <v>119.32</v>
      </c>
      <c r="E81" s="21">
        <f t="shared" si="62"/>
        <v>4.261022927689594</v>
      </c>
      <c r="G81" s="1">
        <f>G$16</f>
        <v>119.32</v>
      </c>
      <c r="H81" s="21">
        <f t="shared" si="63"/>
        <v>4.261022927689594</v>
      </c>
      <c r="K81" s="3">
        <f t="shared" si="65"/>
        <v>0</v>
      </c>
      <c r="L81" s="3">
        <f t="shared" si="66"/>
        <v>0</v>
      </c>
      <c r="M81" s="3">
        <f t="shared" si="67"/>
        <v>0</v>
      </c>
      <c r="P81" s="3">
        <f t="shared" si="68"/>
        <v>0</v>
      </c>
      <c r="Q81" s="3">
        <f t="shared" si="69"/>
        <v>0</v>
      </c>
      <c r="R81" s="3">
        <f t="shared" si="70"/>
        <v>0</v>
      </c>
    </row>
    <row r="82" spans="1:18" ht="12.75">
      <c r="A82" s="1" t="s">
        <v>49</v>
      </c>
      <c r="B82" s="1">
        <f t="shared" si="71"/>
        <v>22.68</v>
      </c>
      <c r="D82" s="1">
        <f t="shared" si="64"/>
        <v>198.86</v>
      </c>
      <c r="E82" s="21">
        <f t="shared" si="62"/>
        <v>7.768077601410935</v>
      </c>
      <c r="G82" s="1">
        <f>G$17</f>
        <v>198.86</v>
      </c>
      <c r="H82" s="21">
        <f t="shared" si="63"/>
        <v>7.768077601410935</v>
      </c>
      <c r="K82" s="3">
        <f t="shared" si="65"/>
        <v>0</v>
      </c>
      <c r="L82" s="3">
        <f t="shared" si="66"/>
        <v>0</v>
      </c>
      <c r="M82" s="3">
        <f t="shared" si="67"/>
        <v>0</v>
      </c>
      <c r="P82" s="3">
        <f t="shared" si="68"/>
        <v>0</v>
      </c>
      <c r="Q82" s="3">
        <f t="shared" si="69"/>
        <v>0</v>
      </c>
      <c r="R82" s="3">
        <f t="shared" si="70"/>
        <v>0</v>
      </c>
    </row>
    <row r="83" spans="1:18" ht="12.75">
      <c r="A83" s="1" t="s">
        <v>50</v>
      </c>
      <c r="B83" s="1">
        <f t="shared" si="71"/>
        <v>22.68</v>
      </c>
      <c r="D83" s="1">
        <f t="shared" si="64"/>
        <v>397.73</v>
      </c>
      <c r="E83" s="21">
        <f t="shared" si="62"/>
        <v>16.536596119929456</v>
      </c>
      <c r="G83" s="1">
        <f>G$18*0.5</f>
        <v>198.865</v>
      </c>
      <c r="H83" s="21">
        <f t="shared" si="63"/>
        <v>7.768298059964728</v>
      </c>
      <c r="J83" s="3"/>
      <c r="K83" s="3">
        <f t="shared" si="65"/>
        <v>0</v>
      </c>
      <c r="L83" s="3">
        <f t="shared" si="66"/>
        <v>0</v>
      </c>
      <c r="M83" s="3">
        <f t="shared" si="67"/>
        <v>0</v>
      </c>
      <c r="O83" s="3"/>
      <c r="P83" s="3">
        <f t="shared" si="68"/>
        <v>0</v>
      </c>
      <c r="Q83" s="3">
        <f t="shared" si="69"/>
        <v>0</v>
      </c>
      <c r="R83" s="3">
        <f t="shared" si="70"/>
        <v>0</v>
      </c>
    </row>
    <row r="84" spans="1:18" ht="15">
      <c r="A84" s="1" t="s">
        <v>51</v>
      </c>
      <c r="B84" s="1">
        <f t="shared" si="71"/>
        <v>22.68</v>
      </c>
      <c r="D84" s="1">
        <f t="shared" si="64"/>
        <v>636.36</v>
      </c>
      <c r="E84" s="21">
        <f t="shared" si="62"/>
        <v>27.05820105820106</v>
      </c>
      <c r="G84" s="1">
        <f>G$19*0.5</f>
        <v>318.18</v>
      </c>
      <c r="H84" s="21">
        <f t="shared" si="63"/>
        <v>13.02910052910053</v>
      </c>
      <c r="K84" s="11">
        <f t="shared" si="65"/>
        <v>0</v>
      </c>
      <c r="L84" s="11">
        <f t="shared" si="66"/>
        <v>0</v>
      </c>
      <c r="M84" s="11">
        <f t="shared" si="67"/>
        <v>0</v>
      </c>
      <c r="O84" s="3"/>
      <c r="P84" s="11">
        <f t="shared" si="68"/>
        <v>0</v>
      </c>
      <c r="Q84" s="11">
        <f t="shared" si="69"/>
        <v>0</v>
      </c>
      <c r="R84" s="11">
        <f t="shared" si="70"/>
        <v>0</v>
      </c>
    </row>
    <row r="85" spans="10:33" ht="12.75">
      <c r="J85" s="17" t="s">
        <v>18</v>
      </c>
      <c r="K85" s="3">
        <f>SUM(K76:K84)</f>
        <v>272</v>
      </c>
      <c r="L85" s="3">
        <f>SUM(L76:L84)</f>
        <v>239</v>
      </c>
      <c r="M85" s="3">
        <f>SUM(M76:M84)</f>
        <v>239</v>
      </c>
      <c r="O85" s="17" t="s">
        <v>18</v>
      </c>
      <c r="P85" s="3">
        <f>SUM(P76:P84)</f>
        <v>816</v>
      </c>
      <c r="Q85" s="3">
        <f>SUM(Q76:Q84)</f>
        <v>2291</v>
      </c>
      <c r="R85" s="3">
        <f>SUM(R76:R84)</f>
        <v>2291</v>
      </c>
      <c r="T85" s="17" t="s">
        <v>18</v>
      </c>
      <c r="U85" s="3">
        <f>SUM(U76:U84)</f>
        <v>0</v>
      </c>
      <c r="V85" s="3">
        <f>SUM(V76:V84)</f>
        <v>0</v>
      </c>
      <c r="W85" s="3">
        <f>SUM(W76:W84)</f>
        <v>0</v>
      </c>
      <c r="Y85" s="17" t="s">
        <v>18</v>
      </c>
      <c r="Z85" s="3">
        <f>SUM(Z76:Z84)</f>
        <v>0</v>
      </c>
      <c r="AA85" s="3">
        <f>SUM(AA76:AA84)</f>
        <v>0</v>
      </c>
      <c r="AB85" s="3">
        <f>SUM(AB76:AB84)</f>
        <v>0</v>
      </c>
      <c r="AD85" s="17" t="s">
        <v>18</v>
      </c>
      <c r="AE85" s="3">
        <f>SUM(AE76:AE84)</f>
        <v>0</v>
      </c>
      <c r="AF85" s="3">
        <f>SUM(AF76:AF84)</f>
        <v>0</v>
      </c>
      <c r="AG85" s="3">
        <f>SUM(AG76:AG84)</f>
        <v>0</v>
      </c>
    </row>
    <row r="87" ht="12.75">
      <c r="A87" s="24" t="s">
        <v>53</v>
      </c>
    </row>
    <row r="88" spans="1:2" ht="12.75">
      <c r="A88" s="17"/>
      <c r="B88" s="25" t="s">
        <v>59</v>
      </c>
    </row>
    <row r="89" spans="1:13" ht="15">
      <c r="A89" s="17"/>
      <c r="D89" s="58" t="s">
        <v>40</v>
      </c>
      <c r="E89" s="58"/>
      <c r="G89" s="58" t="s">
        <v>41</v>
      </c>
      <c r="H89" s="58"/>
      <c r="J89" s="23"/>
      <c r="K89" s="30" t="s">
        <v>38</v>
      </c>
      <c r="L89" s="30" t="s">
        <v>88</v>
      </c>
      <c r="M89" s="30" t="s">
        <v>17</v>
      </c>
    </row>
    <row r="90" spans="1:13" ht="15">
      <c r="A90" s="20"/>
      <c r="B90" s="20" t="s">
        <v>38</v>
      </c>
      <c r="C90" s="20"/>
      <c r="D90" s="20" t="s">
        <v>42</v>
      </c>
      <c r="E90" s="20" t="s">
        <v>39</v>
      </c>
      <c r="F90" s="20"/>
      <c r="G90" s="20" t="s">
        <v>42</v>
      </c>
      <c r="H90" s="20" t="s">
        <v>39</v>
      </c>
      <c r="J90" s="20" t="s">
        <v>87</v>
      </c>
      <c r="K90" s="20" t="s">
        <v>16</v>
      </c>
      <c r="L90" s="20" t="s">
        <v>16</v>
      </c>
      <c r="M90" s="20" t="s">
        <v>16</v>
      </c>
    </row>
    <row r="91" spans="1:13" ht="12.75">
      <c r="A91" s="1" t="s">
        <v>54</v>
      </c>
      <c r="B91" s="27">
        <v>1.82375</v>
      </c>
      <c r="D91" s="27">
        <v>2.5217</v>
      </c>
      <c r="E91" s="21">
        <f>D91/$B91-1</f>
        <v>0.3827004797806717</v>
      </c>
      <c r="G91" s="31">
        <v>2.459</v>
      </c>
      <c r="H91" s="21">
        <f>G91/$B91-1</f>
        <v>0.3483207676490747</v>
      </c>
      <c r="J91" s="3">
        <v>8264488</v>
      </c>
      <c r="K91" s="3">
        <f>ROUND(J91*$B91,0)</f>
        <v>15072360</v>
      </c>
      <c r="L91" s="3">
        <f>ROUND(J91*$D91,0)</f>
        <v>20840559</v>
      </c>
      <c r="M91" s="3">
        <f>ROUND(J91*$G91,0)</f>
        <v>20322376</v>
      </c>
    </row>
    <row r="92" spans="1:13" ht="12.75">
      <c r="A92" s="1" t="s">
        <v>55</v>
      </c>
      <c r="B92" s="27">
        <v>1.68873</v>
      </c>
      <c r="D92" s="27">
        <v>2.2692</v>
      </c>
      <c r="E92" s="21">
        <f>D92/$B92-1</f>
        <v>0.3437316800198966</v>
      </c>
      <c r="G92" s="31">
        <v>2.2831</v>
      </c>
      <c r="H92" s="21">
        <f>G92/$B92-1</f>
        <v>0.3519627175451374</v>
      </c>
      <c r="J92" s="3">
        <v>5893968</v>
      </c>
      <c r="K92" s="3">
        <f>ROUND(J92*$B92,0)</f>
        <v>9953321</v>
      </c>
      <c r="L92" s="3">
        <f>ROUND(J92*$D92,0)</f>
        <v>13374592</v>
      </c>
      <c r="M92" s="3">
        <f>ROUND(J92*$G92,0)</f>
        <v>13456518</v>
      </c>
    </row>
    <row r="93" spans="1:13" ht="12.75">
      <c r="A93" s="1" t="s">
        <v>56</v>
      </c>
      <c r="B93" s="27">
        <v>1.37803</v>
      </c>
      <c r="D93" s="27">
        <v>1.8051</v>
      </c>
      <c r="E93" s="21">
        <f>D93/$B93-1</f>
        <v>0.30991342713874137</v>
      </c>
      <c r="G93" s="31">
        <v>1.857</v>
      </c>
      <c r="H93" s="21">
        <f>G93/$B93-1</f>
        <v>0.3475758873174022</v>
      </c>
      <c r="J93" s="3">
        <v>1059832</v>
      </c>
      <c r="K93" s="3">
        <f>ROUND(J93*$B93,0)</f>
        <v>1460480</v>
      </c>
      <c r="L93" s="3">
        <f>ROUND(J93*$D93,0)</f>
        <v>1913103</v>
      </c>
      <c r="M93" s="3">
        <f>ROUND(J93*$G93,0)</f>
        <v>1968108</v>
      </c>
    </row>
    <row r="94" spans="1:13" ht="12.75">
      <c r="A94" s="1" t="s">
        <v>57</v>
      </c>
      <c r="B94" s="27">
        <v>1.61771</v>
      </c>
      <c r="D94" s="27">
        <v>2.1095</v>
      </c>
      <c r="E94" s="21">
        <f>D94/$B94-1</f>
        <v>0.3040038078518401</v>
      </c>
      <c r="G94" s="31">
        <v>2.1149</v>
      </c>
      <c r="H94" s="21">
        <f>G94/$B94-1</f>
        <v>0.3073418597894555</v>
      </c>
      <c r="J94" s="3">
        <v>2020163</v>
      </c>
      <c r="K94" s="3">
        <f>ROUND(J94*$B94,0)</f>
        <v>3268038</v>
      </c>
      <c r="L94" s="3">
        <f>ROUND(J94*$D94,0)</f>
        <v>4261534</v>
      </c>
      <c r="M94" s="3">
        <f>ROUND(J94*$G94,0)</f>
        <v>4272443</v>
      </c>
    </row>
    <row r="95" spans="1:13" ht="15">
      <c r="A95" s="1" t="s">
        <v>58</v>
      </c>
      <c r="B95" s="27">
        <v>1.61771</v>
      </c>
      <c r="D95" s="27">
        <v>2.1199</v>
      </c>
      <c r="E95" s="21">
        <f>D95/$B95-1</f>
        <v>0.31043264862058084</v>
      </c>
      <c r="G95" s="31">
        <v>2.1231</v>
      </c>
      <c r="H95" s="21">
        <f>G95/$B95-1</f>
        <v>0.31241075347250136</v>
      </c>
      <c r="J95" s="11">
        <v>603242</v>
      </c>
      <c r="K95" s="11">
        <f>ROUND(J95*$B95,0)</f>
        <v>975871</v>
      </c>
      <c r="L95" s="11">
        <f>ROUND(J95*$D95,0)</f>
        <v>1278813</v>
      </c>
      <c r="M95" s="11">
        <f>ROUND(J95*$G95,0)</f>
        <v>1280743</v>
      </c>
    </row>
    <row r="96" spans="10:13" ht="12.75">
      <c r="J96" s="3">
        <f>SUM(J91:J95)</f>
        <v>17841693</v>
      </c>
      <c r="K96" s="3">
        <f>SUM(K91:K95)</f>
        <v>30730070</v>
      </c>
      <c r="L96" s="3">
        <f>SUM(L91:L95)</f>
        <v>41668601</v>
      </c>
      <c r="M96" s="3">
        <f>SUM(M91:M95)</f>
        <v>41300188</v>
      </c>
    </row>
    <row r="97" spans="1:13" ht="15">
      <c r="A97" s="17"/>
      <c r="B97" s="25" t="s">
        <v>65</v>
      </c>
      <c r="K97" s="11"/>
      <c r="L97" s="11"/>
      <c r="M97" s="11"/>
    </row>
    <row r="98" spans="1:13" ht="15">
      <c r="A98" s="17"/>
      <c r="D98" s="58" t="s">
        <v>40</v>
      </c>
      <c r="E98" s="58"/>
      <c r="G98" s="58" t="s">
        <v>41</v>
      </c>
      <c r="H98" s="58"/>
      <c r="J98" s="23"/>
      <c r="K98" s="30" t="s">
        <v>38</v>
      </c>
      <c r="L98" s="30" t="s">
        <v>88</v>
      </c>
      <c r="M98" s="30" t="s">
        <v>17</v>
      </c>
    </row>
    <row r="99" spans="1:13" ht="15">
      <c r="A99" s="20"/>
      <c r="B99" s="20" t="s">
        <v>38</v>
      </c>
      <c r="C99" s="20"/>
      <c r="D99" s="20" t="s">
        <v>42</v>
      </c>
      <c r="E99" s="20" t="s">
        <v>39</v>
      </c>
      <c r="F99" s="20"/>
      <c r="G99" s="20" t="s">
        <v>42</v>
      </c>
      <c r="H99" s="20" t="s">
        <v>39</v>
      </c>
      <c r="J99" s="20" t="s">
        <v>87</v>
      </c>
      <c r="K99" s="20" t="s">
        <v>16</v>
      </c>
      <c r="L99" s="20" t="s">
        <v>16</v>
      </c>
      <c r="M99" s="20" t="s">
        <v>16</v>
      </c>
    </row>
    <row r="100" spans="1:13" ht="15">
      <c r="A100" s="28" t="s">
        <v>7</v>
      </c>
      <c r="B100" s="20"/>
      <c r="C100" s="20"/>
      <c r="D100" s="20"/>
      <c r="E100" s="20"/>
      <c r="F100" s="20"/>
      <c r="G100" s="20"/>
      <c r="H100" s="20"/>
      <c r="J100" s="3"/>
      <c r="K100" s="3"/>
      <c r="L100" s="3"/>
      <c r="M100" s="3"/>
    </row>
    <row r="101" spans="1:13" ht="12.75">
      <c r="A101" s="1" t="s">
        <v>60</v>
      </c>
      <c r="B101" s="27">
        <v>0</v>
      </c>
      <c r="D101" s="27">
        <f>$D$91</f>
        <v>2.5217</v>
      </c>
      <c r="E101" s="21"/>
      <c r="G101" s="32">
        <f>G91*1.5</f>
        <v>3.6885000000000003</v>
      </c>
      <c r="H101" s="21"/>
      <c r="J101" s="3">
        <v>69282</v>
      </c>
      <c r="K101" s="3">
        <f>ROUND(J101*$B101,0)</f>
        <v>0</v>
      </c>
      <c r="L101" s="3">
        <f>ROUND(J101*$D101,0)</f>
        <v>174708</v>
      </c>
      <c r="M101" s="3">
        <f>ROUND(J101*$G101,0)</f>
        <v>255547</v>
      </c>
    </row>
    <row r="102" spans="1:13" ht="12.75">
      <c r="A102" s="1" t="s">
        <v>61</v>
      </c>
      <c r="B102" s="27">
        <v>4.665</v>
      </c>
      <c r="D102" s="27">
        <f>$D$91</f>
        <v>2.5217</v>
      </c>
      <c r="E102" s="21">
        <f>D102/$B102-1</f>
        <v>-0.45944265809217577</v>
      </c>
      <c r="G102" s="27">
        <f>G101</f>
        <v>3.6885000000000003</v>
      </c>
      <c r="H102" s="21">
        <f>G102/$B102-1</f>
        <v>-0.20932475884244361</v>
      </c>
      <c r="J102" s="3">
        <v>67016</v>
      </c>
      <c r="K102" s="3">
        <f>ROUND(J102*$B102,0)</f>
        <v>312630</v>
      </c>
      <c r="L102" s="3">
        <f>ROUND(J102*$D102,0)</f>
        <v>168994</v>
      </c>
      <c r="M102" s="3">
        <f>ROUND(J102*$G102,0)</f>
        <v>247189</v>
      </c>
    </row>
    <row r="103" spans="1:13" ht="12.75">
      <c r="A103" s="1" t="s">
        <v>62</v>
      </c>
      <c r="B103" s="27">
        <v>4.575</v>
      </c>
      <c r="D103" s="27">
        <f>$D$91</f>
        <v>2.5217</v>
      </c>
      <c r="E103" s="21">
        <f>D103/$B103-1</f>
        <v>-0.4488087431693989</v>
      </c>
      <c r="G103" s="27">
        <f>G102</f>
        <v>3.6885000000000003</v>
      </c>
      <c r="H103" s="21">
        <f>G103/$B103-1</f>
        <v>-0.19377049180327865</v>
      </c>
      <c r="J103" s="3">
        <v>15952</v>
      </c>
      <c r="K103" s="3">
        <f>ROUND(J103*$B103,0)</f>
        <v>72980</v>
      </c>
      <c r="L103" s="3">
        <f>ROUND(J103*$D103,0)</f>
        <v>40226</v>
      </c>
      <c r="M103" s="3">
        <f>ROUND(J103*$G103,0)</f>
        <v>58839</v>
      </c>
    </row>
    <row r="104" spans="1:13" ht="12.75">
      <c r="A104" s="1" t="s">
        <v>63</v>
      </c>
      <c r="B104" s="27">
        <v>4.485</v>
      </c>
      <c r="D104" s="27">
        <f>$D$91</f>
        <v>2.5217</v>
      </c>
      <c r="E104" s="21">
        <f>D104/$B104-1</f>
        <v>-0.43774804905239695</v>
      </c>
      <c r="G104" s="27">
        <f>G103</f>
        <v>3.6885000000000003</v>
      </c>
      <c r="H104" s="21">
        <f>G104/$B104-1</f>
        <v>-0.1775919732441471</v>
      </c>
      <c r="J104" s="3">
        <v>10244</v>
      </c>
      <c r="K104" s="3">
        <f>ROUND(J104*$B104,0)</f>
        <v>45944</v>
      </c>
      <c r="L104" s="3">
        <f>ROUND(J104*$D104,0)</f>
        <v>25832</v>
      </c>
      <c r="M104" s="3">
        <f>ROUND(J104*$G104,0)</f>
        <v>37785</v>
      </c>
    </row>
    <row r="105" spans="1:13" ht="15">
      <c r="A105" s="1" t="s">
        <v>64</v>
      </c>
      <c r="B105" s="27">
        <v>4.305</v>
      </c>
      <c r="D105" s="27">
        <f>$D$91</f>
        <v>2.5217</v>
      </c>
      <c r="E105" s="21">
        <f>D105/$B105-1</f>
        <v>-0.414239256678281</v>
      </c>
      <c r="G105" s="27">
        <f>G104</f>
        <v>3.6885000000000003</v>
      </c>
      <c r="H105" s="21">
        <f>G105/$B105-1</f>
        <v>-0.14320557491289188</v>
      </c>
      <c r="J105" s="11">
        <v>12069</v>
      </c>
      <c r="K105" s="11">
        <f>ROUND(J105*$B105,0)</f>
        <v>51957</v>
      </c>
      <c r="L105" s="11">
        <f>ROUND(J105*$D105,0)</f>
        <v>30434</v>
      </c>
      <c r="M105" s="11">
        <f>ROUND(J105*$G105,0)</f>
        <v>44517</v>
      </c>
    </row>
    <row r="106" spans="10:13" ht="12.75">
      <c r="J106" s="3">
        <f>SUM(J101:J105)</f>
        <v>174563</v>
      </c>
      <c r="K106" s="3">
        <f>SUM(K101:K105)</f>
        <v>483511</v>
      </c>
      <c r="L106" s="3">
        <f>SUM(L101:L105)</f>
        <v>440194</v>
      </c>
      <c r="M106" s="3">
        <f>SUM(M101:M105)</f>
        <v>643877</v>
      </c>
    </row>
    <row r="107" ht="12.75">
      <c r="A107" s="28" t="s">
        <v>8</v>
      </c>
    </row>
    <row r="108" spans="1:13" ht="12.75">
      <c r="A108" s="1" t="s">
        <v>60</v>
      </c>
      <c r="B108" s="1">
        <f>B101</f>
        <v>0</v>
      </c>
      <c r="D108" s="27">
        <f>$D$92</f>
        <v>2.2692</v>
      </c>
      <c r="E108" s="21"/>
      <c r="G108" s="32">
        <f>G92*1.5</f>
        <v>3.42465</v>
      </c>
      <c r="H108" s="21"/>
      <c r="J108" s="3">
        <v>6563</v>
      </c>
      <c r="K108" s="3">
        <f>ROUND(J108*$B108,0)</f>
        <v>0</v>
      </c>
      <c r="L108" s="3">
        <f>ROUND(J108*$D108,0)</f>
        <v>14893</v>
      </c>
      <c r="M108" s="3">
        <f>ROUND(J108*$G108,0)</f>
        <v>22476</v>
      </c>
    </row>
    <row r="109" spans="1:13" ht="12.75">
      <c r="A109" s="1" t="s">
        <v>61</v>
      </c>
      <c r="B109" s="27">
        <f>B102</f>
        <v>4.665</v>
      </c>
      <c r="D109" s="27">
        <f>$D$92</f>
        <v>2.2692</v>
      </c>
      <c r="E109" s="21">
        <f>D109/$B109-1</f>
        <v>-0.5135691318327974</v>
      </c>
      <c r="G109" s="27">
        <f>G108</f>
        <v>3.42465</v>
      </c>
      <c r="H109" s="21">
        <f>G109/$B109-1</f>
        <v>-0.2658842443729903</v>
      </c>
      <c r="J109" s="3">
        <v>6958</v>
      </c>
      <c r="K109" s="3">
        <f>ROUND(J109*$B109,0)</f>
        <v>32459</v>
      </c>
      <c r="L109" s="3">
        <f>ROUND(J109*$D109,0)</f>
        <v>15789</v>
      </c>
      <c r="M109" s="3">
        <f>ROUND(J109*$G109,0)</f>
        <v>23829</v>
      </c>
    </row>
    <row r="110" spans="1:13" ht="12.75">
      <c r="A110" s="1" t="s">
        <v>62</v>
      </c>
      <c r="B110" s="27">
        <f>B103</f>
        <v>4.575</v>
      </c>
      <c r="D110" s="27">
        <f>$D$92</f>
        <v>2.2692</v>
      </c>
      <c r="E110" s="21">
        <f>D110/$B110-1</f>
        <v>-0.504</v>
      </c>
      <c r="G110" s="27">
        <f>G109</f>
        <v>3.42465</v>
      </c>
      <c r="H110" s="21">
        <f>G110/$B110-1</f>
        <v>-0.25144262295081965</v>
      </c>
      <c r="J110" s="3">
        <v>4266</v>
      </c>
      <c r="K110" s="3">
        <f>ROUND(J110*$B110,0)</f>
        <v>19517</v>
      </c>
      <c r="L110" s="3">
        <f>ROUND(J110*$D110,0)</f>
        <v>9680</v>
      </c>
      <c r="M110" s="3">
        <f>ROUND(J110*$G110,0)</f>
        <v>14610</v>
      </c>
    </row>
    <row r="111" spans="1:13" ht="12.75">
      <c r="A111" s="1" t="s">
        <v>63</v>
      </c>
      <c r="B111" s="27">
        <f>B104</f>
        <v>4.485</v>
      </c>
      <c r="D111" s="27">
        <f>$D$92</f>
        <v>2.2692</v>
      </c>
      <c r="E111" s="21">
        <f>D111/$B111-1</f>
        <v>-0.4940468227424749</v>
      </c>
      <c r="G111" s="27">
        <f>G110</f>
        <v>3.42465</v>
      </c>
      <c r="H111" s="21">
        <f>G111/$B111-1</f>
        <v>-0.23642140468227424</v>
      </c>
      <c r="J111" s="3">
        <v>5983</v>
      </c>
      <c r="K111" s="3">
        <f>ROUND(J111*$B111,0)</f>
        <v>26834</v>
      </c>
      <c r="L111" s="3">
        <f>ROUND(J111*$D111,0)</f>
        <v>13577</v>
      </c>
      <c r="M111" s="3">
        <f>ROUND(J111*$G111,0)</f>
        <v>20490</v>
      </c>
    </row>
    <row r="112" spans="1:13" ht="15">
      <c r="A112" s="1" t="s">
        <v>64</v>
      </c>
      <c r="B112" s="27">
        <f>B105</f>
        <v>4.305</v>
      </c>
      <c r="D112" s="27">
        <f>$D$92</f>
        <v>2.2692</v>
      </c>
      <c r="E112" s="21">
        <f>D112/$B112-1</f>
        <v>-0.47289198606271776</v>
      </c>
      <c r="G112" s="27">
        <f>G111</f>
        <v>3.42465</v>
      </c>
      <c r="H112" s="21">
        <f>G112/$B112-1</f>
        <v>-0.20449477351916368</v>
      </c>
      <c r="J112" s="11">
        <v>7026</v>
      </c>
      <c r="K112" s="11">
        <f>ROUND(J112*$B112,0)</f>
        <v>30247</v>
      </c>
      <c r="L112" s="11">
        <f>ROUND(J112*$D112,0)</f>
        <v>15943</v>
      </c>
      <c r="M112" s="11">
        <f>ROUND(J112*$G112,0)</f>
        <v>24062</v>
      </c>
    </row>
    <row r="113" spans="10:13" ht="12.75">
      <c r="J113" s="3">
        <f>SUM(J108:J112)</f>
        <v>30796</v>
      </c>
      <c r="K113" s="3">
        <f>SUM(K108:K112)</f>
        <v>109057</v>
      </c>
      <c r="L113" s="3">
        <f>SUM(L108:L112)</f>
        <v>69882</v>
      </c>
      <c r="M113" s="3">
        <f>SUM(M108:M112)</f>
        <v>105467</v>
      </c>
    </row>
    <row r="114" ht="12.75">
      <c r="A114" s="28" t="s">
        <v>67</v>
      </c>
    </row>
    <row r="115" spans="1:13" ht="12.75">
      <c r="A115" s="1" t="s">
        <v>60</v>
      </c>
      <c r="B115" s="1">
        <f>B108</f>
        <v>0</v>
      </c>
      <c r="D115" s="27">
        <f>$D$94</f>
        <v>2.1095</v>
      </c>
      <c r="E115" s="21"/>
      <c r="G115" s="32">
        <f>G94*1.5</f>
        <v>3.17235</v>
      </c>
      <c r="H115" s="21"/>
      <c r="J115" s="3">
        <v>335</v>
      </c>
      <c r="K115" s="3">
        <f>ROUND(J115*$B115,0)</f>
        <v>0</v>
      </c>
      <c r="L115" s="3">
        <f>ROUND(J115*$D115,0)</f>
        <v>707</v>
      </c>
      <c r="M115" s="3">
        <f>ROUND(J115*$G115,0)</f>
        <v>1063</v>
      </c>
    </row>
    <row r="116" spans="1:13" ht="12.75">
      <c r="A116" s="1" t="s">
        <v>61</v>
      </c>
      <c r="B116" s="27">
        <f>B109</f>
        <v>4.665</v>
      </c>
      <c r="D116" s="27">
        <f>$D$94</f>
        <v>2.1095</v>
      </c>
      <c r="E116" s="21">
        <f>D116/$B116-1</f>
        <v>-0.5478027867095391</v>
      </c>
      <c r="G116" s="27">
        <f>G115</f>
        <v>3.17235</v>
      </c>
      <c r="H116" s="21">
        <f>G116/$B116-1</f>
        <v>-0.31996784565916403</v>
      </c>
      <c r="J116" s="3">
        <v>657</v>
      </c>
      <c r="K116" s="3">
        <f>ROUND(J116*$B116,0)</f>
        <v>3065</v>
      </c>
      <c r="L116" s="3">
        <f>ROUND(J116*$D116,0)</f>
        <v>1386</v>
      </c>
      <c r="M116" s="3">
        <f>ROUND(J116*$G116,0)</f>
        <v>2084</v>
      </c>
    </row>
    <row r="117" spans="1:13" ht="12.75">
      <c r="A117" s="1" t="s">
        <v>62</v>
      </c>
      <c r="B117" s="27">
        <f>B110</f>
        <v>4.575</v>
      </c>
      <c r="D117" s="27">
        <f>$D$94</f>
        <v>2.1095</v>
      </c>
      <c r="E117" s="21">
        <f>D117/$B117-1</f>
        <v>-0.5389071038251366</v>
      </c>
      <c r="G117" s="27">
        <f>G116</f>
        <v>3.17235</v>
      </c>
      <c r="H117" s="21">
        <f>G117/$B117-1</f>
        <v>-0.3065901639344263</v>
      </c>
      <c r="J117" s="3">
        <v>648</v>
      </c>
      <c r="K117" s="3">
        <f>ROUND(J117*$B117,0)</f>
        <v>2965</v>
      </c>
      <c r="L117" s="3">
        <f>ROUND(J117*$D117,0)</f>
        <v>1367</v>
      </c>
      <c r="M117" s="3">
        <f>ROUND(J117*$G117,0)</f>
        <v>2056</v>
      </c>
    </row>
    <row r="118" spans="1:13" ht="12.75">
      <c r="A118" s="1" t="s">
        <v>63</v>
      </c>
      <c r="B118" s="27">
        <f>B111</f>
        <v>4.485</v>
      </c>
      <c r="D118" s="27">
        <f>$D$94</f>
        <v>2.1095</v>
      </c>
      <c r="E118" s="21">
        <f>D118/$B118-1</f>
        <v>-0.5296544035674471</v>
      </c>
      <c r="G118" s="27">
        <f>G117</f>
        <v>3.17235</v>
      </c>
      <c r="H118" s="21">
        <f>G118/$B118-1</f>
        <v>-0.29267558528428106</v>
      </c>
      <c r="J118" s="3">
        <v>1354</v>
      </c>
      <c r="K118" s="3">
        <f>ROUND(J118*$B118,0)</f>
        <v>6073</v>
      </c>
      <c r="L118" s="3">
        <f>ROUND(J118*$D118,0)</f>
        <v>2856</v>
      </c>
      <c r="M118" s="3">
        <f>ROUND(J118*$G118,0)</f>
        <v>4295</v>
      </c>
    </row>
    <row r="119" spans="1:13" ht="15">
      <c r="A119" s="1" t="s">
        <v>64</v>
      </c>
      <c r="B119" s="27">
        <f>B112</f>
        <v>4.305</v>
      </c>
      <c r="D119" s="27">
        <f>$D$94</f>
        <v>2.1095</v>
      </c>
      <c r="E119" s="21">
        <f>D119/$B119-1</f>
        <v>-0.5099883855981416</v>
      </c>
      <c r="G119" s="27">
        <f>G118</f>
        <v>3.17235</v>
      </c>
      <c r="H119" s="21">
        <f>G119/$B119-1</f>
        <v>-0.2631010452961673</v>
      </c>
      <c r="J119" s="11">
        <v>6229</v>
      </c>
      <c r="K119" s="11">
        <f>ROUND(J119*$B119,0)</f>
        <v>26816</v>
      </c>
      <c r="L119" s="11">
        <f>ROUND(J119*$D119,0)</f>
        <v>13140</v>
      </c>
      <c r="M119" s="11">
        <f>ROUND(J119*$G119,0)</f>
        <v>19761</v>
      </c>
    </row>
    <row r="120" spans="10:13" ht="12.75">
      <c r="J120" s="3">
        <f>SUM(J115:J119)</f>
        <v>9223</v>
      </c>
      <c r="K120" s="3">
        <f>SUM(K115:K119)</f>
        <v>38919</v>
      </c>
      <c r="L120" s="3">
        <f>SUM(L115:L119)</f>
        <v>19456</v>
      </c>
      <c r="M120" s="3">
        <f>SUM(M115:M119)</f>
        <v>29259</v>
      </c>
    </row>
    <row r="121" spans="1:2" ht="12.75">
      <c r="A121" s="17"/>
      <c r="B121" s="25" t="s">
        <v>68</v>
      </c>
    </row>
    <row r="122" spans="1:13" ht="15">
      <c r="A122" s="17"/>
      <c r="D122" s="58" t="s">
        <v>40</v>
      </c>
      <c r="E122" s="58"/>
      <c r="G122" s="58" t="s">
        <v>41</v>
      </c>
      <c r="H122" s="58"/>
      <c r="J122" s="23"/>
      <c r="K122" s="30" t="s">
        <v>38</v>
      </c>
      <c r="L122" s="30" t="s">
        <v>88</v>
      </c>
      <c r="M122" s="30" t="s">
        <v>17</v>
      </c>
    </row>
    <row r="123" spans="1:13" ht="15">
      <c r="A123" s="20"/>
      <c r="B123" s="20" t="s">
        <v>38</v>
      </c>
      <c r="C123" s="20"/>
      <c r="D123" s="20" t="s">
        <v>42</v>
      </c>
      <c r="E123" s="20" t="s">
        <v>39</v>
      </c>
      <c r="F123" s="20"/>
      <c r="G123" s="20" t="s">
        <v>42</v>
      </c>
      <c r="H123" s="20" t="s">
        <v>39</v>
      </c>
      <c r="J123" s="20" t="s">
        <v>87</v>
      </c>
      <c r="K123" s="20" t="s">
        <v>16</v>
      </c>
      <c r="L123" s="20" t="s">
        <v>16</v>
      </c>
      <c r="M123" s="20" t="s">
        <v>16</v>
      </c>
    </row>
    <row r="124" spans="1:8" ht="15">
      <c r="A124" s="28" t="s">
        <v>7</v>
      </c>
      <c r="B124" s="20"/>
      <c r="C124" s="20"/>
      <c r="D124" s="20"/>
      <c r="E124" s="20"/>
      <c r="F124" s="20"/>
      <c r="G124" s="20"/>
      <c r="H124" s="20"/>
    </row>
    <row r="125" spans="1:13" ht="12.75">
      <c r="A125" s="1" t="s">
        <v>60</v>
      </c>
      <c r="B125" s="27">
        <v>0</v>
      </c>
      <c r="D125" s="27">
        <f>$D$91</f>
        <v>2.5217</v>
      </c>
      <c r="E125" s="21"/>
      <c r="G125" s="32">
        <f>G91</f>
        <v>2.459</v>
      </c>
      <c r="H125" s="21"/>
      <c r="J125" s="3">
        <v>11913</v>
      </c>
      <c r="K125" s="3">
        <f>ROUND(J125*$B125,0)</f>
        <v>0</v>
      </c>
      <c r="L125" s="3">
        <f>ROUND(J125*$D125,0)</f>
        <v>30041</v>
      </c>
      <c r="M125" s="3">
        <f>ROUND(J125*$G125,0)</f>
        <v>29294</v>
      </c>
    </row>
    <row r="126" spans="1:13" ht="12.75">
      <c r="A126" s="1" t="s">
        <v>69</v>
      </c>
      <c r="B126" s="27">
        <v>1.7625</v>
      </c>
      <c r="D126" s="27">
        <f>$D$91</f>
        <v>2.5217</v>
      </c>
      <c r="E126" s="21">
        <f>D126/$B126-1</f>
        <v>0.4307517730496455</v>
      </c>
      <c r="G126" s="27">
        <f>G125</f>
        <v>2.459</v>
      </c>
      <c r="H126" s="21">
        <f>G126/$B126-1</f>
        <v>0.39517730496453907</v>
      </c>
      <c r="J126" s="3">
        <v>4400</v>
      </c>
      <c r="K126" s="3">
        <f>ROUND(J126*$B126,0)</f>
        <v>7755</v>
      </c>
      <c r="L126" s="3">
        <f>ROUND(J126*$D126,0)</f>
        <v>11095</v>
      </c>
      <c r="M126" s="3">
        <f>ROUND(J126*$G126,0)</f>
        <v>10820</v>
      </c>
    </row>
    <row r="127" spans="1:13" ht="15">
      <c r="A127" s="1" t="s">
        <v>70</v>
      </c>
      <c r="B127" s="27">
        <v>1.275</v>
      </c>
      <c r="D127" s="27">
        <f>$D$91</f>
        <v>2.5217</v>
      </c>
      <c r="E127" s="21">
        <f>D127/$B127-1</f>
        <v>0.9778039215686276</v>
      </c>
      <c r="G127" s="27">
        <f>G126</f>
        <v>2.459</v>
      </c>
      <c r="H127" s="21">
        <f>G127/$B127-1</f>
        <v>0.9286274509803925</v>
      </c>
      <c r="J127" s="11">
        <v>7616</v>
      </c>
      <c r="K127" s="11">
        <f>ROUND(J127*$B127,0)</f>
        <v>9710</v>
      </c>
      <c r="L127" s="11">
        <f>ROUND(J127*$D127,0)</f>
        <v>19205</v>
      </c>
      <c r="M127" s="11">
        <f>ROUND(J127*$G127,0)</f>
        <v>18728</v>
      </c>
    </row>
    <row r="128" spans="10:13" ht="12.75">
      <c r="J128" s="3">
        <f>SUM(J123:J127)</f>
        <v>23929</v>
      </c>
      <c r="K128" s="3">
        <f>SUM(K123:K127)</f>
        <v>17465</v>
      </c>
      <c r="L128" s="3">
        <f>SUM(L123:L127)</f>
        <v>60341</v>
      </c>
      <c r="M128" s="3">
        <f>SUM(M123:M127)</f>
        <v>58842</v>
      </c>
    </row>
    <row r="129" spans="1:2" ht="12.75">
      <c r="A129" s="17"/>
      <c r="B129" s="25" t="s">
        <v>71</v>
      </c>
    </row>
    <row r="130" spans="1:13" ht="15">
      <c r="A130" s="17"/>
      <c r="D130" s="58" t="s">
        <v>40</v>
      </c>
      <c r="E130" s="58"/>
      <c r="G130" s="58" t="s">
        <v>41</v>
      </c>
      <c r="H130" s="58"/>
      <c r="J130" s="23"/>
      <c r="K130" s="30" t="s">
        <v>38</v>
      </c>
      <c r="L130" s="30" t="s">
        <v>88</v>
      </c>
      <c r="M130" s="30" t="s">
        <v>17</v>
      </c>
    </row>
    <row r="131" spans="1:13" ht="15">
      <c r="A131" s="20"/>
      <c r="B131" s="20" t="s">
        <v>38</v>
      </c>
      <c r="C131" s="20"/>
      <c r="D131" s="20" t="s">
        <v>42</v>
      </c>
      <c r="E131" s="20" t="s">
        <v>39</v>
      </c>
      <c r="F131" s="20"/>
      <c r="G131" s="20" t="s">
        <v>42</v>
      </c>
      <c r="H131" s="20" t="s">
        <v>39</v>
      </c>
      <c r="J131" s="20" t="s">
        <v>87</v>
      </c>
      <c r="K131" s="20" t="s">
        <v>16</v>
      </c>
      <c r="L131" s="20" t="s">
        <v>16</v>
      </c>
      <c r="M131" s="20" t="s">
        <v>16</v>
      </c>
    </row>
    <row r="132" spans="1:8" ht="15">
      <c r="A132" s="28" t="s">
        <v>79</v>
      </c>
      <c r="B132" s="20"/>
      <c r="C132" s="20"/>
      <c r="D132" s="20"/>
      <c r="E132" s="20"/>
      <c r="F132" s="20"/>
      <c r="G132" s="20"/>
      <c r="H132" s="20"/>
    </row>
    <row r="133" spans="1:13" ht="12.75">
      <c r="A133" s="17" t="s">
        <v>72</v>
      </c>
      <c r="B133" s="27">
        <v>0</v>
      </c>
      <c r="D133" s="27">
        <f>$D$91</f>
        <v>2.5217</v>
      </c>
      <c r="E133" s="21"/>
      <c r="G133" s="32">
        <f>G91*1</f>
        <v>2.459</v>
      </c>
      <c r="H133" s="21"/>
      <c r="J133" s="3">
        <f>17920+35</f>
        <v>17955</v>
      </c>
      <c r="K133" s="3">
        <f aca="true" t="shared" si="72" ref="K133:K139">ROUND(J133*$B133,0)</f>
        <v>0</v>
      </c>
      <c r="L133" s="3">
        <f aca="true" t="shared" si="73" ref="L133:L139">ROUND(J133*$D133,0)</f>
        <v>45277</v>
      </c>
      <c r="M133" s="3">
        <f aca="true" t="shared" si="74" ref="M133:M139">ROUND(J133*$G133,0)</f>
        <v>44151</v>
      </c>
    </row>
    <row r="134" spans="1:13" ht="12.75">
      <c r="A134" s="17" t="s">
        <v>73</v>
      </c>
      <c r="B134" s="27">
        <v>4.695</v>
      </c>
      <c r="D134" s="27">
        <f aca="true" t="shared" si="75" ref="D134:D139">$D$91</f>
        <v>2.5217</v>
      </c>
      <c r="E134" s="21">
        <f aca="true" t="shared" si="76" ref="E134:E139">D134/$B134-1</f>
        <v>-0.4628966986155485</v>
      </c>
      <c r="G134" s="27">
        <f aca="true" t="shared" si="77" ref="G134:G139">G133</f>
        <v>2.459</v>
      </c>
      <c r="H134" s="21">
        <f aca="true" t="shared" si="78" ref="H134:H139">G134/$B134-1</f>
        <v>-0.4762513312034079</v>
      </c>
      <c r="J134" s="3">
        <f>5724+4</f>
        <v>5728</v>
      </c>
      <c r="K134" s="3">
        <f t="shared" si="72"/>
        <v>26893</v>
      </c>
      <c r="L134" s="3">
        <f t="shared" si="73"/>
        <v>14444</v>
      </c>
      <c r="M134" s="3">
        <f t="shared" si="74"/>
        <v>14085</v>
      </c>
    </row>
    <row r="135" spans="1:13" ht="12.75">
      <c r="A135" s="17" t="s">
        <v>74</v>
      </c>
      <c r="B135" s="27">
        <v>3.885</v>
      </c>
      <c r="D135" s="27">
        <f t="shared" si="75"/>
        <v>2.5217</v>
      </c>
      <c r="E135" s="21">
        <f t="shared" si="76"/>
        <v>-0.35091377091377085</v>
      </c>
      <c r="G135" s="27">
        <f t="shared" si="77"/>
        <v>2.459</v>
      </c>
      <c r="H135" s="21">
        <f t="shared" si="78"/>
        <v>-0.367052767052767</v>
      </c>
      <c r="J135" s="3">
        <v>6019</v>
      </c>
      <c r="K135" s="3">
        <f t="shared" si="72"/>
        <v>23384</v>
      </c>
      <c r="L135" s="3">
        <f t="shared" si="73"/>
        <v>15178</v>
      </c>
      <c r="M135" s="3">
        <f t="shared" si="74"/>
        <v>14801</v>
      </c>
    </row>
    <row r="136" spans="1:13" ht="12.75">
      <c r="A136" s="17" t="s">
        <v>75</v>
      </c>
      <c r="B136" s="27">
        <v>3.15</v>
      </c>
      <c r="D136" s="27">
        <f t="shared" si="75"/>
        <v>2.5217</v>
      </c>
      <c r="E136" s="21">
        <f t="shared" si="76"/>
        <v>-0.19946031746031745</v>
      </c>
      <c r="G136" s="27">
        <f t="shared" si="77"/>
        <v>2.459</v>
      </c>
      <c r="H136" s="21">
        <f t="shared" si="78"/>
        <v>-0.21936507936507932</v>
      </c>
      <c r="J136" s="3">
        <v>3773</v>
      </c>
      <c r="K136" s="3">
        <f t="shared" si="72"/>
        <v>11885</v>
      </c>
      <c r="L136" s="3">
        <f t="shared" si="73"/>
        <v>9514</v>
      </c>
      <c r="M136" s="3">
        <f t="shared" si="74"/>
        <v>9278</v>
      </c>
    </row>
    <row r="137" spans="1:13" ht="12.75">
      <c r="A137" s="17" t="s">
        <v>76</v>
      </c>
      <c r="B137" s="27">
        <v>2.565</v>
      </c>
      <c r="D137" s="27">
        <f t="shared" si="75"/>
        <v>2.5217</v>
      </c>
      <c r="E137" s="21">
        <f t="shared" si="76"/>
        <v>-0.01688109161793372</v>
      </c>
      <c r="G137" s="27">
        <f t="shared" si="77"/>
        <v>2.459</v>
      </c>
      <c r="H137" s="21">
        <f t="shared" si="78"/>
        <v>-0.0413255360623781</v>
      </c>
      <c r="J137" s="3">
        <v>1441</v>
      </c>
      <c r="K137" s="3">
        <f t="shared" si="72"/>
        <v>3696</v>
      </c>
      <c r="L137" s="3">
        <f t="shared" si="73"/>
        <v>3634</v>
      </c>
      <c r="M137" s="3">
        <f t="shared" si="74"/>
        <v>3543</v>
      </c>
    </row>
    <row r="138" spans="1:13" ht="12.75">
      <c r="A138" s="17" t="s">
        <v>77</v>
      </c>
      <c r="B138" s="27">
        <v>2.325</v>
      </c>
      <c r="D138" s="27">
        <f t="shared" si="75"/>
        <v>2.5217</v>
      </c>
      <c r="E138" s="21">
        <f t="shared" si="76"/>
        <v>0.08460215053763442</v>
      </c>
      <c r="G138" s="27">
        <f t="shared" si="77"/>
        <v>2.459</v>
      </c>
      <c r="H138" s="21">
        <f t="shared" si="78"/>
        <v>0.05763440860215052</v>
      </c>
      <c r="J138" s="3">
        <v>1087</v>
      </c>
      <c r="K138" s="3">
        <f t="shared" si="72"/>
        <v>2527</v>
      </c>
      <c r="L138" s="3">
        <f t="shared" si="73"/>
        <v>2741</v>
      </c>
      <c r="M138" s="3">
        <f t="shared" si="74"/>
        <v>2673</v>
      </c>
    </row>
    <row r="139" spans="1:13" ht="15">
      <c r="A139" s="17" t="s">
        <v>78</v>
      </c>
      <c r="B139" s="27">
        <v>2.295</v>
      </c>
      <c r="D139" s="27">
        <f t="shared" si="75"/>
        <v>2.5217</v>
      </c>
      <c r="E139" s="21">
        <f t="shared" si="76"/>
        <v>0.09877995642701531</v>
      </c>
      <c r="G139" s="27">
        <f t="shared" si="77"/>
        <v>2.459</v>
      </c>
      <c r="H139" s="21">
        <f t="shared" si="78"/>
        <v>0.07145969498910687</v>
      </c>
      <c r="J139" s="11">
        <v>712</v>
      </c>
      <c r="K139" s="11">
        <f t="shared" si="72"/>
        <v>1634</v>
      </c>
      <c r="L139" s="11">
        <f t="shared" si="73"/>
        <v>1795</v>
      </c>
      <c r="M139" s="11">
        <f t="shared" si="74"/>
        <v>1751</v>
      </c>
    </row>
    <row r="140" spans="10:13" ht="12.75">
      <c r="J140" s="3">
        <f>SUM(J133:J139)</f>
        <v>36715</v>
      </c>
      <c r="K140" s="3">
        <f>SUM(K133:K139)</f>
        <v>70019</v>
      </c>
      <c r="L140" s="3">
        <f>SUM(L133:L139)</f>
        <v>92583</v>
      </c>
      <c r="M140" s="3">
        <f>SUM(M133:M139)</f>
        <v>90282</v>
      </c>
    </row>
    <row r="141" ht="12.75">
      <c r="A141" s="29" t="s">
        <v>80</v>
      </c>
    </row>
    <row r="142" spans="1:13" ht="12.75">
      <c r="A142" s="17" t="s">
        <v>81</v>
      </c>
      <c r="B142" s="27">
        <v>0</v>
      </c>
      <c r="D142" s="27">
        <f>$D$91</f>
        <v>2.5217</v>
      </c>
      <c r="E142" s="21"/>
      <c r="G142" s="27">
        <f>G139</f>
        <v>2.459</v>
      </c>
      <c r="H142" s="21"/>
      <c r="J142" s="3">
        <v>587</v>
      </c>
      <c r="K142" s="3">
        <f>ROUND(J142*$B142,0)</f>
        <v>0</v>
      </c>
      <c r="L142" s="3">
        <f>ROUND(J142*$D142,0)</f>
        <v>1480</v>
      </c>
      <c r="M142" s="3">
        <f>ROUND(J142*$G142,0)</f>
        <v>1443</v>
      </c>
    </row>
    <row r="143" spans="1:13" ht="12.75">
      <c r="A143" s="17" t="s">
        <v>74</v>
      </c>
      <c r="B143" s="27">
        <v>4.53</v>
      </c>
      <c r="D143" s="27">
        <f>$D$91</f>
        <v>2.5217</v>
      </c>
      <c r="E143" s="21">
        <f>D143/$B143-1</f>
        <v>-0.44333333333333336</v>
      </c>
      <c r="G143" s="27">
        <f>G142</f>
        <v>2.459</v>
      </c>
      <c r="H143" s="21">
        <f>G143/$B143-1</f>
        <v>-0.4571743929359824</v>
      </c>
      <c r="J143" s="3">
        <v>85</v>
      </c>
      <c r="K143" s="3">
        <f>ROUND(J143*$B143,0)</f>
        <v>385</v>
      </c>
      <c r="L143" s="3">
        <f>ROUND(J143*$D143,0)</f>
        <v>214</v>
      </c>
      <c r="M143" s="3">
        <f>ROUND(J143*$G143,0)</f>
        <v>209</v>
      </c>
    </row>
    <row r="144" spans="1:13" ht="15">
      <c r="A144" s="17" t="s">
        <v>82</v>
      </c>
      <c r="B144" s="27">
        <v>3.4125</v>
      </c>
      <c r="D144" s="27">
        <f>$D$91</f>
        <v>2.5217</v>
      </c>
      <c r="E144" s="21">
        <f>D144/$B144-1</f>
        <v>-0.2610402930402931</v>
      </c>
      <c r="G144" s="27">
        <f>G143</f>
        <v>2.459</v>
      </c>
      <c r="H144" s="21">
        <f>G144/$B144-1</f>
        <v>-0.27941391941391946</v>
      </c>
      <c r="J144" s="11">
        <v>112</v>
      </c>
      <c r="K144" s="11">
        <f>ROUND(J144*$B144,0)</f>
        <v>382</v>
      </c>
      <c r="L144" s="11">
        <f>ROUND(J144*$D144,0)</f>
        <v>282</v>
      </c>
      <c r="M144" s="11">
        <f>ROUND(J144*$G144,0)</f>
        <v>275</v>
      </c>
    </row>
    <row r="145" spans="10:13" ht="12.75">
      <c r="J145" s="3">
        <f>SUM(J142:J144)</f>
        <v>784</v>
      </c>
      <c r="K145" s="3">
        <f>SUM(K142:K144)</f>
        <v>767</v>
      </c>
      <c r="L145" s="3">
        <f>SUM(L142:L144)</f>
        <v>1976</v>
      </c>
      <c r="M145" s="3">
        <f>SUM(M142:M144)</f>
        <v>1927</v>
      </c>
    </row>
    <row r="146" ht="12.75">
      <c r="A146" s="29" t="s">
        <v>83</v>
      </c>
    </row>
    <row r="147" spans="1:13" ht="12.75">
      <c r="A147" s="1" t="s">
        <v>60</v>
      </c>
      <c r="B147" s="27">
        <v>0</v>
      </c>
      <c r="D147" s="27">
        <f>$D$91</f>
        <v>2.5217</v>
      </c>
      <c r="E147" s="21"/>
      <c r="G147" s="27">
        <f>G142</f>
        <v>2.459</v>
      </c>
      <c r="H147" s="21"/>
      <c r="J147" s="3">
        <v>15799</v>
      </c>
      <c r="K147" s="3">
        <f>ROUND(J147*$B147,0)</f>
        <v>0</v>
      </c>
      <c r="L147" s="3">
        <f>ROUND(J147*$D147,0)</f>
        <v>39840</v>
      </c>
      <c r="M147" s="3">
        <f>ROUND(J147*$G147,0)</f>
        <v>38850</v>
      </c>
    </row>
    <row r="148" spans="1:13" ht="12.75">
      <c r="A148" s="1" t="s">
        <v>69</v>
      </c>
      <c r="B148" s="27">
        <v>5.67</v>
      </c>
      <c r="D148" s="27">
        <f>$D$91</f>
        <v>2.5217</v>
      </c>
      <c r="E148" s="21">
        <f>D148/$B148-1</f>
        <v>-0.5552557319223985</v>
      </c>
      <c r="G148" s="27">
        <f>G147</f>
        <v>2.459</v>
      </c>
      <c r="H148" s="21">
        <f>G148/$B148-1</f>
        <v>-0.5663139329805996</v>
      </c>
      <c r="J148" s="3">
        <v>10017</v>
      </c>
      <c r="K148" s="3">
        <f>ROUND(J148*$B148,0)</f>
        <v>56796</v>
      </c>
      <c r="L148" s="3">
        <f>ROUND(J148*$D148,0)</f>
        <v>25260</v>
      </c>
      <c r="M148" s="3">
        <f>ROUND(J148*$G148,0)</f>
        <v>24632</v>
      </c>
    </row>
    <row r="149" spans="1:13" ht="15">
      <c r="A149" s="1" t="s">
        <v>70</v>
      </c>
      <c r="B149" s="27">
        <v>3.4125</v>
      </c>
      <c r="D149" s="27">
        <f>$D$91</f>
        <v>2.5217</v>
      </c>
      <c r="E149" s="21">
        <f>D149/$B149-1</f>
        <v>-0.2610402930402931</v>
      </c>
      <c r="G149" s="27">
        <f>G148</f>
        <v>2.459</v>
      </c>
      <c r="H149" s="21">
        <f>G149/$B149-1</f>
        <v>-0.27941391941391946</v>
      </c>
      <c r="J149" s="11">
        <v>14090</v>
      </c>
      <c r="K149" s="11">
        <f>ROUND(J149*$B149,0)</f>
        <v>48082</v>
      </c>
      <c r="L149" s="11">
        <f>ROUND(J149*$D149,0)</f>
        <v>35531</v>
      </c>
      <c r="M149" s="11">
        <f>ROUND(J149*$G149,0)</f>
        <v>34647</v>
      </c>
    </row>
    <row r="150" spans="7:13" ht="12.75">
      <c r="G150" s="27"/>
      <c r="J150" s="3">
        <f>SUM(J147:J149)</f>
        <v>39906</v>
      </c>
      <c r="K150" s="3">
        <f>SUM(K147:K149)</f>
        <v>104878</v>
      </c>
      <c r="L150" s="3">
        <f>SUM(L147:L149)</f>
        <v>100631</v>
      </c>
      <c r="M150" s="3">
        <f>SUM(M147:M149)</f>
        <v>98129</v>
      </c>
    </row>
    <row r="151" spans="1:8" ht="15">
      <c r="A151" s="28" t="s">
        <v>97</v>
      </c>
      <c r="B151" s="20"/>
      <c r="C151" s="20"/>
      <c r="D151" s="20"/>
      <c r="E151" s="20"/>
      <c r="F151" s="20"/>
      <c r="G151" s="27"/>
      <c r="H151" s="20"/>
    </row>
    <row r="152" spans="1:13" ht="12.75">
      <c r="A152" s="17" t="s">
        <v>72</v>
      </c>
      <c r="B152" s="27">
        <v>0</v>
      </c>
      <c r="D152" s="27">
        <f>$D$91</f>
        <v>2.5217</v>
      </c>
      <c r="E152" s="21"/>
      <c r="G152" s="27">
        <f>G147</f>
        <v>2.459</v>
      </c>
      <c r="H152" s="21"/>
      <c r="J152" s="3">
        <v>35</v>
      </c>
      <c r="K152" s="3">
        <f>ROUND(J152*$B152,0)</f>
        <v>0</v>
      </c>
      <c r="L152" s="3">
        <f>ROUND(J152*$D152,0)</f>
        <v>88</v>
      </c>
      <c r="M152" s="3">
        <f>ROUND(J152*$G152,0)</f>
        <v>86</v>
      </c>
    </row>
    <row r="153" spans="1:13" ht="12.75">
      <c r="A153" s="17" t="s">
        <v>98</v>
      </c>
      <c r="B153" s="27">
        <v>4.665</v>
      </c>
      <c r="D153" s="27">
        <f>$D$91</f>
        <v>2.5217</v>
      </c>
      <c r="E153" s="21">
        <f>D153/$B153-1</f>
        <v>-0.45944265809217577</v>
      </c>
      <c r="G153" s="27">
        <f>G152</f>
        <v>2.459</v>
      </c>
      <c r="H153" s="21">
        <f>G153/$B153-1</f>
        <v>-0.47288317256162915</v>
      </c>
      <c r="J153" s="3">
        <v>4</v>
      </c>
      <c r="K153" s="3">
        <f>ROUND(J153*$B153,0)</f>
        <v>19</v>
      </c>
      <c r="L153" s="3">
        <f>ROUND(J153*$D153,0)</f>
        <v>10</v>
      </c>
      <c r="M153" s="3">
        <f>ROUND(J153*$G153,0)</f>
        <v>10</v>
      </c>
    </row>
    <row r="154" spans="1:13" ht="12.75">
      <c r="A154" s="17" t="s">
        <v>98</v>
      </c>
      <c r="B154" s="27">
        <v>4.575</v>
      </c>
      <c r="D154" s="27">
        <f>$D$91</f>
        <v>2.5217</v>
      </c>
      <c r="E154" s="21">
        <f>D154/$B154-1</f>
        <v>-0.4488087431693989</v>
      </c>
      <c r="G154" s="27">
        <f>G153</f>
        <v>2.459</v>
      </c>
      <c r="H154" s="21">
        <f>G154/$B154-1</f>
        <v>-0.46251366120218584</v>
      </c>
      <c r="J154" s="3"/>
      <c r="K154" s="3">
        <f>ROUND(J154*$B154,0)</f>
        <v>0</v>
      </c>
      <c r="L154" s="3">
        <f>ROUND(J154*$D154,0)</f>
        <v>0</v>
      </c>
      <c r="M154" s="3">
        <f>ROUND(J154*$G154,0)</f>
        <v>0</v>
      </c>
    </row>
    <row r="155" spans="1:13" ht="12.75">
      <c r="A155" s="17" t="s">
        <v>76</v>
      </c>
      <c r="B155" s="27">
        <v>4.485</v>
      </c>
      <c r="D155" s="27">
        <f>$D$91</f>
        <v>2.5217</v>
      </c>
      <c r="E155" s="21">
        <f>D155/$B155-1</f>
        <v>-0.43774804905239695</v>
      </c>
      <c r="G155" s="27">
        <f>G154</f>
        <v>2.459</v>
      </c>
      <c r="H155" s="21">
        <f>G155/$B155-1</f>
        <v>-0.4517279821627648</v>
      </c>
      <c r="J155" s="3"/>
      <c r="K155" s="3">
        <f>ROUND(J155*$B155,0)</f>
        <v>0</v>
      </c>
      <c r="L155" s="3">
        <f>ROUND(J155*$D155,0)</f>
        <v>0</v>
      </c>
      <c r="M155" s="3">
        <f>ROUND(J155*$G155,0)</f>
        <v>0</v>
      </c>
    </row>
    <row r="156" spans="1:13" ht="15">
      <c r="A156" s="17" t="s">
        <v>99</v>
      </c>
      <c r="B156" s="27">
        <v>4.305</v>
      </c>
      <c r="D156" s="27">
        <f>$D$91</f>
        <v>2.5217</v>
      </c>
      <c r="E156" s="21">
        <f>D156/$B156-1</f>
        <v>-0.414239256678281</v>
      </c>
      <c r="G156" s="27">
        <f>G155</f>
        <v>2.459</v>
      </c>
      <c r="H156" s="21">
        <f>G156/$B156-1</f>
        <v>-0.4288037166085946</v>
      </c>
      <c r="J156" s="11"/>
      <c r="K156" s="11">
        <f>ROUND(J156*$B156,0)</f>
        <v>0</v>
      </c>
      <c r="L156" s="11">
        <f>ROUND(J156*$D156,0)</f>
        <v>0</v>
      </c>
      <c r="M156" s="11">
        <f>ROUND(J156*$G156,0)</f>
        <v>0</v>
      </c>
    </row>
    <row r="157" spans="7:13" ht="12.75">
      <c r="G157" s="27"/>
      <c r="J157" s="3">
        <f>SUM(J152:J156)</f>
        <v>39</v>
      </c>
      <c r="K157" s="3">
        <f>SUM(K152:K156)</f>
        <v>19</v>
      </c>
      <c r="L157" s="3">
        <f>SUM(L152:L156)</f>
        <v>98</v>
      </c>
      <c r="M157" s="3">
        <f>SUM(M152:M156)</f>
        <v>96</v>
      </c>
    </row>
    <row r="158" spans="1:7" ht="15">
      <c r="A158" s="28" t="s">
        <v>84</v>
      </c>
      <c r="B158" s="20"/>
      <c r="G158" s="27"/>
    </row>
    <row r="159" spans="1:13" ht="12.75">
      <c r="A159" s="17" t="s">
        <v>72</v>
      </c>
      <c r="B159" s="27">
        <v>0</v>
      </c>
      <c r="D159" s="27">
        <f>$D$92</f>
        <v>2.2692</v>
      </c>
      <c r="E159" s="21"/>
      <c r="G159" s="32">
        <f>G92*1</f>
        <v>2.2831</v>
      </c>
      <c r="J159" s="3">
        <v>6069</v>
      </c>
      <c r="K159" s="3">
        <f aca="true" t="shared" si="79" ref="K159:K165">ROUND(J159*$B159,0)</f>
        <v>0</v>
      </c>
      <c r="L159" s="3">
        <f aca="true" t="shared" si="80" ref="L159:L165">ROUND(J159*$D159,0)</f>
        <v>13772</v>
      </c>
      <c r="M159" s="3">
        <f aca="true" t="shared" si="81" ref="M159:M165">ROUND(J159*$G159,0)</f>
        <v>13856</v>
      </c>
    </row>
    <row r="160" spans="1:13" ht="12.75">
      <c r="A160" s="17" t="s">
        <v>73</v>
      </c>
      <c r="B160" s="27">
        <v>4.695</v>
      </c>
      <c r="D160" s="27">
        <f aca="true" t="shared" si="82" ref="D160:D165">$D$92</f>
        <v>2.2692</v>
      </c>
      <c r="E160" s="21">
        <f aca="true" t="shared" si="83" ref="E160:E165">D160/$B160-1</f>
        <v>-0.5166773162939298</v>
      </c>
      <c r="G160" s="27">
        <f aca="true" t="shared" si="84" ref="G160:G165">G159</f>
        <v>2.2831</v>
      </c>
      <c r="H160" s="21">
        <f aca="true" t="shared" si="85" ref="H160:H165">G160/$B160-1</f>
        <v>-0.5137167199148029</v>
      </c>
      <c r="J160" s="3">
        <v>2170</v>
      </c>
      <c r="K160" s="3">
        <f t="shared" si="79"/>
        <v>10188</v>
      </c>
      <c r="L160" s="3">
        <f t="shared" si="80"/>
        <v>4924</v>
      </c>
      <c r="M160" s="3">
        <f t="shared" si="81"/>
        <v>4954</v>
      </c>
    </row>
    <row r="161" spans="1:13" ht="12.75">
      <c r="A161" s="17" t="s">
        <v>74</v>
      </c>
      <c r="B161" s="27">
        <v>3.885</v>
      </c>
      <c r="D161" s="27">
        <f t="shared" si="82"/>
        <v>2.2692</v>
      </c>
      <c r="E161" s="21">
        <f t="shared" si="83"/>
        <v>-0.41590733590733586</v>
      </c>
      <c r="G161" s="27">
        <f t="shared" si="84"/>
        <v>2.2831</v>
      </c>
      <c r="H161" s="21">
        <f t="shared" si="85"/>
        <v>-0.41232947232947226</v>
      </c>
      <c r="J161" s="3">
        <v>3309</v>
      </c>
      <c r="K161" s="3">
        <f t="shared" si="79"/>
        <v>12855</v>
      </c>
      <c r="L161" s="3">
        <f t="shared" si="80"/>
        <v>7509</v>
      </c>
      <c r="M161" s="3">
        <f t="shared" si="81"/>
        <v>7555</v>
      </c>
    </row>
    <row r="162" spans="1:13" ht="12.75">
      <c r="A162" s="17" t="s">
        <v>75</v>
      </c>
      <c r="B162" s="27">
        <v>3.15</v>
      </c>
      <c r="D162" s="27">
        <f t="shared" si="82"/>
        <v>2.2692</v>
      </c>
      <c r="E162" s="21">
        <f t="shared" si="83"/>
        <v>-0.27961904761904754</v>
      </c>
      <c r="G162" s="27">
        <f t="shared" si="84"/>
        <v>2.2831</v>
      </c>
      <c r="H162" s="21">
        <f t="shared" si="85"/>
        <v>-0.2752063492063491</v>
      </c>
      <c r="J162" s="3">
        <v>5142</v>
      </c>
      <c r="K162" s="3">
        <f t="shared" si="79"/>
        <v>16197</v>
      </c>
      <c r="L162" s="3">
        <f t="shared" si="80"/>
        <v>11668</v>
      </c>
      <c r="M162" s="3">
        <f t="shared" si="81"/>
        <v>11740</v>
      </c>
    </row>
    <row r="163" spans="1:13" ht="12.75">
      <c r="A163" s="17" t="s">
        <v>76</v>
      </c>
      <c r="B163" s="27">
        <v>2.565</v>
      </c>
      <c r="D163" s="27">
        <f t="shared" si="82"/>
        <v>2.2692</v>
      </c>
      <c r="E163" s="21">
        <f t="shared" si="83"/>
        <v>-0.11532163742690049</v>
      </c>
      <c r="G163" s="27">
        <f t="shared" si="84"/>
        <v>2.2831</v>
      </c>
      <c r="H163" s="21">
        <f t="shared" si="85"/>
        <v>-0.10990253411306039</v>
      </c>
      <c r="J163" s="3">
        <v>6190</v>
      </c>
      <c r="K163" s="3">
        <f t="shared" si="79"/>
        <v>15877</v>
      </c>
      <c r="L163" s="3">
        <f t="shared" si="80"/>
        <v>14046</v>
      </c>
      <c r="M163" s="3">
        <f t="shared" si="81"/>
        <v>14132</v>
      </c>
    </row>
    <row r="164" spans="1:13" ht="12.75">
      <c r="A164" s="17" t="s">
        <v>77</v>
      </c>
      <c r="B164" s="27">
        <v>2.325</v>
      </c>
      <c r="D164" s="27">
        <f t="shared" si="82"/>
        <v>2.2692</v>
      </c>
      <c r="E164" s="21">
        <f t="shared" si="83"/>
        <v>-0.02400000000000002</v>
      </c>
      <c r="G164" s="27">
        <f t="shared" si="84"/>
        <v>2.2831</v>
      </c>
      <c r="H164" s="21">
        <f t="shared" si="85"/>
        <v>-0.01802150537634406</v>
      </c>
      <c r="J164" s="3">
        <v>7831</v>
      </c>
      <c r="K164" s="3">
        <f t="shared" si="79"/>
        <v>18207</v>
      </c>
      <c r="L164" s="3">
        <f t="shared" si="80"/>
        <v>17770</v>
      </c>
      <c r="M164" s="3">
        <f t="shared" si="81"/>
        <v>17879</v>
      </c>
    </row>
    <row r="165" spans="1:13" ht="15">
      <c r="A165" s="17" t="s">
        <v>78</v>
      </c>
      <c r="B165" s="27">
        <v>2.295</v>
      </c>
      <c r="D165" s="27">
        <f t="shared" si="82"/>
        <v>2.2692</v>
      </c>
      <c r="E165" s="21">
        <f t="shared" si="83"/>
        <v>-0.011241830065359393</v>
      </c>
      <c r="G165" s="27">
        <f t="shared" si="84"/>
        <v>2.2831</v>
      </c>
      <c r="H165" s="21">
        <f t="shared" si="85"/>
        <v>-0.0051851851851850705</v>
      </c>
      <c r="J165" s="11">
        <v>39755</v>
      </c>
      <c r="K165" s="11">
        <f t="shared" si="79"/>
        <v>91238</v>
      </c>
      <c r="L165" s="11">
        <f t="shared" si="80"/>
        <v>90212</v>
      </c>
      <c r="M165" s="11">
        <f t="shared" si="81"/>
        <v>90765</v>
      </c>
    </row>
    <row r="166" spans="7:13" ht="12.75">
      <c r="G166" s="27"/>
      <c r="J166" s="3">
        <f>SUM(J159:J165)</f>
        <v>70466</v>
      </c>
      <c r="K166" s="3">
        <f>SUM(K159:K165)</f>
        <v>164562</v>
      </c>
      <c r="L166" s="3">
        <f>SUM(L159:L165)</f>
        <v>159901</v>
      </c>
      <c r="M166" s="3">
        <f>SUM(M159:M165)</f>
        <v>160881</v>
      </c>
    </row>
    <row r="167" spans="1:7" ht="12.75">
      <c r="A167" s="29" t="s">
        <v>85</v>
      </c>
      <c r="G167" s="27"/>
    </row>
    <row r="168" spans="1:13" ht="12.75">
      <c r="A168" s="17" t="s">
        <v>81</v>
      </c>
      <c r="B168" s="27">
        <v>0</v>
      </c>
      <c r="D168" s="27">
        <f>$D$92</f>
        <v>2.2692</v>
      </c>
      <c r="G168" s="27">
        <f>G165</f>
        <v>2.2831</v>
      </c>
      <c r="J168" s="3">
        <v>1037</v>
      </c>
      <c r="K168" s="3">
        <f>ROUND(J168*$B168,0)</f>
        <v>0</v>
      </c>
      <c r="L168" s="3">
        <f>ROUND(J168*$D168,0)</f>
        <v>2353</v>
      </c>
      <c r="M168" s="3">
        <f>ROUND(J168*$G168,0)</f>
        <v>2368</v>
      </c>
    </row>
    <row r="169" spans="1:13" ht="12.75">
      <c r="A169" s="17" t="s">
        <v>74</v>
      </c>
      <c r="B169" s="27">
        <v>4.53</v>
      </c>
      <c r="D169" s="27">
        <f>$D$92</f>
        <v>2.2692</v>
      </c>
      <c r="E169" s="21">
        <f>D169/$B169-1</f>
        <v>-0.49907284768211924</v>
      </c>
      <c r="G169" s="27">
        <f>G168</f>
        <v>2.2831</v>
      </c>
      <c r="H169" s="21">
        <f>G169/$B169-1</f>
        <v>-0.49600441501103754</v>
      </c>
      <c r="J169" s="3">
        <v>280</v>
      </c>
      <c r="K169" s="3">
        <f>ROUND(J169*$B169,0)</f>
        <v>1268</v>
      </c>
      <c r="L169" s="3">
        <f>ROUND(J169*$D169,0)</f>
        <v>635</v>
      </c>
      <c r="M169" s="3">
        <f>ROUND(J169*$G169,0)</f>
        <v>639</v>
      </c>
    </row>
    <row r="170" spans="1:13" ht="15">
      <c r="A170" s="17" t="s">
        <v>82</v>
      </c>
      <c r="B170" s="27">
        <v>3.4125</v>
      </c>
      <c r="D170" s="27">
        <f>$D$92</f>
        <v>2.2692</v>
      </c>
      <c r="E170" s="21">
        <f>D170/$B170-1</f>
        <v>-0.33503296703296703</v>
      </c>
      <c r="G170" s="27">
        <f>G169</f>
        <v>2.2831</v>
      </c>
      <c r="H170" s="21">
        <f>G170/$B170-1</f>
        <v>-0.3309597069597069</v>
      </c>
      <c r="J170" s="11">
        <v>469</v>
      </c>
      <c r="K170" s="11">
        <f>ROUND(J170*$B170,0)</f>
        <v>1600</v>
      </c>
      <c r="L170" s="11">
        <f>ROUND(J170*$D170,0)</f>
        <v>1064</v>
      </c>
      <c r="M170" s="11">
        <f>ROUND(J170*$G170,0)</f>
        <v>1071</v>
      </c>
    </row>
    <row r="171" spans="7:13" ht="12.75">
      <c r="G171" s="27"/>
      <c r="J171" s="3">
        <f>SUM(J168:J170)</f>
        <v>1786</v>
      </c>
      <c r="K171" s="3">
        <f>SUM(K168:K170)</f>
        <v>2868</v>
      </c>
      <c r="L171" s="3">
        <f>SUM(L168:L170)</f>
        <v>4052</v>
      </c>
      <c r="M171" s="3">
        <f>SUM(M168:M170)</f>
        <v>4078</v>
      </c>
    </row>
    <row r="172" spans="1:7" ht="12.75">
      <c r="A172" s="29" t="s">
        <v>86</v>
      </c>
      <c r="G172" s="27"/>
    </row>
    <row r="173" spans="1:13" ht="12.75">
      <c r="A173" s="1" t="s">
        <v>60</v>
      </c>
      <c r="B173" s="27">
        <v>0</v>
      </c>
      <c r="D173" s="27">
        <f>$D$92</f>
        <v>2.2692</v>
      </c>
      <c r="G173" s="27">
        <f>G170</f>
        <v>2.2831</v>
      </c>
      <c r="J173" s="3">
        <v>667</v>
      </c>
      <c r="K173" s="3">
        <f>ROUND(J173*$B173,0)</f>
        <v>0</v>
      </c>
      <c r="L173" s="3">
        <f>ROUND(J173*$D173,0)</f>
        <v>1514</v>
      </c>
      <c r="M173" s="3">
        <f>ROUND(J173*$G173,0)</f>
        <v>1523</v>
      </c>
    </row>
    <row r="174" spans="1:13" ht="12.75">
      <c r="A174" s="1" t="s">
        <v>69</v>
      </c>
      <c r="B174" s="27">
        <v>5.67</v>
      </c>
      <c r="D174" s="27">
        <f>$D$92</f>
        <v>2.2692</v>
      </c>
      <c r="E174" s="21">
        <f>D174/$B174-1</f>
        <v>-0.5997883597883598</v>
      </c>
      <c r="G174" s="27">
        <f>G173</f>
        <v>2.2831</v>
      </c>
      <c r="H174" s="21">
        <f>G174/$B174-1</f>
        <v>-0.597336860670194</v>
      </c>
      <c r="J174" s="3">
        <v>351</v>
      </c>
      <c r="K174" s="3">
        <f>ROUND(J174*$B174,0)</f>
        <v>1990</v>
      </c>
      <c r="L174" s="3">
        <f>ROUND(J174*$D174,0)</f>
        <v>796</v>
      </c>
      <c r="M174" s="3">
        <f>ROUND(J174*$G174,0)</f>
        <v>801</v>
      </c>
    </row>
    <row r="175" spans="1:13" ht="15">
      <c r="A175" s="1" t="s">
        <v>70</v>
      </c>
      <c r="B175" s="27">
        <v>3.4125</v>
      </c>
      <c r="D175" s="27">
        <f>$D$92</f>
        <v>2.2692</v>
      </c>
      <c r="E175" s="21">
        <f>D175/$B175-1</f>
        <v>-0.33503296703296703</v>
      </c>
      <c r="G175" s="27">
        <f>G174</f>
        <v>2.2831</v>
      </c>
      <c r="H175" s="21">
        <f>G175/$B175-1</f>
        <v>-0.3309597069597069</v>
      </c>
      <c r="J175" s="11">
        <v>900</v>
      </c>
      <c r="K175" s="11">
        <f>ROUND(J175*$B175,0)</f>
        <v>3071</v>
      </c>
      <c r="L175" s="11">
        <f>ROUND(J175*$D175,0)</f>
        <v>2042</v>
      </c>
      <c r="M175" s="11">
        <f>ROUND(J175*$G175,0)</f>
        <v>2055</v>
      </c>
    </row>
    <row r="176" spans="7:13" ht="12.75">
      <c r="G176" s="27"/>
      <c r="J176" s="3">
        <f>SUM(J173:J175)</f>
        <v>1918</v>
      </c>
      <c r="K176" s="3">
        <f>SUM(K173:K175)</f>
        <v>5061</v>
      </c>
      <c r="L176" s="3">
        <f>SUM(L173:L175)</f>
        <v>4352</v>
      </c>
      <c r="M176" s="3">
        <f>SUM(M173:M175)</f>
        <v>4379</v>
      </c>
    </row>
    <row r="177" spans="1:8" ht="15">
      <c r="A177" s="28" t="s">
        <v>100</v>
      </c>
      <c r="B177" s="20"/>
      <c r="C177" s="20"/>
      <c r="D177" s="20"/>
      <c r="E177" s="20"/>
      <c r="F177" s="20"/>
      <c r="G177" s="27"/>
      <c r="H177" s="20"/>
    </row>
    <row r="178" spans="1:13" ht="12.75">
      <c r="A178" s="17" t="s">
        <v>72</v>
      </c>
      <c r="B178" s="27">
        <v>0</v>
      </c>
      <c r="D178" s="27">
        <f>$D$91</f>
        <v>2.5217</v>
      </c>
      <c r="E178" s="21"/>
      <c r="G178" s="27">
        <f>G175</f>
        <v>2.2831</v>
      </c>
      <c r="H178" s="21"/>
      <c r="J178" s="3">
        <v>184</v>
      </c>
      <c r="K178" s="3">
        <f>ROUND(J178*$B178,0)</f>
        <v>0</v>
      </c>
      <c r="L178" s="3">
        <f>ROUND(J178*$D178,0)</f>
        <v>464</v>
      </c>
      <c r="M178" s="3">
        <f>ROUND(J178*$G178,0)</f>
        <v>420</v>
      </c>
    </row>
    <row r="179" spans="1:13" ht="12.75">
      <c r="A179" s="17" t="s">
        <v>98</v>
      </c>
      <c r="B179" s="27">
        <v>4.665</v>
      </c>
      <c r="D179" s="27">
        <f>$D$91</f>
        <v>2.5217</v>
      </c>
      <c r="E179" s="21">
        <f>D179/$B179-1</f>
        <v>-0.45944265809217577</v>
      </c>
      <c r="G179" s="27">
        <f>G178</f>
        <v>2.2831</v>
      </c>
      <c r="H179" s="21">
        <f>G179/$B179-1</f>
        <v>-0.5105894962486602</v>
      </c>
      <c r="J179" s="3">
        <v>200</v>
      </c>
      <c r="K179" s="3">
        <f>ROUND(J179*$B179,0)</f>
        <v>933</v>
      </c>
      <c r="L179" s="3">
        <f>ROUND(J179*$D179,0)</f>
        <v>504</v>
      </c>
      <c r="M179" s="3">
        <f>ROUND(J179*$G179,0)</f>
        <v>457</v>
      </c>
    </row>
    <row r="180" spans="1:13" ht="12.75">
      <c r="A180" s="17" t="s">
        <v>98</v>
      </c>
      <c r="B180" s="27">
        <v>4.575</v>
      </c>
      <c r="D180" s="27">
        <f>$D$91</f>
        <v>2.5217</v>
      </c>
      <c r="E180" s="21">
        <f>D180/$B180-1</f>
        <v>-0.4488087431693989</v>
      </c>
      <c r="G180" s="27">
        <f>G179</f>
        <v>2.2831</v>
      </c>
      <c r="H180" s="21">
        <f>G180/$B180-1</f>
        <v>-0.5009617486338798</v>
      </c>
      <c r="J180" s="3">
        <v>102</v>
      </c>
      <c r="K180" s="3">
        <f>ROUND(J180*$B180,0)</f>
        <v>467</v>
      </c>
      <c r="L180" s="3">
        <f>ROUND(J180*$D180,0)</f>
        <v>257</v>
      </c>
      <c r="M180" s="3">
        <f>ROUND(J180*$G180,0)</f>
        <v>233</v>
      </c>
    </row>
    <row r="181" spans="1:13" ht="12.75">
      <c r="A181" s="17" t="s">
        <v>76</v>
      </c>
      <c r="B181" s="27">
        <v>4.485</v>
      </c>
      <c r="D181" s="27">
        <f>$D$91</f>
        <v>2.5217</v>
      </c>
      <c r="E181" s="21">
        <f>D181/$B181-1</f>
        <v>-0.43774804905239695</v>
      </c>
      <c r="G181" s="27">
        <f>G180</f>
        <v>2.2831</v>
      </c>
      <c r="H181" s="21">
        <f>G181/$B181-1</f>
        <v>-0.4909476031215162</v>
      </c>
      <c r="J181" s="3">
        <v>85</v>
      </c>
      <c r="K181" s="3">
        <f>ROUND(J181*$B181,0)</f>
        <v>381</v>
      </c>
      <c r="L181" s="3">
        <f>ROUND(J181*$D181,0)</f>
        <v>214</v>
      </c>
      <c r="M181" s="3">
        <f>ROUND(J181*$G181,0)</f>
        <v>194</v>
      </c>
    </row>
    <row r="182" spans="1:13" ht="15">
      <c r="A182" s="17" t="s">
        <v>99</v>
      </c>
      <c r="B182" s="27">
        <v>4.305</v>
      </c>
      <c r="D182" s="27">
        <f>$D$91</f>
        <v>2.5217</v>
      </c>
      <c r="E182" s="21">
        <f>D182/$B182-1</f>
        <v>-0.414239256678281</v>
      </c>
      <c r="G182" s="27">
        <f>G181</f>
        <v>2.2831</v>
      </c>
      <c r="H182" s="21">
        <f>G182/$B182-1</f>
        <v>-0.46966318234610915</v>
      </c>
      <c r="J182" s="11">
        <v>0</v>
      </c>
      <c r="K182" s="11">
        <f>ROUND(J182*$B182,0)</f>
        <v>0</v>
      </c>
      <c r="L182" s="11">
        <f>ROUND(J182*$D182,0)</f>
        <v>0</v>
      </c>
      <c r="M182" s="11">
        <f>ROUND(J182*$G182,0)</f>
        <v>0</v>
      </c>
    </row>
    <row r="183" spans="10:13" ht="12.75">
      <c r="J183" s="3">
        <f>SUM(J178:J182)</f>
        <v>571</v>
      </c>
      <c r="K183" s="3">
        <f>SUM(K178:K182)</f>
        <v>1781</v>
      </c>
      <c r="L183" s="3">
        <f>SUM(L178:L182)</f>
        <v>1439</v>
      </c>
      <c r="M183" s="3">
        <f>SUM(M178:M182)</f>
        <v>1304</v>
      </c>
    </row>
    <row r="185" ht="12.75">
      <c r="A185" s="2" t="s">
        <v>101</v>
      </c>
    </row>
    <row r="186" ht="12.75">
      <c r="B186" s="2" t="s">
        <v>102</v>
      </c>
    </row>
    <row r="187" spans="2:23" s="20" customFormat="1" ht="15">
      <c r="B187" s="20" t="s">
        <v>38</v>
      </c>
      <c r="D187" s="20" t="s">
        <v>103</v>
      </c>
      <c r="E187" s="20" t="s">
        <v>39</v>
      </c>
      <c r="G187" s="20" t="s">
        <v>104</v>
      </c>
      <c r="H187" s="20" t="s">
        <v>39</v>
      </c>
      <c r="S187" s="13"/>
      <c r="W187" s="13"/>
    </row>
    <row r="188" spans="1:8" ht="12.75">
      <c r="A188" s="1" t="s">
        <v>54</v>
      </c>
      <c r="B188" s="3">
        <f>SUMIF($J:$J,"Total",K:K)</f>
        <v>10979199</v>
      </c>
      <c r="D188" s="3">
        <f>SUMIF($J:$J,"Total",L:L)</f>
        <v>10579420</v>
      </c>
      <c r="E188" s="21">
        <f aca="true" t="shared" si="86" ref="E188:E193">D188/$B188-1</f>
        <v>-0.03641240130541401</v>
      </c>
      <c r="G188" s="3">
        <f>SUMIF($J:$J,"Total",M:M)</f>
        <v>10707793</v>
      </c>
      <c r="H188" s="21">
        <f aca="true" t="shared" si="87" ref="H188:H193">G188/$B188-1</f>
        <v>-0.02472001828184367</v>
      </c>
    </row>
    <row r="189" spans="1:8" ht="12.75">
      <c r="A189" s="1" t="s">
        <v>55</v>
      </c>
      <c r="B189" s="3">
        <f>SUMIF($J:$J,"Total",P:P)</f>
        <v>2502222</v>
      </c>
      <c r="D189" s="3">
        <f>SUMIF($J:$J,"Total",Q:Q)</f>
        <v>2508564</v>
      </c>
      <c r="E189" s="21">
        <f t="shared" si="86"/>
        <v>0.002534547294364753</v>
      </c>
      <c r="G189" s="3">
        <f>SUMIF($J:$J,"Total",R:R)</f>
        <v>2505216</v>
      </c>
      <c r="H189" s="21">
        <f t="shared" si="87"/>
        <v>0.0011965365183423948</v>
      </c>
    </row>
    <row r="190" spans="1:8" ht="12.75">
      <c r="A190" s="1" t="s">
        <v>56</v>
      </c>
      <c r="B190" s="3">
        <f>SUMIF($J:$J,"Total",U:U)</f>
        <v>62427</v>
      </c>
      <c r="D190" s="3">
        <f>SUMIF($J:$J,"Total",V:V)</f>
        <v>62427</v>
      </c>
      <c r="E190" s="21">
        <f t="shared" si="86"/>
        <v>0</v>
      </c>
      <c r="G190" s="3">
        <f>SUMIF($J:$J,"Total",W:W)</f>
        <v>62427</v>
      </c>
      <c r="H190" s="21">
        <f t="shared" si="87"/>
        <v>0</v>
      </c>
    </row>
    <row r="191" spans="1:8" ht="12.75">
      <c r="A191" s="1" t="s">
        <v>57</v>
      </c>
      <c r="B191" s="3">
        <f>SUMIF($J:$J,"Total",Z:Z)</f>
        <v>474127</v>
      </c>
      <c r="D191" s="3">
        <f>SUMIF($J:$J,"Total",AA:AA)</f>
        <v>477190</v>
      </c>
      <c r="E191" s="21">
        <f t="shared" si="86"/>
        <v>0.00646029439369622</v>
      </c>
      <c r="G191" s="3">
        <f>SUMIF($J:$J,"Total",AB:AB)</f>
        <v>477190</v>
      </c>
      <c r="H191" s="21">
        <f t="shared" si="87"/>
        <v>0.00646029439369622</v>
      </c>
    </row>
    <row r="192" spans="1:8" ht="15">
      <c r="A192" s="1" t="s">
        <v>58</v>
      </c>
      <c r="B192" s="11">
        <f>SUMIF($J:$J,"Total",AE:AE)</f>
        <v>42573</v>
      </c>
      <c r="D192" s="11">
        <f>SUMIF($J:$J,"Total",AF:AF)</f>
        <v>42573</v>
      </c>
      <c r="E192" s="21">
        <f t="shared" si="86"/>
        <v>0</v>
      </c>
      <c r="G192" s="11">
        <f>SUMIF($J:$J,"Total",AG:AG)</f>
        <v>42573</v>
      </c>
      <c r="H192" s="21">
        <f t="shared" si="87"/>
        <v>0</v>
      </c>
    </row>
    <row r="193" spans="1:8" ht="12.75">
      <c r="A193" s="17" t="s">
        <v>18</v>
      </c>
      <c r="B193" s="3">
        <f>SUM(B188:B192)</f>
        <v>14060548</v>
      </c>
      <c r="D193" s="3">
        <f>SUM(D188:D192)</f>
        <v>13670174</v>
      </c>
      <c r="E193" s="21">
        <f t="shared" si="86"/>
        <v>-0.027763782748723598</v>
      </c>
      <c r="G193" s="3">
        <f>SUM(G188:G192)</f>
        <v>13795199</v>
      </c>
      <c r="H193" s="21">
        <f t="shared" si="87"/>
        <v>-0.018871881807167146</v>
      </c>
    </row>
    <row r="195" ht="12.75">
      <c r="B195" s="2" t="s">
        <v>105</v>
      </c>
    </row>
    <row r="196" spans="2:23" s="20" customFormat="1" ht="15">
      <c r="B196" s="20" t="s">
        <v>38</v>
      </c>
      <c r="D196" s="20" t="s">
        <v>103</v>
      </c>
      <c r="E196" s="20" t="s">
        <v>39</v>
      </c>
      <c r="G196" s="20" t="s">
        <v>104</v>
      </c>
      <c r="H196" s="20" t="s">
        <v>39</v>
      </c>
      <c r="S196" s="13"/>
      <c r="W196" s="13"/>
    </row>
    <row r="197" spans="1:8" ht="12.75">
      <c r="A197" s="1" t="s">
        <v>54</v>
      </c>
      <c r="B197" s="3">
        <f>SUM(K91,K106,K128,K140,K145,K150,K157)</f>
        <v>15749019</v>
      </c>
      <c r="D197" s="3">
        <f>SUM(L91,L106,L128,L140,L145,L150,L157)</f>
        <v>21536382</v>
      </c>
      <c r="E197" s="21">
        <f aca="true" t="shared" si="88" ref="E197:E202">D197/$B197-1</f>
        <v>0.36747450745979804</v>
      </c>
      <c r="G197" s="3">
        <f>SUM(M91,M106,M128,M140,M145,M150,M157)</f>
        <v>21215529</v>
      </c>
      <c r="H197" s="21">
        <f aca="true" t="shared" si="89" ref="H197:H202">G197/$B197-1</f>
        <v>0.34710161947229845</v>
      </c>
    </row>
    <row r="198" spans="1:8" ht="12.75">
      <c r="A198" s="1" t="s">
        <v>55</v>
      </c>
      <c r="B198" s="3">
        <f>SUM(K92,K113,K171,K166,K176,K183)</f>
        <v>10236650</v>
      </c>
      <c r="D198" s="3">
        <f>SUM(L92,L113,L171,L166,L176,L183)</f>
        <v>13614218</v>
      </c>
      <c r="E198" s="21">
        <f t="shared" si="88"/>
        <v>0.3299485671582012</v>
      </c>
      <c r="G198" s="3">
        <f>SUM(M92,M113,M171,M166,M176,M183)</f>
        <v>13732627</v>
      </c>
      <c r="H198" s="21">
        <f t="shared" si="89"/>
        <v>0.341515730243781</v>
      </c>
    </row>
    <row r="199" spans="1:8" ht="12.75">
      <c r="A199" s="1" t="s">
        <v>56</v>
      </c>
      <c r="B199" s="3">
        <f>K93</f>
        <v>1460480</v>
      </c>
      <c r="D199" s="3">
        <f>L93</f>
        <v>1913103</v>
      </c>
      <c r="E199" s="21">
        <f t="shared" si="88"/>
        <v>0.30991386393514464</v>
      </c>
      <c r="G199" s="3">
        <f>M93</f>
        <v>1968108</v>
      </c>
      <c r="H199" s="21">
        <f t="shared" si="89"/>
        <v>0.34757613935144605</v>
      </c>
    </row>
    <row r="200" spans="1:8" ht="12.75">
      <c r="A200" s="1" t="s">
        <v>57</v>
      </c>
      <c r="B200" s="3">
        <f>SUM(K94,K120)</f>
        <v>3306957</v>
      </c>
      <c r="D200" s="3">
        <f>SUM(L94,L120)</f>
        <v>4280990</v>
      </c>
      <c r="E200" s="21">
        <f t="shared" si="88"/>
        <v>0.2945405700769619</v>
      </c>
      <c r="G200" s="3">
        <f>SUM(M94,M120)</f>
        <v>4301702</v>
      </c>
      <c r="H200" s="21">
        <f t="shared" si="89"/>
        <v>0.300803729833802</v>
      </c>
    </row>
    <row r="201" spans="1:8" ht="15">
      <c r="A201" s="1" t="s">
        <v>58</v>
      </c>
      <c r="B201" s="11">
        <f>K95</f>
        <v>975871</v>
      </c>
      <c r="C201" s="18"/>
      <c r="D201" s="11">
        <f>L95</f>
        <v>1278813</v>
      </c>
      <c r="E201" s="22">
        <f t="shared" si="88"/>
        <v>0.3104324239576748</v>
      </c>
      <c r="F201" s="18"/>
      <c r="G201" s="11">
        <f>M95</f>
        <v>1280743</v>
      </c>
      <c r="H201" s="22">
        <f t="shared" si="89"/>
        <v>0.31241014437359027</v>
      </c>
    </row>
    <row r="202" spans="1:8" ht="12.75">
      <c r="A202" s="17" t="s">
        <v>18</v>
      </c>
      <c r="B202" s="3">
        <f>SUM(B197:B201)</f>
        <v>31728977</v>
      </c>
      <c r="D202" s="3">
        <f>SUM(D197:D201)</f>
        <v>42623506</v>
      </c>
      <c r="E202" s="21">
        <f t="shared" si="88"/>
        <v>0.3433621260464843</v>
      </c>
      <c r="G202" s="3">
        <f>SUM(G197:G201)</f>
        <v>42498709</v>
      </c>
      <c r="H202" s="21">
        <f t="shared" si="89"/>
        <v>0.33942890752513066</v>
      </c>
    </row>
    <row r="204" spans="2:10" ht="12.75">
      <c r="B204" s="2" t="s">
        <v>106</v>
      </c>
      <c r="J204" s="30" t="s">
        <v>17</v>
      </c>
    </row>
    <row r="205" spans="2:23" s="20" customFormat="1" ht="15">
      <c r="B205" s="20" t="s">
        <v>38</v>
      </c>
      <c r="D205" s="20" t="s">
        <v>103</v>
      </c>
      <c r="E205" s="20" t="s">
        <v>39</v>
      </c>
      <c r="G205" s="20" t="s">
        <v>104</v>
      </c>
      <c r="H205" s="20" t="s">
        <v>39</v>
      </c>
      <c r="J205" s="20" t="s">
        <v>107</v>
      </c>
      <c r="K205" s="20" t="s">
        <v>108</v>
      </c>
      <c r="L205" s="20" t="s">
        <v>109</v>
      </c>
      <c r="S205" s="13"/>
      <c r="W205" s="13"/>
    </row>
    <row r="206" spans="1:12" ht="12.75">
      <c r="A206" s="1" t="s">
        <v>54</v>
      </c>
      <c r="B206" s="3">
        <f>B188+B197</f>
        <v>26728218</v>
      </c>
      <c r="D206" s="3">
        <f>D188+D197</f>
        <v>32115802</v>
      </c>
      <c r="E206" s="21">
        <f aca="true" t="shared" si="90" ref="E206:E211">D206/$B206-1</f>
        <v>0.20156914314302576</v>
      </c>
      <c r="G206" s="3">
        <f>G188+G197</f>
        <v>31923322</v>
      </c>
      <c r="H206" s="21">
        <f aca="true" t="shared" si="91" ref="H206:H211">G206/$B206-1</f>
        <v>0.19436776518359733</v>
      </c>
      <c r="J206" s="3">
        <f>'SJR-3'!F9</f>
        <v>31569204</v>
      </c>
      <c r="K206" s="3">
        <f>D206-J206</f>
        <v>546598</v>
      </c>
      <c r="L206" s="3">
        <f>G206-J206</f>
        <v>354118</v>
      </c>
    </row>
    <row r="207" spans="1:12" ht="12.75">
      <c r="A207" s="1" t="s">
        <v>55</v>
      </c>
      <c r="B207" s="3">
        <f aca="true" t="shared" si="92" ref="B207:D210">B189+B198</f>
        <v>12738872</v>
      </c>
      <c r="D207" s="3">
        <f t="shared" si="92"/>
        <v>16122782</v>
      </c>
      <c r="E207" s="21">
        <f t="shared" si="90"/>
        <v>0.26563654929573044</v>
      </c>
      <c r="G207" s="3">
        <f>G189+G198</f>
        <v>16237843</v>
      </c>
      <c r="H207" s="21">
        <f t="shared" si="91"/>
        <v>0.2746688246808666</v>
      </c>
      <c r="J207" s="3">
        <f>'SJR-3'!F10</f>
        <v>16237881</v>
      </c>
      <c r="K207" s="3">
        <f>D207-J207</f>
        <v>-115099</v>
      </c>
      <c r="L207" s="3">
        <f>G207-J207</f>
        <v>-38</v>
      </c>
    </row>
    <row r="208" spans="1:12" ht="12.75">
      <c r="A208" s="1" t="s">
        <v>56</v>
      </c>
      <c r="B208" s="3">
        <f t="shared" si="92"/>
        <v>1522907</v>
      </c>
      <c r="D208" s="3">
        <f t="shared" si="92"/>
        <v>1975530</v>
      </c>
      <c r="E208" s="21">
        <f t="shared" si="90"/>
        <v>0.2972098755866248</v>
      </c>
      <c r="G208" s="3">
        <f>G190+G199</f>
        <v>2030535</v>
      </c>
      <c r="H208" s="34">
        <f t="shared" si="91"/>
        <v>0.3333282991016524</v>
      </c>
      <c r="J208" s="3">
        <f>'SJR-3'!F11</f>
        <v>2410323</v>
      </c>
      <c r="K208" s="3">
        <f>D208-J208</f>
        <v>-434793</v>
      </c>
      <c r="L208" s="3">
        <f>G208-J208</f>
        <v>-379788</v>
      </c>
    </row>
    <row r="209" spans="1:12" ht="12.75">
      <c r="A209" s="1" t="s">
        <v>57</v>
      </c>
      <c r="B209" s="3">
        <f t="shared" si="92"/>
        <v>3781084</v>
      </c>
      <c r="D209" s="3">
        <f t="shared" si="92"/>
        <v>4758180</v>
      </c>
      <c r="E209" s="21">
        <f t="shared" si="90"/>
        <v>0.2584168984344173</v>
      </c>
      <c r="G209" s="3">
        <f>G191+G200</f>
        <v>4778892</v>
      </c>
      <c r="H209" s="21">
        <f t="shared" si="91"/>
        <v>0.2638946926331178</v>
      </c>
      <c r="J209" s="3">
        <f>'SJR-3'!F12</f>
        <v>4778805</v>
      </c>
      <c r="K209" s="3">
        <f>D209-J209</f>
        <v>-20625</v>
      </c>
      <c r="L209" s="3">
        <f>G209-J209</f>
        <v>87</v>
      </c>
    </row>
    <row r="210" spans="1:12" ht="15">
      <c r="A210" s="1" t="s">
        <v>58</v>
      </c>
      <c r="B210" s="11">
        <f t="shared" si="92"/>
        <v>1018444</v>
      </c>
      <c r="D210" s="11">
        <f t="shared" si="92"/>
        <v>1321386</v>
      </c>
      <c r="E210" s="22">
        <f t="shared" si="90"/>
        <v>0.29745572657897723</v>
      </c>
      <c r="G210" s="11">
        <f>G192+G201</f>
        <v>1323316</v>
      </c>
      <c r="H210" s="22">
        <f t="shared" si="91"/>
        <v>0.29935077431847024</v>
      </c>
      <c r="J210" s="11">
        <f>'SJR-3'!F13</f>
        <v>1323405</v>
      </c>
      <c r="K210" s="11">
        <f>D210-J210</f>
        <v>-2019</v>
      </c>
      <c r="L210" s="11">
        <f>G210-J210</f>
        <v>-89</v>
      </c>
    </row>
    <row r="211" spans="1:12" ht="12.75">
      <c r="A211" s="17" t="s">
        <v>18</v>
      </c>
      <c r="B211" s="3">
        <f>SUM(B206:B210)</f>
        <v>45789525</v>
      </c>
      <c r="D211" s="3">
        <f>SUM(D206:D210)</f>
        <v>56293680</v>
      </c>
      <c r="E211" s="21">
        <f t="shared" si="90"/>
        <v>0.22940082911976045</v>
      </c>
      <c r="G211" s="3">
        <f>SUM(G206:G210)</f>
        <v>56293908</v>
      </c>
      <c r="H211" s="21">
        <f t="shared" si="91"/>
        <v>0.22940580842452496</v>
      </c>
      <c r="J211" s="3">
        <f>SUM(J206:J210)</f>
        <v>56319618</v>
      </c>
      <c r="K211" s="3">
        <f>SUM(K206:K210)</f>
        <v>-25938</v>
      </c>
      <c r="L211" s="3">
        <f>SUM(L206:L210)</f>
        <v>-25710</v>
      </c>
    </row>
  </sheetData>
  <mergeCells count="20">
    <mergeCell ref="D61:E61"/>
    <mergeCell ref="G61:H61"/>
    <mergeCell ref="D74:E74"/>
    <mergeCell ref="G74:H74"/>
    <mergeCell ref="D122:E122"/>
    <mergeCell ref="G122:H122"/>
    <mergeCell ref="D130:E130"/>
    <mergeCell ref="G130:H130"/>
    <mergeCell ref="D89:E89"/>
    <mergeCell ref="G89:H89"/>
    <mergeCell ref="D98:E98"/>
    <mergeCell ref="G98:H98"/>
    <mergeCell ref="D35:E35"/>
    <mergeCell ref="G35:H35"/>
    <mergeCell ref="D48:E48"/>
    <mergeCell ref="G48:H48"/>
    <mergeCell ref="D9:E9"/>
    <mergeCell ref="G9:H9"/>
    <mergeCell ref="D22:E22"/>
    <mergeCell ref="G22:H22"/>
  </mergeCells>
  <printOptions/>
  <pageMargins left="0.75" right="0.75" top="1" bottom="1" header="0.5" footer="0.5"/>
  <pageSetup horizontalDpi="1200" verticalDpi="1200" orientation="portrait" r:id="rId1"/>
  <headerFooter alignWithMargins="0">
    <oddHeader>&amp;RSchedule SJR-5
Page &amp;P of &amp;N</oddHeader>
  </headerFooter>
  <rowBreaks count="1" manualBreakCount="1">
    <brk id="4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3" bestFit="1" customWidth="1"/>
    <col min="2" max="2" width="14.57421875" style="3" customWidth="1"/>
    <col min="3" max="3" width="2.421875" style="3" customWidth="1"/>
    <col min="4" max="4" width="13.28125" style="3" customWidth="1"/>
    <col min="5" max="5" width="2.421875" style="3" customWidth="1"/>
    <col min="6" max="6" width="13.140625" style="3" customWidth="1"/>
    <col min="7" max="7" width="9.140625" style="3" customWidth="1"/>
    <col min="8" max="8" width="11.57421875" style="3" customWidth="1"/>
    <col min="9" max="9" width="2.421875" style="3" customWidth="1"/>
    <col min="10" max="10" width="13.421875" style="3" customWidth="1"/>
    <col min="11" max="11" width="9.140625" style="3" customWidth="1"/>
    <col min="12" max="12" width="11.421875" style="3" customWidth="1"/>
    <col min="13" max="16384" width="9.140625" style="3" customWidth="1"/>
  </cols>
  <sheetData>
    <row r="1" spans="1:12" ht="12.75">
      <c r="A1" s="3" t="s">
        <v>0</v>
      </c>
      <c r="L1" s="5" t="s">
        <v>116</v>
      </c>
    </row>
    <row r="2" ht="12.75">
      <c r="A2" s="3" t="s">
        <v>1</v>
      </c>
    </row>
    <row r="4" ht="12.75">
      <c r="A4" s="4" t="s">
        <v>120</v>
      </c>
    </row>
    <row r="7" spans="6:12" ht="15">
      <c r="F7" s="57" t="s">
        <v>125</v>
      </c>
      <c r="G7" s="57"/>
      <c r="H7" s="57"/>
      <c r="J7" s="57" t="s">
        <v>126</v>
      </c>
      <c r="K7" s="57"/>
      <c r="L7" s="57"/>
    </row>
    <row r="8" spans="2:12" s="13" customFormat="1" ht="30">
      <c r="B8" s="12" t="s">
        <v>121</v>
      </c>
      <c r="D8" s="12" t="s">
        <v>122</v>
      </c>
      <c r="F8" s="12" t="s">
        <v>33</v>
      </c>
      <c r="G8" s="12" t="s">
        <v>123</v>
      </c>
      <c r="H8" s="12" t="s">
        <v>124</v>
      </c>
      <c r="J8" s="12" t="s">
        <v>33</v>
      </c>
      <c r="K8" s="12" t="s">
        <v>123</v>
      </c>
      <c r="L8" s="12" t="s">
        <v>124</v>
      </c>
    </row>
    <row r="9" spans="1:12" ht="12.75">
      <c r="A9" s="3" t="s">
        <v>54</v>
      </c>
      <c r="B9" s="8">
        <f>'SJR-2'!C8</f>
        <v>31569204</v>
      </c>
      <c r="D9" s="8">
        <f>'SJR-5'!B206</f>
        <v>26728218</v>
      </c>
      <c r="F9" s="8">
        <f>'SJR-5'!D206</f>
        <v>32115802</v>
      </c>
      <c r="G9" s="21">
        <f aca="true" t="shared" si="0" ref="G9:G14">F9/D9-1</f>
        <v>0.20156914314302576</v>
      </c>
      <c r="H9" s="8">
        <f>F9-B9</f>
        <v>546598</v>
      </c>
      <c r="J9" s="8">
        <f>'SJR-5'!G206</f>
        <v>31923322</v>
      </c>
      <c r="K9" s="21">
        <f aca="true" t="shared" si="1" ref="K9:K14">J9/D9-1</f>
        <v>0.19436776518359733</v>
      </c>
      <c r="L9" s="8">
        <f>J9-B9</f>
        <v>354118</v>
      </c>
    </row>
    <row r="10" spans="1:12" ht="12.75">
      <c r="A10" s="3" t="s">
        <v>55</v>
      </c>
      <c r="B10" s="3">
        <f>'SJR-2'!C9</f>
        <v>16237881</v>
      </c>
      <c r="D10" s="3">
        <f>'SJR-5'!B207</f>
        <v>12738872</v>
      </c>
      <c r="F10" s="3">
        <f>'SJR-5'!D207</f>
        <v>16122782</v>
      </c>
      <c r="G10" s="21">
        <f t="shared" si="0"/>
        <v>0.26563654929573044</v>
      </c>
      <c r="H10" s="3">
        <f>F10-B10</f>
        <v>-115099</v>
      </c>
      <c r="J10" s="3">
        <f>'SJR-5'!G207</f>
        <v>16237843</v>
      </c>
      <c r="K10" s="21">
        <f t="shared" si="1"/>
        <v>0.2746688246808666</v>
      </c>
      <c r="L10" s="3">
        <f>J10-B10</f>
        <v>-38</v>
      </c>
    </row>
    <row r="11" spans="1:12" ht="12.75">
      <c r="A11" s="3" t="s">
        <v>56</v>
      </c>
      <c r="B11" s="3">
        <f>'SJR-2'!C10</f>
        <v>2410323</v>
      </c>
      <c r="D11" s="3">
        <f>'SJR-5'!B208</f>
        <v>1522907</v>
      </c>
      <c r="F11" s="3">
        <f>'SJR-5'!D208</f>
        <v>1975530</v>
      </c>
      <c r="G11" s="21">
        <f t="shared" si="0"/>
        <v>0.2972098755866248</v>
      </c>
      <c r="H11" s="3">
        <f>F11-B11</f>
        <v>-434793</v>
      </c>
      <c r="J11" s="3">
        <f>'SJR-5'!G208</f>
        <v>2030535</v>
      </c>
      <c r="K11" s="21">
        <f t="shared" si="1"/>
        <v>0.3333282991016524</v>
      </c>
      <c r="L11" s="3">
        <f>J11-B11</f>
        <v>-379788</v>
      </c>
    </row>
    <row r="12" spans="1:12" ht="12.75">
      <c r="A12" s="3" t="s">
        <v>57</v>
      </c>
      <c r="B12" s="3">
        <f>'SJR-2'!C11</f>
        <v>4778805</v>
      </c>
      <c r="D12" s="3">
        <f>'SJR-5'!B209</f>
        <v>3781084</v>
      </c>
      <c r="F12" s="3">
        <f>'SJR-5'!D209</f>
        <v>4758180</v>
      </c>
      <c r="G12" s="21">
        <f t="shared" si="0"/>
        <v>0.2584168984344173</v>
      </c>
      <c r="H12" s="3">
        <f>F12-B12</f>
        <v>-20625</v>
      </c>
      <c r="J12" s="3">
        <f>'SJR-5'!G209</f>
        <v>4778892</v>
      </c>
      <c r="K12" s="21">
        <f t="shared" si="1"/>
        <v>0.2638946926331178</v>
      </c>
      <c r="L12" s="3">
        <f>J12-B12</f>
        <v>87</v>
      </c>
    </row>
    <row r="13" spans="1:12" s="11" customFormat="1" ht="15">
      <c r="A13" s="36" t="s">
        <v>58</v>
      </c>
      <c r="B13" s="11">
        <f>'SJR-2'!C12</f>
        <v>1323405</v>
      </c>
      <c r="D13" s="11">
        <f>'SJR-5'!B210</f>
        <v>1018444</v>
      </c>
      <c r="F13" s="11">
        <f>'SJR-5'!D210</f>
        <v>1321386</v>
      </c>
      <c r="G13" s="22">
        <f t="shared" si="0"/>
        <v>0.29745572657897723</v>
      </c>
      <c r="H13" s="11">
        <f>F13-B13</f>
        <v>-2019</v>
      </c>
      <c r="J13" s="11">
        <f>'SJR-5'!G210</f>
        <v>1323316</v>
      </c>
      <c r="K13" s="22">
        <f t="shared" si="1"/>
        <v>0.29935077431847024</v>
      </c>
      <c r="L13" s="11">
        <f>J13-B13</f>
        <v>-89</v>
      </c>
    </row>
    <row r="14" spans="1:12" ht="12.75">
      <c r="A14" s="6" t="s">
        <v>18</v>
      </c>
      <c r="B14" s="8">
        <f>SUM(B9:B13)</f>
        <v>56319618</v>
      </c>
      <c r="D14" s="8">
        <f>SUM(D9:D13)</f>
        <v>45789525</v>
      </c>
      <c r="F14" s="8">
        <f>SUM(F9:F13)</f>
        <v>56293680</v>
      </c>
      <c r="G14" s="21">
        <f t="shared" si="0"/>
        <v>0.22940082911976045</v>
      </c>
      <c r="H14" s="8">
        <f>SUM(H9:H13)</f>
        <v>-25938</v>
      </c>
      <c r="J14" s="8">
        <f>SUM(J9:J13)</f>
        <v>56293908</v>
      </c>
      <c r="K14" s="21">
        <f t="shared" si="1"/>
        <v>0.22940580842452496</v>
      </c>
      <c r="L14" s="8">
        <f>SUM(L9:L13)</f>
        <v>-25710</v>
      </c>
    </row>
  </sheetData>
  <mergeCells count="2">
    <mergeCell ref="F7:H7"/>
    <mergeCell ref="J7:L7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44.421875" style="3" bestFit="1" customWidth="1"/>
    <col min="3" max="3" width="18.7109375" style="3" customWidth="1"/>
    <col min="4" max="4" width="3.421875" style="3" customWidth="1"/>
    <col min="5" max="5" width="16.421875" style="3" bestFit="1" customWidth="1"/>
    <col min="6" max="6" width="10.28125" style="3" bestFit="1" customWidth="1"/>
    <col min="7" max="16384" width="9.140625" style="3" customWidth="1"/>
  </cols>
  <sheetData>
    <row r="1" spans="1:5" ht="12.75">
      <c r="A1" s="3" t="s">
        <v>0</v>
      </c>
      <c r="E1" s="15" t="s">
        <v>127</v>
      </c>
    </row>
    <row r="2" ht="12.75">
      <c r="A2" s="3" t="s">
        <v>1</v>
      </c>
    </row>
    <row r="4" ht="12.75">
      <c r="A4" s="4" t="s">
        <v>128</v>
      </c>
    </row>
    <row r="7" spans="1:5" s="13" customFormat="1" ht="45">
      <c r="A7" s="13" t="s">
        <v>135</v>
      </c>
      <c r="C7" s="12" t="s">
        <v>140</v>
      </c>
      <c r="E7" s="13" t="s">
        <v>41</v>
      </c>
    </row>
    <row r="8" spans="1:5" ht="12.75">
      <c r="A8" s="3">
        <v>1</v>
      </c>
      <c r="B8" s="6" t="s">
        <v>129</v>
      </c>
      <c r="C8" s="8">
        <v>64008762</v>
      </c>
      <c r="E8" s="8">
        <v>57844021</v>
      </c>
    </row>
    <row r="9" spans="1:5" ht="15">
      <c r="A9" s="3">
        <v>2</v>
      </c>
      <c r="B9" s="6" t="s">
        <v>130</v>
      </c>
      <c r="C9" s="11">
        <v>-3834620</v>
      </c>
      <c r="D9" s="11"/>
      <c r="E9" s="11">
        <f>C9</f>
        <v>-3834620</v>
      </c>
    </row>
    <row r="10" spans="1:5" ht="12.75">
      <c r="A10" s="3">
        <v>3</v>
      </c>
      <c r="B10" s="6" t="s">
        <v>131</v>
      </c>
      <c r="C10" s="8">
        <f>C8+C9</f>
        <v>60174142</v>
      </c>
      <c r="E10" s="8">
        <f>E8+E9</f>
        <v>54009401</v>
      </c>
    </row>
    <row r="12" spans="1:5" ht="12.75">
      <c r="A12" s="3">
        <v>4</v>
      </c>
      <c r="B12" s="6" t="s">
        <v>132</v>
      </c>
      <c r="C12" s="37">
        <f>ROUND(('SJR-3'!F14+'SJR-3'!F15)/C10,4)</f>
        <v>0.0641</v>
      </c>
      <c r="E12" s="37">
        <f>C12</f>
        <v>0.0641</v>
      </c>
    </row>
    <row r="13" spans="1:5" ht="12.75">
      <c r="A13" s="3">
        <v>5</v>
      </c>
      <c r="B13" s="6" t="s">
        <v>133</v>
      </c>
      <c r="C13" s="8">
        <f>'SJR-3'!F14+'SJR-3'!F15</f>
        <v>3854524</v>
      </c>
      <c r="E13" s="8">
        <f>ROUND(E10*E12,0)</f>
        <v>3462003</v>
      </c>
    </row>
    <row r="15" spans="1:5" ht="12.75">
      <c r="A15" s="3">
        <v>6</v>
      </c>
      <c r="B15" s="6" t="s">
        <v>134</v>
      </c>
      <c r="C15" s="8">
        <f>C10-C13</f>
        <v>56319618</v>
      </c>
      <c r="E15" s="8">
        <f>E10-E13</f>
        <v>50547398</v>
      </c>
    </row>
    <row r="18" ht="12.75">
      <c r="A18" s="6" t="s">
        <v>138</v>
      </c>
    </row>
    <row r="19" ht="12.75">
      <c r="A19" s="6" t="s">
        <v>139</v>
      </c>
    </row>
    <row r="20" ht="12.75">
      <c r="A20" s="6" t="s">
        <v>141</v>
      </c>
    </row>
    <row r="21" ht="12.75">
      <c r="A21" s="6" t="s">
        <v>142</v>
      </c>
    </row>
    <row r="22" ht="12.75">
      <c r="A22" s="6" t="s">
        <v>136</v>
      </c>
    </row>
    <row r="23" ht="12.75">
      <c r="A23" s="6" t="s">
        <v>137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16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38" bestFit="1" customWidth="1"/>
    <col min="2" max="2" width="14.00390625" style="38" bestFit="1" customWidth="1"/>
    <col min="3" max="3" width="3.140625" style="38" customWidth="1"/>
    <col min="4" max="4" width="11.28125" style="38" bestFit="1" customWidth="1"/>
    <col min="5" max="5" width="11.57421875" style="38" bestFit="1" customWidth="1"/>
    <col min="6" max="6" width="9.140625" style="38" customWidth="1"/>
    <col min="7" max="7" width="14.140625" style="38" bestFit="1" customWidth="1"/>
    <col min="8" max="8" width="13.8515625" style="38" customWidth="1"/>
    <col min="9" max="9" width="14.57421875" style="38" bestFit="1" customWidth="1"/>
    <col min="10" max="10" width="11.421875" style="38" bestFit="1" customWidth="1"/>
    <col min="11" max="11" width="2.8515625" style="38" customWidth="1"/>
    <col min="12" max="12" width="9.140625" style="38" customWidth="1"/>
    <col min="13" max="13" width="11.28125" style="38" bestFit="1" customWidth="1"/>
    <col min="14" max="14" width="10.00390625" style="38" bestFit="1" customWidth="1"/>
    <col min="15" max="15" width="10.28125" style="38" bestFit="1" customWidth="1"/>
    <col min="16" max="16" width="3.00390625" style="40" customWidth="1"/>
    <col min="17" max="17" width="7.7109375" style="38" customWidth="1"/>
    <col min="18" max="19" width="10.28125" style="38" bestFit="1" customWidth="1"/>
    <col min="20" max="20" width="10.28125" style="40" bestFit="1" customWidth="1"/>
    <col min="21" max="21" width="2.57421875" style="38" customWidth="1"/>
    <col min="22" max="25" width="9.140625" style="38" customWidth="1"/>
    <col min="26" max="26" width="3.140625" style="38" customWidth="1"/>
    <col min="27" max="16384" width="9.140625" style="38" customWidth="1"/>
  </cols>
  <sheetData>
    <row r="1" spans="1:5" ht="12.75">
      <c r="A1" s="38" t="s">
        <v>0</v>
      </c>
      <c r="E1" s="39"/>
    </row>
    <row r="2" ht="12.75">
      <c r="A2" s="38" t="s">
        <v>1</v>
      </c>
    </row>
    <row r="4" ht="12.75">
      <c r="A4" s="2" t="s">
        <v>143</v>
      </c>
    </row>
    <row r="5" ht="12.75">
      <c r="A5" s="26" t="s">
        <v>118</v>
      </c>
    </row>
    <row r="7" spans="1:28" ht="12.75">
      <c r="A7" s="24" t="s">
        <v>36</v>
      </c>
      <c r="H7" s="41" t="s">
        <v>89</v>
      </c>
      <c r="M7" s="41" t="s">
        <v>90</v>
      </c>
      <c r="R7" s="41" t="s">
        <v>91</v>
      </c>
      <c r="T7" s="38"/>
      <c r="W7" s="41" t="s">
        <v>92</v>
      </c>
      <c r="AB7" s="41" t="s">
        <v>93</v>
      </c>
    </row>
    <row r="8" spans="1:20" ht="12.75">
      <c r="A8" s="41"/>
      <c r="B8" s="25" t="s">
        <v>37</v>
      </c>
      <c r="T8" s="38"/>
    </row>
    <row r="9" spans="1:30" s="43" customFormat="1" ht="15">
      <c r="A9" s="42"/>
      <c r="D9" s="58" t="s">
        <v>41</v>
      </c>
      <c r="E9" s="58"/>
      <c r="H9" s="42" t="s">
        <v>38</v>
      </c>
      <c r="I9" s="42" t="s">
        <v>88</v>
      </c>
      <c r="J9" s="42" t="s">
        <v>17</v>
      </c>
      <c r="M9" s="42" t="s">
        <v>38</v>
      </c>
      <c r="N9" s="42" t="s">
        <v>88</v>
      </c>
      <c r="O9" s="42" t="s">
        <v>17</v>
      </c>
      <c r="P9" s="44"/>
      <c r="R9" s="42" t="s">
        <v>38</v>
      </c>
      <c r="S9" s="42" t="s">
        <v>88</v>
      </c>
      <c r="T9" s="42" t="s">
        <v>17</v>
      </c>
      <c r="W9" s="42" t="s">
        <v>38</v>
      </c>
      <c r="X9" s="42" t="s">
        <v>88</v>
      </c>
      <c r="Y9" s="42" t="s">
        <v>17</v>
      </c>
      <c r="AB9" s="42" t="s">
        <v>38</v>
      </c>
      <c r="AC9" s="42" t="s">
        <v>88</v>
      </c>
      <c r="AD9" s="42" t="s">
        <v>17</v>
      </c>
    </row>
    <row r="10" spans="2:30" s="20" customFormat="1" ht="15">
      <c r="B10" s="20" t="s">
        <v>38</v>
      </c>
      <c r="D10" s="20" t="s">
        <v>42</v>
      </c>
      <c r="E10" s="20" t="s">
        <v>39</v>
      </c>
      <c r="G10" s="20" t="s">
        <v>87</v>
      </c>
      <c r="H10" s="20" t="s">
        <v>16</v>
      </c>
      <c r="I10" s="20" t="s">
        <v>16</v>
      </c>
      <c r="J10" s="20" t="s">
        <v>16</v>
      </c>
      <c r="L10" s="20" t="s">
        <v>87</v>
      </c>
      <c r="M10" s="20" t="s">
        <v>16</v>
      </c>
      <c r="N10" s="20" t="s">
        <v>16</v>
      </c>
      <c r="O10" s="20" t="s">
        <v>16</v>
      </c>
      <c r="P10" s="13"/>
      <c r="Q10" s="20" t="s">
        <v>87</v>
      </c>
      <c r="R10" s="20" t="s">
        <v>16</v>
      </c>
      <c r="S10" s="20" t="s">
        <v>16</v>
      </c>
      <c r="T10" s="20" t="s">
        <v>16</v>
      </c>
      <c r="V10" s="20" t="s">
        <v>87</v>
      </c>
      <c r="W10" s="20" t="s">
        <v>16</v>
      </c>
      <c r="X10" s="20" t="s">
        <v>16</v>
      </c>
      <c r="Y10" s="20" t="s">
        <v>16</v>
      </c>
      <c r="AA10" s="20" t="s">
        <v>87</v>
      </c>
      <c r="AB10" s="20" t="s">
        <v>16</v>
      </c>
      <c r="AC10" s="20" t="s">
        <v>16</v>
      </c>
      <c r="AD10" s="20" t="s">
        <v>16</v>
      </c>
    </row>
    <row r="11" spans="1:30" ht="12.75">
      <c r="A11" s="38" t="s">
        <v>43</v>
      </c>
      <c r="B11" s="38">
        <v>7.95</v>
      </c>
      <c r="D11" s="38">
        <f aca="true" t="shared" si="0" ref="D11:D19">$B11</f>
        <v>7.95</v>
      </c>
      <c r="E11" s="45">
        <f aca="true" t="shared" si="1" ref="E11:E19">D11/$B11-1</f>
        <v>0</v>
      </c>
      <c r="G11" s="40">
        <v>1229400</v>
      </c>
      <c r="H11" s="40">
        <f aca="true" t="shared" si="2" ref="H11:H19">ROUND(G11*$B11,0)</f>
        <v>9773730</v>
      </c>
      <c r="I11" s="40" t="e">
        <f>ROUND(G11*#REF!,0)</f>
        <v>#REF!</v>
      </c>
      <c r="J11" s="40">
        <f aca="true" t="shared" si="3" ref="J11:J19">ROUND(G11*$D11,0)</f>
        <v>9773730</v>
      </c>
      <c r="L11" s="40">
        <v>56725</v>
      </c>
      <c r="M11" s="40">
        <f aca="true" t="shared" si="4" ref="M11:M19">ROUND(L11*$B11,0)</f>
        <v>450964</v>
      </c>
      <c r="N11" s="40" t="e">
        <f>ROUND(L11*#REF!,0)</f>
        <v>#REF!</v>
      </c>
      <c r="O11" s="40">
        <f aca="true" t="shared" si="5" ref="O11:O19">ROUND(L11*$D11,0)</f>
        <v>450964</v>
      </c>
      <c r="Q11" s="40">
        <v>24</v>
      </c>
      <c r="R11" s="40">
        <f aca="true" t="shared" si="6" ref="R11:R19">ROUND(Q11*$B11,0)</f>
        <v>191</v>
      </c>
      <c r="S11" s="40" t="e">
        <f>ROUND(Q11*#REF!,0)</f>
        <v>#REF!</v>
      </c>
      <c r="T11" s="40">
        <f aca="true" t="shared" si="7" ref="T11:T19">ROUND(Q11*$D11,0)</f>
        <v>191</v>
      </c>
      <c r="V11" s="40">
        <v>1692</v>
      </c>
      <c r="W11" s="40">
        <f aca="true" t="shared" si="8" ref="W11:W19">ROUND(V11*$B11,0)</f>
        <v>13451</v>
      </c>
      <c r="X11" s="40" t="e">
        <f>ROUND(V11*#REF!,0)</f>
        <v>#REF!</v>
      </c>
      <c r="Y11" s="40">
        <f aca="true" t="shared" si="9" ref="Y11:Y19">ROUND(V11*$D11,0)</f>
        <v>13451</v>
      </c>
      <c r="AA11" s="40">
        <v>0</v>
      </c>
      <c r="AB11" s="40">
        <f aca="true" t="shared" si="10" ref="AB11:AB19">ROUND(AA11*$B11,0)</f>
        <v>0</v>
      </c>
      <c r="AC11" s="40" t="e">
        <f>ROUND(AA11*#REF!,0)</f>
        <v>#REF!</v>
      </c>
      <c r="AD11" s="40">
        <f aca="true" t="shared" si="11" ref="AD11:AD19">ROUND(AA11*$D11,0)</f>
        <v>0</v>
      </c>
    </row>
    <row r="12" spans="1:30" ht="12.75">
      <c r="A12" s="38" t="s">
        <v>44</v>
      </c>
      <c r="B12" s="38">
        <v>11.94</v>
      </c>
      <c r="D12" s="38">
        <f t="shared" si="0"/>
        <v>11.94</v>
      </c>
      <c r="E12" s="45">
        <f t="shared" si="1"/>
        <v>0</v>
      </c>
      <c r="G12" s="40">
        <v>12</v>
      </c>
      <c r="H12" s="40">
        <f t="shared" si="2"/>
        <v>143</v>
      </c>
      <c r="I12" s="40" t="e">
        <f>ROUND(G12*#REF!,0)</f>
        <v>#REF!</v>
      </c>
      <c r="J12" s="40">
        <f t="shared" si="3"/>
        <v>143</v>
      </c>
      <c r="L12" s="40">
        <v>0</v>
      </c>
      <c r="M12" s="40">
        <f t="shared" si="4"/>
        <v>0</v>
      </c>
      <c r="N12" s="40" t="e">
        <f>ROUND(L12*#REF!,0)</f>
        <v>#REF!</v>
      </c>
      <c r="O12" s="40">
        <f t="shared" si="5"/>
        <v>0</v>
      </c>
      <c r="Q12" s="40">
        <v>0</v>
      </c>
      <c r="R12" s="40">
        <f t="shared" si="6"/>
        <v>0</v>
      </c>
      <c r="S12" s="40" t="e">
        <f>ROUND(Q12*#REF!,0)</f>
        <v>#REF!</v>
      </c>
      <c r="T12" s="40">
        <f t="shared" si="7"/>
        <v>0</v>
      </c>
      <c r="V12" s="40">
        <v>0</v>
      </c>
      <c r="W12" s="40">
        <f t="shared" si="8"/>
        <v>0</v>
      </c>
      <c r="X12" s="40" t="e">
        <f>ROUND(V12*#REF!,0)</f>
        <v>#REF!</v>
      </c>
      <c r="Y12" s="40">
        <f t="shared" si="9"/>
        <v>0</v>
      </c>
      <c r="AA12" s="40">
        <v>0</v>
      </c>
      <c r="AB12" s="40">
        <f t="shared" si="10"/>
        <v>0</v>
      </c>
      <c r="AC12" s="40" t="e">
        <f>ROUND(AA12*#REF!,0)</f>
        <v>#REF!</v>
      </c>
      <c r="AD12" s="40">
        <f t="shared" si="11"/>
        <v>0</v>
      </c>
    </row>
    <row r="13" spans="1:30" ht="12.75">
      <c r="A13" s="38" t="s">
        <v>45</v>
      </c>
      <c r="B13" s="38">
        <v>19.89</v>
      </c>
      <c r="D13" s="38">
        <f t="shared" si="0"/>
        <v>19.89</v>
      </c>
      <c r="E13" s="45">
        <f t="shared" si="1"/>
        <v>0</v>
      </c>
      <c r="G13" s="40">
        <v>20876</v>
      </c>
      <c r="H13" s="40">
        <f t="shared" si="2"/>
        <v>415224</v>
      </c>
      <c r="I13" s="40" t="e">
        <f>ROUND(G13*#REF!,0)</f>
        <v>#REF!</v>
      </c>
      <c r="J13" s="40">
        <f t="shared" si="3"/>
        <v>415224</v>
      </c>
      <c r="L13" s="40">
        <v>26123</v>
      </c>
      <c r="M13" s="40">
        <f t="shared" si="4"/>
        <v>519586</v>
      </c>
      <c r="N13" s="40" t="e">
        <f>ROUND(L13*#REF!,0)</f>
        <v>#REF!</v>
      </c>
      <c r="O13" s="40">
        <f t="shared" si="5"/>
        <v>519586</v>
      </c>
      <c r="Q13" s="40">
        <v>24</v>
      </c>
      <c r="R13" s="40">
        <f t="shared" si="6"/>
        <v>477</v>
      </c>
      <c r="S13" s="40" t="e">
        <f>ROUND(Q13*#REF!,0)</f>
        <v>#REF!</v>
      </c>
      <c r="T13" s="40">
        <f t="shared" si="7"/>
        <v>477</v>
      </c>
      <c r="V13" s="40">
        <v>2004</v>
      </c>
      <c r="W13" s="40">
        <f t="shared" si="8"/>
        <v>39860</v>
      </c>
      <c r="X13" s="40" t="e">
        <f>ROUND(V13*#REF!,0)</f>
        <v>#REF!</v>
      </c>
      <c r="Y13" s="40">
        <f t="shared" si="9"/>
        <v>39860</v>
      </c>
      <c r="AA13" s="40">
        <v>0</v>
      </c>
      <c r="AB13" s="40">
        <f t="shared" si="10"/>
        <v>0</v>
      </c>
      <c r="AC13" s="40" t="e">
        <f>ROUND(AA13*#REF!,0)</f>
        <v>#REF!</v>
      </c>
      <c r="AD13" s="40">
        <f t="shared" si="11"/>
        <v>0</v>
      </c>
    </row>
    <row r="14" spans="1:30" ht="12.75">
      <c r="A14" s="38" t="s">
        <v>46</v>
      </c>
      <c r="B14" s="38">
        <v>39.77</v>
      </c>
      <c r="D14" s="38">
        <f t="shared" si="0"/>
        <v>39.77</v>
      </c>
      <c r="E14" s="45">
        <f t="shared" si="1"/>
        <v>0</v>
      </c>
      <c r="G14" s="40">
        <v>192</v>
      </c>
      <c r="H14" s="40">
        <f t="shared" si="2"/>
        <v>7636</v>
      </c>
      <c r="I14" s="40" t="e">
        <f>ROUND(G14*#REF!,0)</f>
        <v>#REF!</v>
      </c>
      <c r="J14" s="40">
        <f t="shared" si="3"/>
        <v>7636</v>
      </c>
      <c r="L14" s="40">
        <v>2016</v>
      </c>
      <c r="M14" s="40">
        <f t="shared" si="4"/>
        <v>80176</v>
      </c>
      <c r="N14" s="40" t="e">
        <f>ROUND(L14*#REF!,0)</f>
        <v>#REF!</v>
      </c>
      <c r="O14" s="40">
        <f t="shared" si="5"/>
        <v>80176</v>
      </c>
      <c r="Q14" s="40">
        <v>12</v>
      </c>
      <c r="R14" s="40">
        <f t="shared" si="6"/>
        <v>477</v>
      </c>
      <c r="S14" s="40" t="e">
        <f>ROUND(Q14*#REF!,0)</f>
        <v>#REF!</v>
      </c>
      <c r="T14" s="40">
        <f t="shared" si="7"/>
        <v>477</v>
      </c>
      <c r="V14" s="40">
        <v>312</v>
      </c>
      <c r="W14" s="40">
        <f t="shared" si="8"/>
        <v>12408</v>
      </c>
      <c r="X14" s="40" t="e">
        <f>ROUND(V14*#REF!,0)</f>
        <v>#REF!</v>
      </c>
      <c r="Y14" s="40">
        <f t="shared" si="9"/>
        <v>12408</v>
      </c>
      <c r="AA14" s="40">
        <v>36</v>
      </c>
      <c r="AB14" s="40">
        <f t="shared" si="10"/>
        <v>1432</v>
      </c>
      <c r="AC14" s="40" t="e">
        <f>ROUND(AA14*#REF!,0)</f>
        <v>#REF!</v>
      </c>
      <c r="AD14" s="40">
        <f t="shared" si="11"/>
        <v>1432</v>
      </c>
    </row>
    <row r="15" spans="1:30" ht="12.75">
      <c r="A15" s="38" t="s">
        <v>47</v>
      </c>
      <c r="B15" s="38">
        <v>63.64</v>
      </c>
      <c r="D15" s="38">
        <f t="shared" si="0"/>
        <v>63.64</v>
      </c>
      <c r="E15" s="45">
        <f t="shared" si="1"/>
        <v>0</v>
      </c>
      <c r="G15" s="40">
        <v>1236</v>
      </c>
      <c r="H15" s="40">
        <f t="shared" si="2"/>
        <v>78659</v>
      </c>
      <c r="I15" s="40" t="e">
        <f>ROUND(G15*#REF!,0)</f>
        <v>#REF!</v>
      </c>
      <c r="J15" s="40">
        <f t="shared" si="3"/>
        <v>78659</v>
      </c>
      <c r="L15" s="40">
        <v>19848</v>
      </c>
      <c r="M15" s="40">
        <f t="shared" si="4"/>
        <v>1263127</v>
      </c>
      <c r="N15" s="40" t="e">
        <f>ROUND(L15*#REF!,0)</f>
        <v>#REF!</v>
      </c>
      <c r="O15" s="40">
        <f t="shared" si="5"/>
        <v>1263127</v>
      </c>
      <c r="Q15" s="40">
        <v>288</v>
      </c>
      <c r="R15" s="40">
        <f t="shared" si="6"/>
        <v>18328</v>
      </c>
      <c r="S15" s="40" t="e">
        <f>ROUND(Q15*#REF!,0)</f>
        <v>#REF!</v>
      </c>
      <c r="T15" s="40">
        <f t="shared" si="7"/>
        <v>18328</v>
      </c>
      <c r="V15" s="40">
        <v>4020</v>
      </c>
      <c r="W15" s="40">
        <f t="shared" si="8"/>
        <v>255833</v>
      </c>
      <c r="X15" s="40" t="e">
        <f>ROUND(V15*#REF!,0)</f>
        <v>#REF!</v>
      </c>
      <c r="Y15" s="40">
        <f t="shared" si="9"/>
        <v>255833</v>
      </c>
      <c r="AA15" s="40">
        <v>84</v>
      </c>
      <c r="AB15" s="40">
        <f t="shared" si="10"/>
        <v>5346</v>
      </c>
      <c r="AC15" s="40" t="e">
        <f>ROUND(AA15*#REF!,0)</f>
        <v>#REF!</v>
      </c>
      <c r="AD15" s="40">
        <f t="shared" si="11"/>
        <v>5346</v>
      </c>
    </row>
    <row r="16" spans="1:30" ht="12.75">
      <c r="A16" s="38" t="s">
        <v>48</v>
      </c>
      <c r="B16" s="38">
        <v>119.32</v>
      </c>
      <c r="D16" s="38">
        <f t="shared" si="0"/>
        <v>119.32</v>
      </c>
      <c r="E16" s="45">
        <f t="shared" si="1"/>
        <v>0</v>
      </c>
      <c r="G16" s="38">
        <v>0</v>
      </c>
      <c r="H16" s="40">
        <f t="shared" si="2"/>
        <v>0</v>
      </c>
      <c r="I16" s="40" t="e">
        <f>ROUND(G16*#REF!,0)</f>
        <v>#REF!</v>
      </c>
      <c r="J16" s="40">
        <f t="shared" si="3"/>
        <v>0</v>
      </c>
      <c r="L16" s="38">
        <v>60</v>
      </c>
      <c r="M16" s="40">
        <f t="shared" si="4"/>
        <v>7159</v>
      </c>
      <c r="N16" s="40" t="e">
        <f>ROUND(L16*#REF!,0)</f>
        <v>#REF!</v>
      </c>
      <c r="O16" s="40">
        <f t="shared" si="5"/>
        <v>7159</v>
      </c>
      <c r="Q16" s="38">
        <v>0</v>
      </c>
      <c r="R16" s="40">
        <f t="shared" si="6"/>
        <v>0</v>
      </c>
      <c r="S16" s="40" t="e">
        <f>ROUND(Q16*#REF!,0)</f>
        <v>#REF!</v>
      </c>
      <c r="T16" s="40">
        <f t="shared" si="7"/>
        <v>0</v>
      </c>
      <c r="V16" s="38">
        <v>0</v>
      </c>
      <c r="W16" s="40">
        <f t="shared" si="8"/>
        <v>0</v>
      </c>
      <c r="X16" s="40" t="e">
        <f>ROUND(V16*#REF!,0)</f>
        <v>#REF!</v>
      </c>
      <c r="Y16" s="40">
        <f t="shared" si="9"/>
        <v>0</v>
      </c>
      <c r="AA16" s="38">
        <v>0</v>
      </c>
      <c r="AB16" s="40">
        <f t="shared" si="10"/>
        <v>0</v>
      </c>
      <c r="AC16" s="40" t="e">
        <f>ROUND(AA16*#REF!,0)</f>
        <v>#REF!</v>
      </c>
      <c r="AD16" s="40">
        <f t="shared" si="11"/>
        <v>0</v>
      </c>
    </row>
    <row r="17" spans="1:30" ht="12.75">
      <c r="A17" s="38" t="s">
        <v>49</v>
      </c>
      <c r="B17" s="38">
        <v>198.86</v>
      </c>
      <c r="D17" s="38">
        <f t="shared" si="0"/>
        <v>198.86</v>
      </c>
      <c r="E17" s="45">
        <f t="shared" si="1"/>
        <v>0</v>
      </c>
      <c r="G17" s="38">
        <v>0</v>
      </c>
      <c r="H17" s="40">
        <f t="shared" si="2"/>
        <v>0</v>
      </c>
      <c r="I17" s="40" t="e">
        <f>ROUND(G17*#REF!,0)</f>
        <v>#REF!</v>
      </c>
      <c r="J17" s="40">
        <f t="shared" si="3"/>
        <v>0</v>
      </c>
      <c r="L17" s="38">
        <v>324</v>
      </c>
      <c r="M17" s="40">
        <f t="shared" si="4"/>
        <v>64431</v>
      </c>
      <c r="N17" s="40" t="e">
        <f>ROUND(L17*#REF!,0)</f>
        <v>#REF!</v>
      </c>
      <c r="O17" s="40">
        <f t="shared" si="5"/>
        <v>64431</v>
      </c>
      <c r="Q17" s="38">
        <v>144</v>
      </c>
      <c r="R17" s="40">
        <f t="shared" si="6"/>
        <v>28636</v>
      </c>
      <c r="S17" s="40" t="e">
        <f>ROUND(Q17*#REF!,0)</f>
        <v>#REF!</v>
      </c>
      <c r="T17" s="40">
        <f t="shared" si="7"/>
        <v>28636</v>
      </c>
      <c r="V17" s="38">
        <v>468</v>
      </c>
      <c r="W17" s="40">
        <f t="shared" si="8"/>
        <v>93066</v>
      </c>
      <c r="X17" s="40" t="e">
        <f>ROUND(V17*#REF!,0)</f>
        <v>#REF!</v>
      </c>
      <c r="Y17" s="40">
        <f t="shared" si="9"/>
        <v>93066</v>
      </c>
      <c r="AA17" s="38">
        <v>84</v>
      </c>
      <c r="AB17" s="40">
        <f t="shared" si="10"/>
        <v>16704</v>
      </c>
      <c r="AC17" s="40" t="e">
        <f>ROUND(AA17*#REF!,0)</f>
        <v>#REF!</v>
      </c>
      <c r="AD17" s="40">
        <f t="shared" si="11"/>
        <v>16704</v>
      </c>
    </row>
    <row r="18" spans="1:30" ht="12.75">
      <c r="A18" s="38" t="s">
        <v>50</v>
      </c>
      <c r="B18" s="38">
        <v>397.73</v>
      </c>
      <c r="D18" s="38">
        <f t="shared" si="0"/>
        <v>397.73</v>
      </c>
      <c r="E18" s="45">
        <f t="shared" si="1"/>
        <v>0</v>
      </c>
      <c r="G18" s="40">
        <v>24</v>
      </c>
      <c r="H18" s="40">
        <f t="shared" si="2"/>
        <v>9546</v>
      </c>
      <c r="I18" s="40" t="e">
        <f>ROUND(G18*#REF!,0)</f>
        <v>#REF!</v>
      </c>
      <c r="J18" s="40">
        <f t="shared" si="3"/>
        <v>9546</v>
      </c>
      <c r="L18" s="40">
        <v>72</v>
      </c>
      <c r="M18" s="40">
        <f t="shared" si="4"/>
        <v>28637</v>
      </c>
      <c r="N18" s="40" t="e">
        <f>ROUND(L18*#REF!,0)</f>
        <v>#REF!</v>
      </c>
      <c r="O18" s="40">
        <f t="shared" si="5"/>
        <v>28637</v>
      </c>
      <c r="Q18" s="40">
        <v>36</v>
      </c>
      <c r="R18" s="40">
        <f t="shared" si="6"/>
        <v>14318</v>
      </c>
      <c r="S18" s="40" t="e">
        <f>ROUND(Q18*#REF!,0)</f>
        <v>#REF!</v>
      </c>
      <c r="T18" s="40">
        <f t="shared" si="7"/>
        <v>14318</v>
      </c>
      <c r="V18" s="40">
        <v>108</v>
      </c>
      <c r="W18" s="40">
        <f t="shared" si="8"/>
        <v>42955</v>
      </c>
      <c r="X18" s="40" t="e">
        <f>ROUND(V18*#REF!,0)</f>
        <v>#REF!</v>
      </c>
      <c r="Y18" s="40">
        <f t="shared" si="9"/>
        <v>42955</v>
      </c>
      <c r="AA18" s="40">
        <v>48</v>
      </c>
      <c r="AB18" s="40">
        <f t="shared" si="10"/>
        <v>19091</v>
      </c>
      <c r="AC18" s="40" t="e">
        <f>ROUND(AA18*#REF!,0)</f>
        <v>#REF!</v>
      </c>
      <c r="AD18" s="40">
        <f t="shared" si="11"/>
        <v>19091</v>
      </c>
    </row>
    <row r="19" spans="1:30" ht="15">
      <c r="A19" s="38" t="s">
        <v>51</v>
      </c>
      <c r="B19" s="38">
        <v>636.36</v>
      </c>
      <c r="D19" s="38">
        <f t="shared" si="0"/>
        <v>636.36</v>
      </c>
      <c r="E19" s="45">
        <f t="shared" si="1"/>
        <v>0</v>
      </c>
      <c r="G19" s="38">
        <v>0</v>
      </c>
      <c r="H19" s="11">
        <f t="shared" si="2"/>
        <v>0</v>
      </c>
      <c r="I19" s="11" t="e">
        <f>ROUND(G19*#REF!,0)</f>
        <v>#REF!</v>
      </c>
      <c r="J19" s="11">
        <f t="shared" si="3"/>
        <v>0</v>
      </c>
      <c r="L19" s="40">
        <v>84</v>
      </c>
      <c r="M19" s="11">
        <f t="shared" si="4"/>
        <v>53454</v>
      </c>
      <c r="N19" s="11" t="e">
        <f>ROUND(L19*#REF!,0)</f>
        <v>#REF!</v>
      </c>
      <c r="O19" s="11">
        <f t="shared" si="5"/>
        <v>53454</v>
      </c>
      <c r="Q19" s="40">
        <v>0</v>
      </c>
      <c r="R19" s="11">
        <f t="shared" si="6"/>
        <v>0</v>
      </c>
      <c r="S19" s="11" t="e">
        <f>ROUND(Q19*#REF!,0)</f>
        <v>#REF!</v>
      </c>
      <c r="T19" s="11">
        <f t="shared" si="7"/>
        <v>0</v>
      </c>
      <c r="V19" s="40">
        <v>24</v>
      </c>
      <c r="W19" s="11">
        <f t="shared" si="8"/>
        <v>15273</v>
      </c>
      <c r="X19" s="11" t="e">
        <f>ROUND(V19*#REF!,0)</f>
        <v>#REF!</v>
      </c>
      <c r="Y19" s="11">
        <f t="shared" si="9"/>
        <v>15273</v>
      </c>
      <c r="AA19" s="40">
        <v>0</v>
      </c>
      <c r="AB19" s="11">
        <f t="shared" si="10"/>
        <v>0</v>
      </c>
      <c r="AC19" s="11" t="e">
        <f>ROUND(AA19*#REF!,0)</f>
        <v>#REF!</v>
      </c>
      <c r="AD19" s="11">
        <f t="shared" si="11"/>
        <v>0</v>
      </c>
    </row>
    <row r="20" spans="7:30" ht="12.75">
      <c r="G20" s="41" t="s">
        <v>18</v>
      </c>
      <c r="H20" s="40">
        <f>SUM(H11:H19)</f>
        <v>10284938</v>
      </c>
      <c r="I20" s="40" t="e">
        <f>SUM(I11:I19)</f>
        <v>#REF!</v>
      </c>
      <c r="J20" s="40">
        <f>SUM(J11:J19)</f>
        <v>10284938</v>
      </c>
      <c r="L20" s="41" t="s">
        <v>18</v>
      </c>
      <c r="M20" s="40">
        <f>SUM(M11:M19)</f>
        <v>2467534</v>
      </c>
      <c r="N20" s="40" t="e">
        <f>SUM(N11:N19)</f>
        <v>#REF!</v>
      </c>
      <c r="O20" s="40">
        <f>SUM(O11:O19)</f>
        <v>2467534</v>
      </c>
      <c r="Q20" s="41" t="s">
        <v>18</v>
      </c>
      <c r="R20" s="40">
        <f>SUM(R11:R19)</f>
        <v>62427</v>
      </c>
      <c r="S20" s="40" t="e">
        <f>SUM(S11:S19)</f>
        <v>#REF!</v>
      </c>
      <c r="T20" s="40">
        <f>SUM(T11:T19)</f>
        <v>62427</v>
      </c>
      <c r="V20" s="41" t="s">
        <v>18</v>
      </c>
      <c r="W20" s="40">
        <f>SUM(W11:W19)</f>
        <v>472846</v>
      </c>
      <c r="X20" s="40" t="e">
        <f>SUM(X11:X19)</f>
        <v>#REF!</v>
      </c>
      <c r="Y20" s="40">
        <f>SUM(Y11:Y19)</f>
        <v>472846</v>
      </c>
      <c r="AA20" s="41" t="s">
        <v>18</v>
      </c>
      <c r="AB20" s="40">
        <f>SUM(AB11:AB19)</f>
        <v>42573</v>
      </c>
      <c r="AC20" s="40" t="e">
        <f>SUM(AC11:AC19)</f>
        <v>#REF!</v>
      </c>
      <c r="AD20" s="40">
        <f>SUM(AD11:AD19)</f>
        <v>42573</v>
      </c>
    </row>
    <row r="21" ht="12.75">
      <c r="B21" s="25" t="s">
        <v>66</v>
      </c>
    </row>
    <row r="22" spans="1:30" s="43" customFormat="1" ht="15">
      <c r="A22" s="42"/>
      <c r="D22" s="58" t="s">
        <v>41</v>
      </c>
      <c r="E22" s="58"/>
      <c r="H22" s="42" t="s">
        <v>38</v>
      </c>
      <c r="I22" s="42" t="s">
        <v>88</v>
      </c>
      <c r="J22" s="42" t="s">
        <v>17</v>
      </c>
      <c r="M22" s="42" t="s">
        <v>38</v>
      </c>
      <c r="N22" s="42" t="s">
        <v>88</v>
      </c>
      <c r="O22" s="42" t="s">
        <v>17</v>
      </c>
      <c r="P22" s="44"/>
      <c r="R22" s="42" t="s">
        <v>38</v>
      </c>
      <c r="S22" s="42" t="s">
        <v>88</v>
      </c>
      <c r="T22" s="42" t="s">
        <v>17</v>
      </c>
      <c r="W22" s="42" t="s">
        <v>38</v>
      </c>
      <c r="X22" s="42" t="s">
        <v>88</v>
      </c>
      <c r="Y22" s="42" t="s">
        <v>17</v>
      </c>
      <c r="AB22" s="42" t="s">
        <v>38</v>
      </c>
      <c r="AC22" s="42" t="s">
        <v>88</v>
      </c>
      <c r="AD22" s="42" t="s">
        <v>17</v>
      </c>
    </row>
    <row r="23" spans="2:30" s="20" customFormat="1" ht="15">
      <c r="B23" s="20" t="s">
        <v>38</v>
      </c>
      <c r="D23" s="20" t="s">
        <v>42</v>
      </c>
      <c r="E23" s="20" t="s">
        <v>39</v>
      </c>
      <c r="G23" s="20" t="s">
        <v>87</v>
      </c>
      <c r="H23" s="20" t="s">
        <v>16</v>
      </c>
      <c r="I23" s="20" t="s">
        <v>16</v>
      </c>
      <c r="J23" s="20" t="s">
        <v>16</v>
      </c>
      <c r="L23" s="20" t="s">
        <v>87</v>
      </c>
      <c r="M23" s="20" t="s">
        <v>16</v>
      </c>
      <c r="N23" s="20" t="s">
        <v>16</v>
      </c>
      <c r="O23" s="20" t="s">
        <v>16</v>
      </c>
      <c r="P23" s="13"/>
      <c r="Q23" s="20" t="s">
        <v>87</v>
      </c>
      <c r="R23" s="20" t="s">
        <v>16</v>
      </c>
      <c r="S23" s="20" t="s">
        <v>16</v>
      </c>
      <c r="T23" s="20" t="s">
        <v>16</v>
      </c>
      <c r="V23" s="20" t="s">
        <v>87</v>
      </c>
      <c r="W23" s="20" t="s">
        <v>16</v>
      </c>
      <c r="X23" s="20" t="s">
        <v>16</v>
      </c>
      <c r="Y23" s="20" t="s">
        <v>16</v>
      </c>
      <c r="AA23" s="20" t="s">
        <v>87</v>
      </c>
      <c r="AB23" s="20" t="s">
        <v>16</v>
      </c>
      <c r="AC23" s="20" t="s">
        <v>16</v>
      </c>
      <c r="AD23" s="20" t="s">
        <v>16</v>
      </c>
    </row>
    <row r="24" spans="1:25" ht="12.75">
      <c r="A24" s="38" t="s">
        <v>43</v>
      </c>
      <c r="B24" s="38">
        <v>19.4</v>
      </c>
      <c r="D24" s="46">
        <f>D$11*1.5</f>
        <v>11.925</v>
      </c>
      <c r="E24" s="45">
        <f aca="true" t="shared" si="12" ref="E24:E32">D24/$B24-1</f>
        <v>-0.3853092783505154</v>
      </c>
      <c r="G24" s="40">
        <v>26235</v>
      </c>
      <c r="H24" s="40">
        <f aca="true" t="shared" si="13" ref="H24:H32">ROUND(G24*$B24,0)</f>
        <v>508959</v>
      </c>
      <c r="I24" s="40" t="e">
        <f>ROUND(G24*#REF!,0)</f>
        <v>#REF!</v>
      </c>
      <c r="J24" s="40">
        <f aca="true" t="shared" si="14" ref="J24:J32">ROUND(G24*$D24,0)</f>
        <v>312852</v>
      </c>
      <c r="L24" s="40">
        <v>443</v>
      </c>
      <c r="M24" s="40">
        <f aca="true" t="shared" si="15" ref="M24:M32">ROUND(L24*$B24,0)</f>
        <v>8594</v>
      </c>
      <c r="N24" s="40" t="e">
        <f>ROUND(L24*#REF!,0)</f>
        <v>#REF!</v>
      </c>
      <c r="O24" s="40">
        <f aca="true" t="shared" si="16" ref="O24:O32">ROUND(L24*$D24,0)</f>
        <v>5283</v>
      </c>
      <c r="V24" s="40"/>
      <c r="W24" s="40">
        <f aca="true" t="shared" si="17" ref="W24:W32">ROUND(V24*$B24,0)</f>
        <v>0</v>
      </c>
      <c r="X24" s="40" t="e">
        <f>ROUND(V24*#REF!,0)</f>
        <v>#REF!</v>
      </c>
      <c r="Y24" s="40">
        <f aca="true" t="shared" si="18" ref="Y24:Y32">ROUND(V24*$D24,0)</f>
        <v>0</v>
      </c>
    </row>
    <row r="25" spans="1:25" ht="12.75">
      <c r="A25" s="38" t="s">
        <v>44</v>
      </c>
      <c r="B25" s="38">
        <f aca="true" t="shared" si="19" ref="B25:B32">B24</f>
        <v>19.4</v>
      </c>
      <c r="D25" s="46">
        <f>D$12*1.5</f>
        <v>17.91</v>
      </c>
      <c r="E25" s="45">
        <f t="shared" si="12"/>
        <v>-0.07680412371134016</v>
      </c>
      <c r="G25" s="40"/>
      <c r="H25" s="40">
        <f t="shared" si="13"/>
        <v>0</v>
      </c>
      <c r="I25" s="40" t="e">
        <f>ROUND(G25*#REF!,0)</f>
        <v>#REF!</v>
      </c>
      <c r="J25" s="40">
        <f t="shared" si="14"/>
        <v>0</v>
      </c>
      <c r="L25" s="40"/>
      <c r="M25" s="40">
        <f t="shared" si="15"/>
        <v>0</v>
      </c>
      <c r="N25" s="40" t="e">
        <f>ROUND(L25*#REF!,0)</f>
        <v>#REF!</v>
      </c>
      <c r="O25" s="40">
        <f t="shared" si="16"/>
        <v>0</v>
      </c>
      <c r="V25" s="40"/>
      <c r="W25" s="40">
        <f t="shared" si="17"/>
        <v>0</v>
      </c>
      <c r="X25" s="40" t="e">
        <f>ROUND(V25*#REF!,0)</f>
        <v>#REF!</v>
      </c>
      <c r="Y25" s="40">
        <f t="shared" si="18"/>
        <v>0</v>
      </c>
    </row>
    <row r="26" spans="1:25" ht="12.75">
      <c r="A26" s="38" t="s">
        <v>45</v>
      </c>
      <c r="B26" s="38">
        <f t="shared" si="19"/>
        <v>19.4</v>
      </c>
      <c r="D26" s="46">
        <f>D$13</f>
        <v>19.89</v>
      </c>
      <c r="E26" s="45">
        <f t="shared" si="12"/>
        <v>0.02525773195876302</v>
      </c>
      <c r="G26" s="40">
        <v>156</v>
      </c>
      <c r="H26" s="40">
        <f t="shared" si="13"/>
        <v>3026</v>
      </c>
      <c r="I26" s="40" t="e">
        <f>ROUND(G26*#REF!,0)</f>
        <v>#REF!</v>
      </c>
      <c r="J26" s="40">
        <f t="shared" si="14"/>
        <v>3103</v>
      </c>
      <c r="L26" s="40">
        <v>36</v>
      </c>
      <c r="M26" s="40">
        <f t="shared" si="15"/>
        <v>698</v>
      </c>
      <c r="N26" s="40" t="e">
        <f>ROUND(L26*#REF!,0)</f>
        <v>#REF!</v>
      </c>
      <c r="O26" s="40">
        <f t="shared" si="16"/>
        <v>716</v>
      </c>
      <c r="V26" s="40">
        <v>12</v>
      </c>
      <c r="W26" s="40">
        <f t="shared" si="17"/>
        <v>233</v>
      </c>
      <c r="X26" s="40" t="e">
        <f>ROUND(V26*#REF!,0)</f>
        <v>#REF!</v>
      </c>
      <c r="Y26" s="40">
        <f t="shared" si="18"/>
        <v>239</v>
      </c>
    </row>
    <row r="27" spans="1:25" ht="12.75">
      <c r="A27" s="38" t="s">
        <v>46</v>
      </c>
      <c r="B27" s="38">
        <f t="shared" si="19"/>
        <v>19.4</v>
      </c>
      <c r="D27" s="46">
        <f>D$14</f>
        <v>39.77</v>
      </c>
      <c r="E27" s="45">
        <f t="shared" si="12"/>
        <v>1.0500000000000003</v>
      </c>
      <c r="G27" s="40"/>
      <c r="H27" s="40">
        <f t="shared" si="13"/>
        <v>0</v>
      </c>
      <c r="I27" s="40" t="e">
        <f>ROUND(G27*#REF!,0)</f>
        <v>#REF!</v>
      </c>
      <c r="J27" s="40">
        <f t="shared" si="14"/>
        <v>0</v>
      </c>
      <c r="L27" s="40"/>
      <c r="M27" s="40">
        <f t="shared" si="15"/>
        <v>0</v>
      </c>
      <c r="N27" s="40" t="e">
        <f>ROUND(L27*#REF!,0)</f>
        <v>#REF!</v>
      </c>
      <c r="O27" s="40">
        <f t="shared" si="16"/>
        <v>0</v>
      </c>
      <c r="V27" s="40"/>
      <c r="W27" s="40">
        <f t="shared" si="17"/>
        <v>0</v>
      </c>
      <c r="X27" s="40" t="e">
        <f>ROUND(V27*#REF!,0)</f>
        <v>#REF!</v>
      </c>
      <c r="Y27" s="40">
        <f t="shared" si="18"/>
        <v>0</v>
      </c>
    </row>
    <row r="28" spans="1:25" ht="12.75">
      <c r="A28" s="38" t="s">
        <v>47</v>
      </c>
      <c r="B28" s="38">
        <f t="shared" si="19"/>
        <v>19.4</v>
      </c>
      <c r="D28" s="46">
        <f>D$15</f>
        <v>63.64</v>
      </c>
      <c r="E28" s="45">
        <f t="shared" si="12"/>
        <v>2.280412371134021</v>
      </c>
      <c r="G28" s="40">
        <v>48</v>
      </c>
      <c r="H28" s="40">
        <f t="shared" si="13"/>
        <v>931</v>
      </c>
      <c r="I28" s="40" t="e">
        <f>ROUND(G28*#REF!,0)</f>
        <v>#REF!</v>
      </c>
      <c r="J28" s="40">
        <f t="shared" si="14"/>
        <v>3055</v>
      </c>
      <c r="L28" s="40">
        <v>60</v>
      </c>
      <c r="M28" s="40">
        <f t="shared" si="15"/>
        <v>1164</v>
      </c>
      <c r="N28" s="40" t="e">
        <f>ROUND(L28*#REF!,0)</f>
        <v>#REF!</v>
      </c>
      <c r="O28" s="40">
        <f t="shared" si="16"/>
        <v>3818</v>
      </c>
      <c r="V28" s="40">
        <v>42</v>
      </c>
      <c r="W28" s="40">
        <f t="shared" si="17"/>
        <v>815</v>
      </c>
      <c r="X28" s="40" t="e">
        <f>ROUND(V28*#REF!,0)</f>
        <v>#REF!</v>
      </c>
      <c r="Y28" s="40">
        <f t="shared" si="18"/>
        <v>2673</v>
      </c>
    </row>
    <row r="29" spans="1:25" ht="12.75">
      <c r="A29" s="38" t="s">
        <v>48</v>
      </c>
      <c r="B29" s="38">
        <f t="shared" si="19"/>
        <v>19.4</v>
      </c>
      <c r="D29" s="46">
        <f>D$16</f>
        <v>119.32</v>
      </c>
      <c r="E29" s="45">
        <f t="shared" si="12"/>
        <v>5.150515463917526</v>
      </c>
      <c r="H29" s="40">
        <f t="shared" si="13"/>
        <v>0</v>
      </c>
      <c r="I29" s="40" t="e">
        <f>ROUND(G29*#REF!,0)</f>
        <v>#REF!</v>
      </c>
      <c r="J29" s="40">
        <f t="shared" si="14"/>
        <v>0</v>
      </c>
      <c r="M29" s="40">
        <f t="shared" si="15"/>
        <v>0</v>
      </c>
      <c r="N29" s="40" t="e">
        <f>ROUND(L29*#REF!,0)</f>
        <v>#REF!</v>
      </c>
      <c r="O29" s="40">
        <f t="shared" si="16"/>
        <v>0</v>
      </c>
      <c r="V29" s="40">
        <v>12</v>
      </c>
      <c r="W29" s="40">
        <f t="shared" si="17"/>
        <v>233</v>
      </c>
      <c r="X29" s="40" t="e">
        <f>ROUND(V29*#REF!,0)</f>
        <v>#REF!</v>
      </c>
      <c r="Y29" s="40">
        <f t="shared" si="18"/>
        <v>1432</v>
      </c>
    </row>
    <row r="30" spans="1:25" ht="12.75">
      <c r="A30" s="38" t="s">
        <v>49</v>
      </c>
      <c r="B30" s="38">
        <f t="shared" si="19"/>
        <v>19.4</v>
      </c>
      <c r="D30" s="46">
        <f>D$17</f>
        <v>198.86</v>
      </c>
      <c r="E30" s="45">
        <f t="shared" si="12"/>
        <v>9.250515463917527</v>
      </c>
      <c r="H30" s="40">
        <f t="shared" si="13"/>
        <v>0</v>
      </c>
      <c r="I30" s="40" t="e">
        <f>ROUND(G30*#REF!,0)</f>
        <v>#REF!</v>
      </c>
      <c r="J30" s="40">
        <f t="shared" si="14"/>
        <v>0</v>
      </c>
      <c r="M30" s="40">
        <f t="shared" si="15"/>
        <v>0</v>
      </c>
      <c r="N30" s="40" t="e">
        <f>ROUND(L30*#REF!,0)</f>
        <v>#REF!</v>
      </c>
      <c r="O30" s="40">
        <f t="shared" si="16"/>
        <v>0</v>
      </c>
      <c r="W30" s="40">
        <f t="shared" si="17"/>
        <v>0</v>
      </c>
      <c r="X30" s="40" t="e">
        <f>ROUND(V30*#REF!,0)</f>
        <v>#REF!</v>
      </c>
      <c r="Y30" s="40">
        <f t="shared" si="18"/>
        <v>0</v>
      </c>
    </row>
    <row r="31" spans="1:25" ht="12.75">
      <c r="A31" s="38" t="s">
        <v>50</v>
      </c>
      <c r="B31" s="38">
        <f t="shared" si="19"/>
        <v>19.4</v>
      </c>
      <c r="D31" s="46">
        <f>D$18*0.5</f>
        <v>198.865</v>
      </c>
      <c r="E31" s="45">
        <f t="shared" si="12"/>
        <v>9.25077319587629</v>
      </c>
      <c r="G31" s="40"/>
      <c r="H31" s="40">
        <f t="shared" si="13"/>
        <v>0</v>
      </c>
      <c r="I31" s="40" t="e">
        <f>ROUND(G31*#REF!,0)</f>
        <v>#REF!</v>
      </c>
      <c r="J31" s="40">
        <f t="shared" si="14"/>
        <v>0</v>
      </c>
      <c r="L31" s="40"/>
      <c r="M31" s="40">
        <f t="shared" si="15"/>
        <v>0</v>
      </c>
      <c r="N31" s="40" t="e">
        <f>ROUND(L31*#REF!,0)</f>
        <v>#REF!</v>
      </c>
      <c r="O31" s="40">
        <f t="shared" si="16"/>
        <v>0</v>
      </c>
      <c r="V31" s="40"/>
      <c r="W31" s="40">
        <f t="shared" si="17"/>
        <v>0</v>
      </c>
      <c r="X31" s="40" t="e">
        <f>ROUND(V31*#REF!,0)</f>
        <v>#REF!</v>
      </c>
      <c r="Y31" s="40">
        <f t="shared" si="18"/>
        <v>0</v>
      </c>
    </row>
    <row r="32" spans="1:25" ht="15">
      <c r="A32" s="38" t="s">
        <v>51</v>
      </c>
      <c r="B32" s="38">
        <f t="shared" si="19"/>
        <v>19.4</v>
      </c>
      <c r="D32" s="46">
        <f>D$19*0.5</f>
        <v>318.18</v>
      </c>
      <c r="E32" s="45">
        <f t="shared" si="12"/>
        <v>15.401030927835052</v>
      </c>
      <c r="H32" s="11">
        <f t="shared" si="13"/>
        <v>0</v>
      </c>
      <c r="I32" s="11" t="e">
        <f>ROUND(G32*#REF!,0)</f>
        <v>#REF!</v>
      </c>
      <c r="J32" s="11">
        <f t="shared" si="14"/>
        <v>0</v>
      </c>
      <c r="L32" s="40"/>
      <c r="M32" s="11">
        <f t="shared" si="15"/>
        <v>0</v>
      </c>
      <c r="N32" s="11" t="e">
        <f>ROUND(L32*#REF!,0)</f>
        <v>#REF!</v>
      </c>
      <c r="O32" s="11">
        <f t="shared" si="16"/>
        <v>0</v>
      </c>
      <c r="V32" s="40"/>
      <c r="W32" s="11">
        <f t="shared" si="17"/>
        <v>0</v>
      </c>
      <c r="X32" s="11" t="e">
        <f>ROUND(V32*#REF!,0)</f>
        <v>#REF!</v>
      </c>
      <c r="Y32" s="11">
        <f t="shared" si="18"/>
        <v>0</v>
      </c>
    </row>
    <row r="33" spans="7:30" ht="12.75">
      <c r="G33" s="41" t="s">
        <v>18</v>
      </c>
      <c r="H33" s="40">
        <f>SUM(H24:H32)</f>
        <v>512916</v>
      </c>
      <c r="I33" s="40" t="e">
        <f>SUM(I24:I32)</f>
        <v>#REF!</v>
      </c>
      <c r="J33" s="40">
        <f>SUM(J24:J32)</f>
        <v>319010</v>
      </c>
      <c r="L33" s="41" t="s">
        <v>18</v>
      </c>
      <c r="M33" s="40">
        <f>SUM(M24:M32)</f>
        <v>10456</v>
      </c>
      <c r="N33" s="40" t="e">
        <f>SUM(N24:N32)</f>
        <v>#REF!</v>
      </c>
      <c r="O33" s="40">
        <f>SUM(O24:O32)</f>
        <v>9817</v>
      </c>
      <c r="Q33" s="41" t="s">
        <v>18</v>
      </c>
      <c r="R33" s="40">
        <f>SUM(R24:R32)</f>
        <v>0</v>
      </c>
      <c r="S33" s="40">
        <f>SUM(S24:S32)</f>
        <v>0</v>
      </c>
      <c r="T33" s="40">
        <f>SUM(T24:T32)</f>
        <v>0</v>
      </c>
      <c r="V33" s="41" t="s">
        <v>18</v>
      </c>
      <c r="W33" s="40">
        <f>SUM(W24:W32)</f>
        <v>1281</v>
      </c>
      <c r="X33" s="40" t="e">
        <f>SUM(X24:X32)</f>
        <v>#REF!</v>
      </c>
      <c r="Y33" s="40">
        <f>SUM(Y24:Y32)</f>
        <v>4344</v>
      </c>
      <c r="AA33" s="41" t="s">
        <v>18</v>
      </c>
      <c r="AB33" s="40">
        <f>SUM(AB24:AB32)</f>
        <v>0</v>
      </c>
      <c r="AC33" s="40">
        <f>SUM(AC24:AC32)</f>
        <v>0</v>
      </c>
      <c r="AD33" s="40">
        <f>SUM(AD24:AD32)</f>
        <v>0</v>
      </c>
    </row>
    <row r="34" ht="12.75">
      <c r="B34" s="25" t="s">
        <v>52</v>
      </c>
    </row>
    <row r="35" spans="1:30" s="43" customFormat="1" ht="15">
      <c r="A35" s="42"/>
      <c r="D35" s="58" t="s">
        <v>41</v>
      </c>
      <c r="E35" s="58"/>
      <c r="H35" s="42" t="s">
        <v>38</v>
      </c>
      <c r="I35" s="42" t="s">
        <v>88</v>
      </c>
      <c r="J35" s="42" t="s">
        <v>17</v>
      </c>
      <c r="M35" s="42" t="s">
        <v>38</v>
      </c>
      <c r="N35" s="42" t="s">
        <v>88</v>
      </c>
      <c r="O35" s="42" t="s">
        <v>17</v>
      </c>
      <c r="P35" s="44"/>
      <c r="R35" s="42" t="s">
        <v>38</v>
      </c>
      <c r="S35" s="42" t="s">
        <v>88</v>
      </c>
      <c r="T35" s="42" t="s">
        <v>17</v>
      </c>
      <c r="W35" s="42" t="s">
        <v>38</v>
      </c>
      <c r="X35" s="42" t="s">
        <v>88</v>
      </c>
      <c r="Y35" s="42" t="s">
        <v>17</v>
      </c>
      <c r="AB35" s="42" t="s">
        <v>38</v>
      </c>
      <c r="AC35" s="42" t="s">
        <v>88</v>
      </c>
      <c r="AD35" s="42" t="s">
        <v>17</v>
      </c>
    </row>
    <row r="36" spans="2:30" s="20" customFormat="1" ht="15">
      <c r="B36" s="20" t="s">
        <v>38</v>
      </c>
      <c r="D36" s="20" t="s">
        <v>42</v>
      </c>
      <c r="E36" s="20" t="s">
        <v>39</v>
      </c>
      <c r="G36" s="20" t="s">
        <v>87</v>
      </c>
      <c r="H36" s="20" t="s">
        <v>16</v>
      </c>
      <c r="I36" s="20" t="s">
        <v>16</v>
      </c>
      <c r="J36" s="20" t="s">
        <v>16</v>
      </c>
      <c r="L36" s="20" t="s">
        <v>87</v>
      </c>
      <c r="M36" s="20" t="s">
        <v>16</v>
      </c>
      <c r="N36" s="20" t="s">
        <v>16</v>
      </c>
      <c r="O36" s="20" t="s">
        <v>16</v>
      </c>
      <c r="P36" s="13"/>
      <c r="Q36" s="20" t="s">
        <v>87</v>
      </c>
      <c r="R36" s="20" t="s">
        <v>16</v>
      </c>
      <c r="S36" s="20" t="s">
        <v>16</v>
      </c>
      <c r="T36" s="20" t="s">
        <v>16</v>
      </c>
      <c r="V36" s="20" t="s">
        <v>87</v>
      </c>
      <c r="W36" s="20" t="s">
        <v>16</v>
      </c>
      <c r="X36" s="20" t="s">
        <v>16</v>
      </c>
      <c r="Y36" s="20" t="s">
        <v>16</v>
      </c>
      <c r="AA36" s="20" t="s">
        <v>87</v>
      </c>
      <c r="AB36" s="20" t="s">
        <v>16</v>
      </c>
      <c r="AC36" s="20" t="s">
        <v>16</v>
      </c>
      <c r="AD36" s="20" t="s">
        <v>16</v>
      </c>
    </row>
    <row r="37" spans="1:15" ht="12.75">
      <c r="A37" s="38" t="s">
        <v>43</v>
      </c>
      <c r="B37" s="38">
        <v>20.95</v>
      </c>
      <c r="D37" s="38">
        <f aca="true" t="shared" si="20" ref="D37:D45">D11*1</f>
        <v>7.95</v>
      </c>
      <c r="E37" s="45">
        <f aca="true" t="shared" si="21" ref="E37:E45">D37/$B37-1</f>
        <v>-0.6205250596658711</v>
      </c>
      <c r="G37" s="40">
        <v>3612</v>
      </c>
      <c r="H37" s="40">
        <f aca="true" t="shared" si="22" ref="H37:H45">ROUND(G37*$B37,0)</f>
        <v>75671</v>
      </c>
      <c r="I37" s="40" t="e">
        <f>ROUND(G37*#REF!,0)</f>
        <v>#REF!</v>
      </c>
      <c r="J37" s="40">
        <f aca="true" t="shared" si="23" ref="J37:J45">ROUND(G37*$D37,0)</f>
        <v>28715</v>
      </c>
      <c r="L37" s="40">
        <v>12</v>
      </c>
      <c r="M37" s="40">
        <f aca="true" t="shared" si="24" ref="M37:M45">ROUND(L37*$B37,0)</f>
        <v>251</v>
      </c>
      <c r="N37" s="40" t="e">
        <f>ROUND(L37*#REF!,0)</f>
        <v>#REF!</v>
      </c>
      <c r="O37" s="40">
        <f aca="true" t="shared" si="25" ref="O37:O45">ROUND(L37*$D37,0)</f>
        <v>95</v>
      </c>
    </row>
    <row r="38" spans="1:15" ht="12.75">
      <c r="A38" s="38" t="s">
        <v>44</v>
      </c>
      <c r="B38" s="38">
        <f aca="true" t="shared" si="26" ref="B38:B45">B37</f>
        <v>20.95</v>
      </c>
      <c r="D38" s="38">
        <f t="shared" si="20"/>
        <v>11.94</v>
      </c>
      <c r="E38" s="45">
        <f t="shared" si="21"/>
        <v>-0.4300715990453461</v>
      </c>
      <c r="G38" s="40"/>
      <c r="H38" s="40">
        <f t="shared" si="22"/>
        <v>0</v>
      </c>
      <c r="I38" s="40" t="e">
        <f>ROUND(G38*#REF!,0)</f>
        <v>#REF!</v>
      </c>
      <c r="J38" s="40">
        <f t="shared" si="23"/>
        <v>0</v>
      </c>
      <c r="L38" s="40"/>
      <c r="M38" s="40">
        <f t="shared" si="24"/>
        <v>0</v>
      </c>
      <c r="N38" s="40" t="e">
        <f>ROUND(L38*#REF!,0)</f>
        <v>#REF!</v>
      </c>
      <c r="O38" s="40">
        <f t="shared" si="25"/>
        <v>0</v>
      </c>
    </row>
    <row r="39" spans="1:15" ht="12.75">
      <c r="A39" s="38" t="s">
        <v>45</v>
      </c>
      <c r="B39" s="38">
        <f t="shared" si="26"/>
        <v>20.95</v>
      </c>
      <c r="D39" s="38">
        <f t="shared" si="20"/>
        <v>19.89</v>
      </c>
      <c r="E39" s="45">
        <f t="shared" si="21"/>
        <v>-0.0505966587112171</v>
      </c>
      <c r="G39" s="40">
        <v>12</v>
      </c>
      <c r="H39" s="40">
        <f t="shared" si="22"/>
        <v>251</v>
      </c>
      <c r="I39" s="40" t="e">
        <f>ROUND(G39*#REF!,0)</f>
        <v>#REF!</v>
      </c>
      <c r="J39" s="40">
        <f t="shared" si="23"/>
        <v>239</v>
      </c>
      <c r="L39" s="40"/>
      <c r="M39" s="40">
        <f t="shared" si="24"/>
        <v>0</v>
      </c>
      <c r="N39" s="40" t="e">
        <f>ROUND(L39*#REF!,0)</f>
        <v>#REF!</v>
      </c>
      <c r="O39" s="40">
        <f t="shared" si="25"/>
        <v>0</v>
      </c>
    </row>
    <row r="40" spans="1:15" ht="12.75">
      <c r="A40" s="38" t="s">
        <v>46</v>
      </c>
      <c r="B40" s="38">
        <f t="shared" si="26"/>
        <v>20.95</v>
      </c>
      <c r="D40" s="38">
        <f t="shared" si="20"/>
        <v>39.77</v>
      </c>
      <c r="E40" s="45">
        <f t="shared" si="21"/>
        <v>0.8983293556085921</v>
      </c>
      <c r="G40" s="40"/>
      <c r="H40" s="40">
        <f t="shared" si="22"/>
        <v>0</v>
      </c>
      <c r="I40" s="40" t="e">
        <f>ROUND(G40*#REF!,0)</f>
        <v>#REF!</v>
      </c>
      <c r="J40" s="40">
        <f t="shared" si="23"/>
        <v>0</v>
      </c>
      <c r="L40" s="40"/>
      <c r="M40" s="40">
        <f t="shared" si="24"/>
        <v>0</v>
      </c>
      <c r="N40" s="40" t="e">
        <f>ROUND(L40*#REF!,0)</f>
        <v>#REF!</v>
      </c>
      <c r="O40" s="40">
        <f t="shared" si="25"/>
        <v>0</v>
      </c>
    </row>
    <row r="41" spans="1:15" ht="12.75">
      <c r="A41" s="38" t="s">
        <v>47</v>
      </c>
      <c r="B41" s="38">
        <f t="shared" si="26"/>
        <v>20.95</v>
      </c>
      <c r="D41" s="38">
        <f t="shared" si="20"/>
        <v>63.64</v>
      </c>
      <c r="E41" s="45">
        <f t="shared" si="21"/>
        <v>2.037708830548926</v>
      </c>
      <c r="G41" s="40"/>
      <c r="H41" s="40">
        <f t="shared" si="22"/>
        <v>0</v>
      </c>
      <c r="I41" s="40" t="e">
        <f>ROUND(G41*#REF!,0)</f>
        <v>#REF!</v>
      </c>
      <c r="J41" s="40">
        <f t="shared" si="23"/>
        <v>0</v>
      </c>
      <c r="L41" s="40"/>
      <c r="M41" s="40">
        <f t="shared" si="24"/>
        <v>0</v>
      </c>
      <c r="N41" s="40" t="e">
        <f>ROUND(L41*#REF!,0)</f>
        <v>#REF!</v>
      </c>
      <c r="O41" s="40">
        <f t="shared" si="25"/>
        <v>0</v>
      </c>
    </row>
    <row r="42" spans="1:15" ht="12.75">
      <c r="A42" s="38" t="s">
        <v>48</v>
      </c>
      <c r="B42" s="38">
        <f t="shared" si="26"/>
        <v>20.95</v>
      </c>
      <c r="D42" s="38">
        <f t="shared" si="20"/>
        <v>119.32</v>
      </c>
      <c r="E42" s="45">
        <f t="shared" si="21"/>
        <v>4.695465393794749</v>
      </c>
      <c r="H42" s="40">
        <f t="shared" si="22"/>
        <v>0</v>
      </c>
      <c r="I42" s="40" t="e">
        <f>ROUND(G42*#REF!,0)</f>
        <v>#REF!</v>
      </c>
      <c r="J42" s="40">
        <f t="shared" si="23"/>
        <v>0</v>
      </c>
      <c r="M42" s="40">
        <f t="shared" si="24"/>
        <v>0</v>
      </c>
      <c r="N42" s="40" t="e">
        <f>ROUND(L42*#REF!,0)</f>
        <v>#REF!</v>
      </c>
      <c r="O42" s="40">
        <f t="shared" si="25"/>
        <v>0</v>
      </c>
    </row>
    <row r="43" spans="1:15" ht="12.75">
      <c r="A43" s="38" t="s">
        <v>49</v>
      </c>
      <c r="B43" s="38">
        <f t="shared" si="26"/>
        <v>20.95</v>
      </c>
      <c r="D43" s="38">
        <f t="shared" si="20"/>
        <v>198.86</v>
      </c>
      <c r="E43" s="45">
        <f t="shared" si="21"/>
        <v>8.492124105011934</v>
      </c>
      <c r="H43" s="40">
        <f t="shared" si="22"/>
        <v>0</v>
      </c>
      <c r="I43" s="40" t="e">
        <f>ROUND(G43*#REF!,0)</f>
        <v>#REF!</v>
      </c>
      <c r="J43" s="40">
        <f t="shared" si="23"/>
        <v>0</v>
      </c>
      <c r="M43" s="40">
        <f t="shared" si="24"/>
        <v>0</v>
      </c>
      <c r="N43" s="40" t="e">
        <f>ROUND(L43*#REF!,0)</f>
        <v>#REF!</v>
      </c>
      <c r="O43" s="40">
        <f t="shared" si="25"/>
        <v>0</v>
      </c>
    </row>
    <row r="44" spans="1:15" ht="12.75">
      <c r="A44" s="38" t="s">
        <v>50</v>
      </c>
      <c r="B44" s="38">
        <f t="shared" si="26"/>
        <v>20.95</v>
      </c>
      <c r="D44" s="38">
        <f t="shared" si="20"/>
        <v>397.73</v>
      </c>
      <c r="E44" s="45">
        <f t="shared" si="21"/>
        <v>17.98472553699284</v>
      </c>
      <c r="G44" s="40"/>
      <c r="H44" s="40">
        <f t="shared" si="22"/>
        <v>0</v>
      </c>
      <c r="I44" s="40" t="e">
        <f>ROUND(G44*#REF!,0)</f>
        <v>#REF!</v>
      </c>
      <c r="J44" s="40">
        <f t="shared" si="23"/>
        <v>0</v>
      </c>
      <c r="L44" s="40"/>
      <c r="M44" s="40">
        <f t="shared" si="24"/>
        <v>0</v>
      </c>
      <c r="N44" s="40" t="e">
        <f>ROUND(L44*#REF!,0)</f>
        <v>#REF!</v>
      </c>
      <c r="O44" s="40">
        <f t="shared" si="25"/>
        <v>0</v>
      </c>
    </row>
    <row r="45" spans="1:15" ht="15">
      <c r="A45" s="38" t="s">
        <v>51</v>
      </c>
      <c r="B45" s="38">
        <f t="shared" si="26"/>
        <v>20.95</v>
      </c>
      <c r="D45" s="38">
        <f t="shared" si="20"/>
        <v>636.36</v>
      </c>
      <c r="E45" s="45">
        <f t="shared" si="21"/>
        <v>29.375178997613368</v>
      </c>
      <c r="H45" s="11">
        <f t="shared" si="22"/>
        <v>0</v>
      </c>
      <c r="I45" s="11" t="e">
        <f>ROUND(G45*#REF!,0)</f>
        <v>#REF!</v>
      </c>
      <c r="J45" s="11">
        <f t="shared" si="23"/>
        <v>0</v>
      </c>
      <c r="L45" s="40"/>
      <c r="M45" s="11">
        <f t="shared" si="24"/>
        <v>0</v>
      </c>
      <c r="N45" s="11" t="e">
        <f>ROUND(L45*#REF!,0)</f>
        <v>#REF!</v>
      </c>
      <c r="O45" s="11">
        <f t="shared" si="25"/>
        <v>0</v>
      </c>
    </row>
    <row r="46" spans="7:30" ht="12.75">
      <c r="G46" s="41" t="s">
        <v>18</v>
      </c>
      <c r="H46" s="40">
        <f>SUM(H37:H45)</f>
        <v>75922</v>
      </c>
      <c r="I46" s="40" t="e">
        <f>SUM(I37:I45)</f>
        <v>#REF!</v>
      </c>
      <c r="J46" s="40">
        <f>SUM(J37:J45)</f>
        <v>28954</v>
      </c>
      <c r="L46" s="41" t="s">
        <v>18</v>
      </c>
      <c r="M46" s="40">
        <f>SUM(M37:M45)</f>
        <v>251</v>
      </c>
      <c r="N46" s="40" t="e">
        <f>SUM(N37:N45)</f>
        <v>#REF!</v>
      </c>
      <c r="O46" s="40">
        <f>SUM(O37:O45)</f>
        <v>95</v>
      </c>
      <c r="Q46" s="41" t="s">
        <v>18</v>
      </c>
      <c r="R46" s="40">
        <f>SUM(R37:R45)</f>
        <v>0</v>
      </c>
      <c r="S46" s="40">
        <f>SUM(S37:S45)</f>
        <v>0</v>
      </c>
      <c r="T46" s="40">
        <f>SUM(T37:T45)</f>
        <v>0</v>
      </c>
      <c r="V46" s="41" t="s">
        <v>18</v>
      </c>
      <c r="W46" s="40">
        <f>SUM(W37:W45)</f>
        <v>0</v>
      </c>
      <c r="X46" s="40">
        <f>SUM(X37:X45)</f>
        <v>0</v>
      </c>
      <c r="Y46" s="40">
        <f>SUM(Y37:Y45)</f>
        <v>0</v>
      </c>
      <c r="AA46" s="41" t="s">
        <v>18</v>
      </c>
      <c r="AB46" s="40">
        <f>SUM(AB37:AB45)</f>
        <v>0</v>
      </c>
      <c r="AC46" s="40">
        <f>SUM(AC37:AC45)</f>
        <v>0</v>
      </c>
      <c r="AD46" s="40">
        <f>SUM(AD37:AD45)</f>
        <v>0</v>
      </c>
    </row>
    <row r="47" ht="12.75">
      <c r="B47" s="25" t="s">
        <v>94</v>
      </c>
    </row>
    <row r="48" spans="4:15" ht="15">
      <c r="D48" s="58" t="s">
        <v>41</v>
      </c>
      <c r="E48" s="58"/>
      <c r="G48" s="43"/>
      <c r="H48" s="42" t="s">
        <v>38</v>
      </c>
      <c r="I48" s="42" t="s">
        <v>88</v>
      </c>
      <c r="J48" s="42" t="s">
        <v>17</v>
      </c>
      <c r="K48" s="43"/>
      <c r="L48" s="43"/>
      <c r="M48" s="42" t="s">
        <v>38</v>
      </c>
      <c r="N48" s="42" t="s">
        <v>88</v>
      </c>
      <c r="O48" s="42" t="s">
        <v>17</v>
      </c>
    </row>
    <row r="49" spans="2:15" ht="15">
      <c r="B49" s="20" t="s">
        <v>38</v>
      </c>
      <c r="C49" s="20"/>
      <c r="D49" s="20" t="s">
        <v>42</v>
      </c>
      <c r="E49" s="20" t="s">
        <v>39</v>
      </c>
      <c r="G49" s="20" t="s">
        <v>87</v>
      </c>
      <c r="H49" s="20" t="s">
        <v>16</v>
      </c>
      <c r="I49" s="20" t="s">
        <v>16</v>
      </c>
      <c r="J49" s="20" t="s">
        <v>16</v>
      </c>
      <c r="K49" s="20"/>
      <c r="L49" s="20" t="s">
        <v>87</v>
      </c>
      <c r="M49" s="20" t="s">
        <v>16</v>
      </c>
      <c r="N49" s="20" t="s">
        <v>16</v>
      </c>
      <c r="O49" s="20" t="s">
        <v>16</v>
      </c>
    </row>
    <row r="50" spans="1:15" ht="12.75">
      <c r="A50" s="38" t="s">
        <v>43</v>
      </c>
      <c r="B50" s="38">
        <v>16.77</v>
      </c>
      <c r="D50" s="38">
        <f>D$11*1.5</f>
        <v>11.925</v>
      </c>
      <c r="E50" s="45">
        <f aca="true" t="shared" si="27" ref="E50:E58">D50/$B50-1</f>
        <v>-0.28890876565295165</v>
      </c>
      <c r="G50" s="40">
        <v>6060</v>
      </c>
      <c r="H50" s="40">
        <f aca="true" t="shared" si="28" ref="H50:H58">ROUND(G50*$B50,0)</f>
        <v>101626</v>
      </c>
      <c r="I50" s="40" t="e">
        <f>ROUND(G50*#REF!,0)</f>
        <v>#REF!</v>
      </c>
      <c r="J50" s="40">
        <f aca="true" t="shared" si="29" ref="J50:J58">ROUND(G50*$D50,0)</f>
        <v>72266</v>
      </c>
      <c r="L50" s="40">
        <v>1116</v>
      </c>
      <c r="M50" s="40">
        <f aca="true" t="shared" si="30" ref="M50:M58">ROUND(L50*$B50,0)</f>
        <v>18715</v>
      </c>
      <c r="N50" s="40" t="e">
        <f>ROUND(L50*#REF!,0)</f>
        <v>#REF!</v>
      </c>
      <c r="O50" s="40">
        <f aca="true" t="shared" si="31" ref="O50:O58">ROUND(L50*$D50,0)</f>
        <v>13308</v>
      </c>
    </row>
    <row r="51" spans="1:15" ht="12.75">
      <c r="A51" s="38" t="s">
        <v>44</v>
      </c>
      <c r="B51" s="38">
        <v>16.77</v>
      </c>
      <c r="D51" s="38">
        <f>D$12*1.5</f>
        <v>17.91</v>
      </c>
      <c r="E51" s="45">
        <f t="shared" si="27"/>
        <v>0.06797853309481217</v>
      </c>
      <c r="G51" s="40"/>
      <c r="H51" s="40">
        <f t="shared" si="28"/>
        <v>0</v>
      </c>
      <c r="I51" s="40" t="e">
        <f>ROUND(G51*#REF!,0)</f>
        <v>#REF!</v>
      </c>
      <c r="J51" s="40">
        <f t="shared" si="29"/>
        <v>0</v>
      </c>
      <c r="L51" s="40"/>
      <c r="M51" s="40">
        <f t="shared" si="30"/>
        <v>0</v>
      </c>
      <c r="N51" s="40" t="e">
        <f>ROUND(L51*#REF!,0)</f>
        <v>#REF!</v>
      </c>
      <c r="O51" s="40">
        <f t="shared" si="31"/>
        <v>0</v>
      </c>
    </row>
    <row r="52" spans="1:15" ht="12.75">
      <c r="A52" s="38" t="s">
        <v>45</v>
      </c>
      <c r="B52" s="38">
        <v>19.4</v>
      </c>
      <c r="D52" s="38">
        <f>D$13</f>
        <v>19.89</v>
      </c>
      <c r="E52" s="45">
        <f t="shared" si="27"/>
        <v>0.02525773195876302</v>
      </c>
      <c r="G52" s="40">
        <v>60</v>
      </c>
      <c r="H52" s="40">
        <f t="shared" si="28"/>
        <v>1164</v>
      </c>
      <c r="I52" s="40" t="e">
        <f>ROUND(G52*#REF!,0)</f>
        <v>#REF!</v>
      </c>
      <c r="J52" s="40">
        <f t="shared" si="29"/>
        <v>1193</v>
      </c>
      <c r="L52" s="40">
        <v>132</v>
      </c>
      <c r="M52" s="40">
        <f t="shared" si="30"/>
        <v>2561</v>
      </c>
      <c r="N52" s="40" t="e">
        <f>ROUND(L52*#REF!,0)</f>
        <v>#REF!</v>
      </c>
      <c r="O52" s="40">
        <f t="shared" si="31"/>
        <v>2625</v>
      </c>
    </row>
    <row r="53" spans="1:15" ht="12.75">
      <c r="A53" s="38" t="s">
        <v>46</v>
      </c>
      <c r="B53" s="38">
        <v>19.4</v>
      </c>
      <c r="D53" s="38">
        <f>D$14</f>
        <v>39.77</v>
      </c>
      <c r="E53" s="45">
        <f t="shared" si="27"/>
        <v>1.0500000000000003</v>
      </c>
      <c r="G53" s="40"/>
      <c r="H53" s="40">
        <f t="shared" si="28"/>
        <v>0</v>
      </c>
      <c r="I53" s="40" t="e">
        <f>ROUND(G53*#REF!,0)</f>
        <v>#REF!</v>
      </c>
      <c r="J53" s="40">
        <f t="shared" si="29"/>
        <v>0</v>
      </c>
      <c r="L53" s="40"/>
      <c r="M53" s="40">
        <f t="shared" si="30"/>
        <v>0</v>
      </c>
      <c r="N53" s="40" t="e">
        <f>ROUND(L53*#REF!,0)</f>
        <v>#REF!</v>
      </c>
      <c r="O53" s="40">
        <f t="shared" si="31"/>
        <v>0</v>
      </c>
    </row>
    <row r="54" spans="1:15" ht="12.75">
      <c r="A54" s="38" t="s">
        <v>47</v>
      </c>
      <c r="B54" s="38">
        <v>19.4</v>
      </c>
      <c r="D54" s="38">
        <f>D$15</f>
        <v>63.64</v>
      </c>
      <c r="E54" s="45">
        <f t="shared" si="27"/>
        <v>2.280412371134021</v>
      </c>
      <c r="G54" s="40"/>
      <c r="H54" s="40">
        <f t="shared" si="28"/>
        <v>0</v>
      </c>
      <c r="I54" s="40" t="e">
        <f>ROUND(G54*#REF!,0)</f>
        <v>#REF!</v>
      </c>
      <c r="J54" s="40">
        <f t="shared" si="29"/>
        <v>0</v>
      </c>
      <c r="L54" s="40"/>
      <c r="M54" s="40">
        <f t="shared" si="30"/>
        <v>0</v>
      </c>
      <c r="N54" s="40" t="e">
        <f>ROUND(L54*#REF!,0)</f>
        <v>#REF!</v>
      </c>
      <c r="O54" s="40">
        <f t="shared" si="31"/>
        <v>0</v>
      </c>
    </row>
    <row r="55" spans="1:15" ht="12.75">
      <c r="A55" s="38" t="s">
        <v>48</v>
      </c>
      <c r="B55" s="38">
        <v>19.4</v>
      </c>
      <c r="D55" s="38">
        <f>D$16</f>
        <v>119.32</v>
      </c>
      <c r="E55" s="45">
        <f t="shared" si="27"/>
        <v>5.150515463917526</v>
      </c>
      <c r="H55" s="40">
        <f t="shared" si="28"/>
        <v>0</v>
      </c>
      <c r="I55" s="40" t="e">
        <f>ROUND(G55*#REF!,0)</f>
        <v>#REF!</v>
      </c>
      <c r="J55" s="40">
        <f t="shared" si="29"/>
        <v>0</v>
      </c>
      <c r="M55" s="40">
        <f t="shared" si="30"/>
        <v>0</v>
      </c>
      <c r="N55" s="40" t="e">
        <f>ROUND(L55*#REF!,0)</f>
        <v>#REF!</v>
      </c>
      <c r="O55" s="40">
        <f t="shared" si="31"/>
        <v>0</v>
      </c>
    </row>
    <row r="56" spans="1:15" ht="12.75">
      <c r="A56" s="38" t="s">
        <v>49</v>
      </c>
      <c r="B56" s="38">
        <v>19.4</v>
      </c>
      <c r="D56" s="38">
        <f>D$17</f>
        <v>198.86</v>
      </c>
      <c r="E56" s="45">
        <f t="shared" si="27"/>
        <v>9.250515463917527</v>
      </c>
      <c r="H56" s="40">
        <f t="shared" si="28"/>
        <v>0</v>
      </c>
      <c r="I56" s="40" t="e">
        <f>ROUND(G56*#REF!,0)</f>
        <v>#REF!</v>
      </c>
      <c r="J56" s="40">
        <f t="shared" si="29"/>
        <v>0</v>
      </c>
      <c r="M56" s="40">
        <f t="shared" si="30"/>
        <v>0</v>
      </c>
      <c r="N56" s="40" t="e">
        <f>ROUND(L56*#REF!,0)</f>
        <v>#REF!</v>
      </c>
      <c r="O56" s="40">
        <f t="shared" si="31"/>
        <v>0</v>
      </c>
    </row>
    <row r="57" spans="1:15" ht="12.75">
      <c r="A57" s="38" t="s">
        <v>50</v>
      </c>
      <c r="B57" s="38">
        <v>19.4</v>
      </c>
      <c r="D57" s="38">
        <f>D$18*0.5</f>
        <v>198.865</v>
      </c>
      <c r="E57" s="45">
        <f t="shared" si="27"/>
        <v>9.25077319587629</v>
      </c>
      <c r="G57" s="40"/>
      <c r="H57" s="40">
        <f t="shared" si="28"/>
        <v>0</v>
      </c>
      <c r="I57" s="40" t="e">
        <f>ROUND(G57*#REF!,0)</f>
        <v>#REF!</v>
      </c>
      <c r="J57" s="40">
        <f t="shared" si="29"/>
        <v>0</v>
      </c>
      <c r="L57" s="40"/>
      <c r="M57" s="40">
        <f t="shared" si="30"/>
        <v>0</v>
      </c>
      <c r="N57" s="40" t="e">
        <f>ROUND(L57*#REF!,0)</f>
        <v>#REF!</v>
      </c>
      <c r="O57" s="40">
        <f t="shared" si="31"/>
        <v>0</v>
      </c>
    </row>
    <row r="58" spans="1:15" ht="15">
      <c r="A58" s="38" t="s">
        <v>51</v>
      </c>
      <c r="B58" s="38">
        <v>19.4</v>
      </c>
      <c r="D58" s="38">
        <f>D$19*0.5</f>
        <v>318.18</v>
      </c>
      <c r="E58" s="45">
        <f t="shared" si="27"/>
        <v>15.401030927835052</v>
      </c>
      <c r="H58" s="11">
        <f t="shared" si="28"/>
        <v>0</v>
      </c>
      <c r="I58" s="11" t="e">
        <f>ROUND(G58*#REF!,0)</f>
        <v>#REF!</v>
      </c>
      <c r="J58" s="11">
        <f t="shared" si="29"/>
        <v>0</v>
      </c>
      <c r="L58" s="40"/>
      <c r="M58" s="11">
        <f t="shared" si="30"/>
        <v>0</v>
      </c>
      <c r="N58" s="11" t="e">
        <f>ROUND(L58*#REF!,0)</f>
        <v>#REF!</v>
      </c>
      <c r="O58" s="11">
        <f t="shared" si="31"/>
        <v>0</v>
      </c>
    </row>
    <row r="59" spans="7:30" ht="12.75">
      <c r="G59" s="41" t="s">
        <v>18</v>
      </c>
      <c r="H59" s="40">
        <f>SUM(H50:H58)</f>
        <v>102790</v>
      </c>
      <c r="I59" s="40" t="e">
        <f>SUM(I50:I58)</f>
        <v>#REF!</v>
      </c>
      <c r="J59" s="40">
        <f>SUM(J50:J58)</f>
        <v>73459</v>
      </c>
      <c r="L59" s="41" t="s">
        <v>18</v>
      </c>
      <c r="M59" s="40">
        <f>SUM(M50:M58)</f>
        <v>21276</v>
      </c>
      <c r="N59" s="40" t="e">
        <f>SUM(N50:N58)</f>
        <v>#REF!</v>
      </c>
      <c r="O59" s="40">
        <f>SUM(O50:O58)</f>
        <v>15933</v>
      </c>
      <c r="Q59" s="41" t="s">
        <v>18</v>
      </c>
      <c r="R59" s="40">
        <f>SUM(R50:R58)</f>
        <v>0</v>
      </c>
      <c r="S59" s="40">
        <f>SUM(S50:S58)</f>
        <v>0</v>
      </c>
      <c r="T59" s="40">
        <f>SUM(T50:T58)</f>
        <v>0</v>
      </c>
      <c r="V59" s="41" t="s">
        <v>18</v>
      </c>
      <c r="W59" s="40">
        <f>SUM(W50:W58)</f>
        <v>0</v>
      </c>
      <c r="X59" s="40">
        <f>SUM(X50:X58)</f>
        <v>0</v>
      </c>
      <c r="Y59" s="40">
        <f>SUM(Y50:Y58)</f>
        <v>0</v>
      </c>
      <c r="AA59" s="41" t="s">
        <v>18</v>
      </c>
      <c r="AB59" s="40">
        <f>SUM(AB50:AB58)</f>
        <v>0</v>
      </c>
      <c r="AC59" s="40">
        <f>SUM(AC50:AC58)</f>
        <v>0</v>
      </c>
      <c r="AD59" s="40">
        <f>SUM(AD50:AD58)</f>
        <v>0</v>
      </c>
    </row>
    <row r="60" ht="12.75">
      <c r="B60" s="25" t="s">
        <v>95</v>
      </c>
    </row>
    <row r="61" spans="4:15" ht="15">
      <c r="D61" s="58" t="s">
        <v>41</v>
      </c>
      <c r="E61" s="58"/>
      <c r="G61" s="43"/>
      <c r="H61" s="42" t="s">
        <v>38</v>
      </c>
      <c r="I61" s="42" t="s">
        <v>88</v>
      </c>
      <c r="J61" s="42" t="s">
        <v>17</v>
      </c>
      <c r="K61" s="43"/>
      <c r="L61" s="43"/>
      <c r="M61" s="42" t="s">
        <v>38</v>
      </c>
      <c r="N61" s="42" t="s">
        <v>88</v>
      </c>
      <c r="O61" s="42" t="s">
        <v>17</v>
      </c>
    </row>
    <row r="62" spans="2:15" ht="15">
      <c r="B62" s="20" t="s">
        <v>38</v>
      </c>
      <c r="C62" s="20"/>
      <c r="D62" s="20" t="s">
        <v>42</v>
      </c>
      <c r="E62" s="20" t="s">
        <v>39</v>
      </c>
      <c r="G62" s="20" t="s">
        <v>87</v>
      </c>
      <c r="H62" s="20" t="s">
        <v>16</v>
      </c>
      <c r="I62" s="20" t="s">
        <v>16</v>
      </c>
      <c r="J62" s="20" t="s">
        <v>16</v>
      </c>
      <c r="K62" s="20"/>
      <c r="L62" s="20" t="s">
        <v>87</v>
      </c>
      <c r="M62" s="20" t="s">
        <v>16</v>
      </c>
      <c r="N62" s="20" t="s">
        <v>16</v>
      </c>
      <c r="O62" s="20" t="s">
        <v>16</v>
      </c>
    </row>
    <row r="63" spans="1:15" ht="12.75">
      <c r="A63" s="38" t="s">
        <v>43</v>
      </c>
      <c r="B63" s="38">
        <v>39.35</v>
      </c>
      <c r="D63" s="38">
        <f>D$11*1.5</f>
        <v>11.925</v>
      </c>
      <c r="E63" s="45">
        <f aca="true" t="shared" si="32" ref="E63:E71">D63/$B63-1</f>
        <v>-0.6969504447268107</v>
      </c>
      <c r="G63" s="40"/>
      <c r="H63" s="40">
        <f aca="true" t="shared" si="33" ref="H63:H71">ROUND(G63*$B63,0)</f>
        <v>0</v>
      </c>
      <c r="I63" s="40" t="e">
        <f>ROUND(G63*#REF!,0)</f>
        <v>#REF!</v>
      </c>
      <c r="J63" s="40">
        <f aca="true" t="shared" si="34" ref="J63:J71">ROUND(G63*$D63,0)</f>
        <v>0</v>
      </c>
      <c r="L63" s="40"/>
      <c r="M63" s="40">
        <f aca="true" t="shared" si="35" ref="M63:M71">ROUND(L63*$B63,0)</f>
        <v>0</v>
      </c>
      <c r="N63" s="40" t="e">
        <f>ROUND(L63*#REF!,0)</f>
        <v>#REF!</v>
      </c>
      <c r="O63" s="40">
        <f aca="true" t="shared" si="36" ref="O63:O71">ROUND(L63*$D63,0)</f>
        <v>0</v>
      </c>
    </row>
    <row r="64" spans="1:15" ht="12.75">
      <c r="A64" s="38" t="s">
        <v>44</v>
      </c>
      <c r="B64" s="38">
        <f aca="true" t="shared" si="37" ref="B64:B71">$B$63</f>
        <v>39.35</v>
      </c>
      <c r="D64" s="38">
        <f>D$12*1.5</f>
        <v>17.91</v>
      </c>
      <c r="E64" s="45">
        <f t="shared" si="32"/>
        <v>-0.544853875476493</v>
      </c>
      <c r="G64" s="40"/>
      <c r="H64" s="40">
        <f t="shared" si="33"/>
        <v>0</v>
      </c>
      <c r="I64" s="40" t="e">
        <f>ROUND(G64*#REF!,0)</f>
        <v>#REF!</v>
      </c>
      <c r="J64" s="40">
        <f t="shared" si="34"/>
        <v>0</v>
      </c>
      <c r="L64" s="40"/>
      <c r="M64" s="40">
        <f t="shared" si="35"/>
        <v>0</v>
      </c>
      <c r="N64" s="40" t="e">
        <f>ROUND(L64*#REF!,0)</f>
        <v>#REF!</v>
      </c>
      <c r="O64" s="40">
        <f t="shared" si="36"/>
        <v>0</v>
      </c>
    </row>
    <row r="65" spans="1:15" ht="12.75">
      <c r="A65" s="38" t="s">
        <v>45</v>
      </c>
      <c r="B65" s="38">
        <f t="shared" si="37"/>
        <v>39.35</v>
      </c>
      <c r="D65" s="38">
        <f>D$13</f>
        <v>19.89</v>
      </c>
      <c r="E65" s="45">
        <f t="shared" si="32"/>
        <v>-0.4945362134688691</v>
      </c>
      <c r="G65" s="40">
        <v>60</v>
      </c>
      <c r="H65" s="40">
        <f t="shared" si="33"/>
        <v>2361</v>
      </c>
      <c r="I65" s="40" t="e">
        <f>ROUND(G65*#REF!,0)</f>
        <v>#REF!</v>
      </c>
      <c r="J65" s="40">
        <f t="shared" si="34"/>
        <v>1193</v>
      </c>
      <c r="L65" s="40"/>
      <c r="M65" s="40">
        <f t="shared" si="35"/>
        <v>0</v>
      </c>
      <c r="N65" s="40" t="e">
        <f>ROUND(L65*#REF!,0)</f>
        <v>#REF!</v>
      </c>
      <c r="O65" s="40">
        <f t="shared" si="36"/>
        <v>0</v>
      </c>
    </row>
    <row r="66" spans="1:15" ht="12.75">
      <c r="A66" s="38" t="s">
        <v>46</v>
      </c>
      <c r="B66" s="38">
        <f t="shared" si="37"/>
        <v>39.35</v>
      </c>
      <c r="D66" s="38">
        <f>D$14</f>
        <v>39.77</v>
      </c>
      <c r="E66" s="45">
        <f t="shared" si="32"/>
        <v>0.010673443456162612</v>
      </c>
      <c r="G66" s="40"/>
      <c r="H66" s="40">
        <f t="shared" si="33"/>
        <v>0</v>
      </c>
      <c r="I66" s="40" t="e">
        <f>ROUND(G66*#REF!,0)</f>
        <v>#REF!</v>
      </c>
      <c r="J66" s="40">
        <f t="shared" si="34"/>
        <v>0</v>
      </c>
      <c r="L66" s="40"/>
      <c r="M66" s="40">
        <f t="shared" si="35"/>
        <v>0</v>
      </c>
      <c r="N66" s="40" t="e">
        <f>ROUND(L66*#REF!,0)</f>
        <v>#REF!</v>
      </c>
      <c r="O66" s="40">
        <f t="shared" si="36"/>
        <v>0</v>
      </c>
    </row>
    <row r="67" spans="1:15" ht="12.75">
      <c r="A67" s="38" t="s">
        <v>47</v>
      </c>
      <c r="B67" s="38">
        <f t="shared" si="37"/>
        <v>39.35</v>
      </c>
      <c r="D67" s="38">
        <f>D$15</f>
        <v>63.64</v>
      </c>
      <c r="E67" s="45">
        <f t="shared" si="32"/>
        <v>0.6172808132147394</v>
      </c>
      <c r="G67" s="40"/>
      <c r="H67" s="40">
        <f t="shared" si="33"/>
        <v>0</v>
      </c>
      <c r="I67" s="40" t="e">
        <f>ROUND(G67*#REF!,0)</f>
        <v>#REF!</v>
      </c>
      <c r="J67" s="40">
        <f t="shared" si="34"/>
        <v>0</v>
      </c>
      <c r="L67" s="40"/>
      <c r="M67" s="40">
        <f t="shared" si="35"/>
        <v>0</v>
      </c>
      <c r="N67" s="40" t="e">
        <f>ROUND(L67*#REF!,0)</f>
        <v>#REF!</v>
      </c>
      <c r="O67" s="40">
        <f t="shared" si="36"/>
        <v>0</v>
      </c>
    </row>
    <row r="68" spans="1:15" ht="12.75">
      <c r="A68" s="38" t="s">
        <v>48</v>
      </c>
      <c r="B68" s="38">
        <f t="shared" si="37"/>
        <v>39.35</v>
      </c>
      <c r="D68" s="38">
        <f>D$16</f>
        <v>119.32</v>
      </c>
      <c r="E68" s="45">
        <f t="shared" si="32"/>
        <v>2.0322744599745866</v>
      </c>
      <c r="H68" s="40">
        <f t="shared" si="33"/>
        <v>0</v>
      </c>
      <c r="I68" s="40" t="e">
        <f>ROUND(G68*#REF!,0)</f>
        <v>#REF!</v>
      </c>
      <c r="J68" s="40">
        <f t="shared" si="34"/>
        <v>0</v>
      </c>
      <c r="M68" s="40">
        <f t="shared" si="35"/>
        <v>0</v>
      </c>
      <c r="N68" s="40" t="e">
        <f>ROUND(L68*#REF!,0)</f>
        <v>#REF!</v>
      </c>
      <c r="O68" s="40">
        <f t="shared" si="36"/>
        <v>0</v>
      </c>
    </row>
    <row r="69" spans="1:15" ht="12.75">
      <c r="A69" s="38" t="s">
        <v>49</v>
      </c>
      <c r="B69" s="38">
        <f t="shared" si="37"/>
        <v>39.35</v>
      </c>
      <c r="D69" s="38">
        <f>D$17</f>
        <v>198.86</v>
      </c>
      <c r="E69" s="45">
        <f t="shared" si="32"/>
        <v>4.053621346886913</v>
      </c>
      <c r="H69" s="40">
        <f t="shared" si="33"/>
        <v>0</v>
      </c>
      <c r="I69" s="40" t="e">
        <f>ROUND(G69*#REF!,0)</f>
        <v>#REF!</v>
      </c>
      <c r="J69" s="40">
        <f t="shared" si="34"/>
        <v>0</v>
      </c>
      <c r="M69" s="40">
        <f t="shared" si="35"/>
        <v>0</v>
      </c>
      <c r="N69" s="40" t="e">
        <f>ROUND(L69*#REF!,0)</f>
        <v>#REF!</v>
      </c>
      <c r="O69" s="40">
        <f t="shared" si="36"/>
        <v>0</v>
      </c>
    </row>
    <row r="70" spans="1:15" ht="12.75">
      <c r="A70" s="38" t="s">
        <v>50</v>
      </c>
      <c r="B70" s="38">
        <f t="shared" si="37"/>
        <v>39.35</v>
      </c>
      <c r="D70" s="38">
        <f>D$18*0.5</f>
        <v>198.865</v>
      </c>
      <c r="E70" s="45">
        <f t="shared" si="32"/>
        <v>4.053748411689962</v>
      </c>
      <c r="G70" s="40"/>
      <c r="H70" s="40">
        <f t="shared" si="33"/>
        <v>0</v>
      </c>
      <c r="I70" s="40" t="e">
        <f>ROUND(G70*#REF!,0)</f>
        <v>#REF!</v>
      </c>
      <c r="J70" s="40">
        <f t="shared" si="34"/>
        <v>0</v>
      </c>
      <c r="L70" s="40">
        <v>48</v>
      </c>
      <c r="M70" s="40">
        <f t="shared" si="35"/>
        <v>1889</v>
      </c>
      <c r="N70" s="40" t="e">
        <f>ROUND(L70*#REF!,0)</f>
        <v>#REF!</v>
      </c>
      <c r="O70" s="40">
        <f t="shared" si="36"/>
        <v>9546</v>
      </c>
    </row>
    <row r="71" spans="1:15" ht="15">
      <c r="A71" s="38" t="s">
        <v>51</v>
      </c>
      <c r="B71" s="38">
        <f t="shared" si="37"/>
        <v>39.35</v>
      </c>
      <c r="D71" s="38">
        <f>D$19*0.5</f>
        <v>318.18</v>
      </c>
      <c r="E71" s="45">
        <f t="shared" si="32"/>
        <v>7.085895806861499</v>
      </c>
      <c r="H71" s="11">
        <f t="shared" si="33"/>
        <v>0</v>
      </c>
      <c r="I71" s="11" t="e">
        <f>ROUND(G71*#REF!,0)</f>
        <v>#REF!</v>
      </c>
      <c r="J71" s="11">
        <f t="shared" si="34"/>
        <v>0</v>
      </c>
      <c r="L71" s="40"/>
      <c r="M71" s="11">
        <f t="shared" si="35"/>
        <v>0</v>
      </c>
      <c r="N71" s="11" t="e">
        <f>ROUND(L71*#REF!,0)</f>
        <v>#REF!</v>
      </c>
      <c r="O71" s="11">
        <f t="shared" si="36"/>
        <v>0</v>
      </c>
    </row>
    <row r="72" spans="7:30" ht="12.75">
      <c r="G72" s="41" t="s">
        <v>18</v>
      </c>
      <c r="H72" s="40">
        <f>SUM(H63:H71)</f>
        <v>2361</v>
      </c>
      <c r="I72" s="40" t="e">
        <f>SUM(I63:I71)</f>
        <v>#REF!</v>
      </c>
      <c r="J72" s="40">
        <f>SUM(J63:J71)</f>
        <v>1193</v>
      </c>
      <c r="L72" s="41" t="s">
        <v>18</v>
      </c>
      <c r="M72" s="40">
        <f>SUM(M63:M71)</f>
        <v>1889</v>
      </c>
      <c r="N72" s="40" t="e">
        <f>SUM(N63:N71)</f>
        <v>#REF!</v>
      </c>
      <c r="O72" s="40">
        <f>SUM(O63:O71)</f>
        <v>9546</v>
      </c>
      <c r="Q72" s="41" t="s">
        <v>18</v>
      </c>
      <c r="R72" s="40">
        <f>SUM(R63:R71)</f>
        <v>0</v>
      </c>
      <c r="S72" s="40">
        <f>SUM(S63:S71)</f>
        <v>0</v>
      </c>
      <c r="T72" s="40">
        <f>SUM(T63:T71)</f>
        <v>0</v>
      </c>
      <c r="V72" s="41" t="s">
        <v>18</v>
      </c>
      <c r="W72" s="40">
        <f>SUM(W63:W71)</f>
        <v>0</v>
      </c>
      <c r="X72" s="40">
        <f>SUM(X63:X71)</f>
        <v>0</v>
      </c>
      <c r="Y72" s="40">
        <f>SUM(Y63:Y71)</f>
        <v>0</v>
      </c>
      <c r="AA72" s="41" t="s">
        <v>18</v>
      </c>
      <c r="AB72" s="40">
        <f>SUM(AB63:AB71)</f>
        <v>0</v>
      </c>
      <c r="AC72" s="40">
        <f>SUM(AC63:AC71)</f>
        <v>0</v>
      </c>
      <c r="AD72" s="40">
        <f>SUM(AD63:AD71)</f>
        <v>0</v>
      </c>
    </row>
    <row r="73" ht="12.75">
      <c r="B73" s="25" t="s">
        <v>96</v>
      </c>
    </row>
    <row r="74" spans="4:15" ht="15">
      <c r="D74" s="58" t="s">
        <v>41</v>
      </c>
      <c r="E74" s="58"/>
      <c r="G74" s="43"/>
      <c r="H74" s="42" t="s">
        <v>38</v>
      </c>
      <c r="I74" s="42" t="s">
        <v>88</v>
      </c>
      <c r="J74" s="42" t="s">
        <v>17</v>
      </c>
      <c r="K74" s="43"/>
      <c r="L74" s="43"/>
      <c r="M74" s="42" t="s">
        <v>38</v>
      </c>
      <c r="N74" s="42" t="s">
        <v>88</v>
      </c>
      <c r="O74" s="42" t="s">
        <v>17</v>
      </c>
    </row>
    <row r="75" spans="2:15" ht="15">
      <c r="B75" s="20" t="s">
        <v>38</v>
      </c>
      <c r="C75" s="20"/>
      <c r="D75" s="20" t="s">
        <v>42</v>
      </c>
      <c r="E75" s="20" t="s">
        <v>39</v>
      </c>
      <c r="G75" s="20" t="s">
        <v>87</v>
      </c>
      <c r="H75" s="20" t="s">
        <v>16</v>
      </c>
      <c r="I75" s="20" t="s">
        <v>16</v>
      </c>
      <c r="J75" s="20" t="s">
        <v>16</v>
      </c>
      <c r="K75" s="20"/>
      <c r="L75" s="20" t="s">
        <v>87</v>
      </c>
      <c r="M75" s="20" t="s">
        <v>16</v>
      </c>
      <c r="N75" s="20" t="s">
        <v>16</v>
      </c>
      <c r="O75" s="20" t="s">
        <v>16</v>
      </c>
    </row>
    <row r="76" spans="1:15" ht="12.75">
      <c r="A76" s="38" t="s">
        <v>43</v>
      </c>
      <c r="B76" s="38">
        <v>22.68</v>
      </c>
      <c r="D76" s="38">
        <f>D$11*1.5</f>
        <v>11.925</v>
      </c>
      <c r="E76" s="45">
        <f aca="true" t="shared" si="38" ref="E76:E84">D76/$B76-1</f>
        <v>-0.4742063492063492</v>
      </c>
      <c r="G76" s="40"/>
      <c r="H76" s="40">
        <f aca="true" t="shared" si="39" ref="H76:H84">ROUND(G76*$B76,0)</f>
        <v>0</v>
      </c>
      <c r="I76" s="40" t="e">
        <f>ROUND(G76*#REF!,0)</f>
        <v>#REF!</v>
      </c>
      <c r="J76" s="40">
        <f aca="true" t="shared" si="40" ref="J76:J84">ROUND(G76*$D76,0)</f>
        <v>0</v>
      </c>
      <c r="L76" s="40"/>
      <c r="M76" s="40">
        <f aca="true" t="shared" si="41" ref="M76:M84">ROUND(L76*$B76,0)</f>
        <v>0</v>
      </c>
      <c r="N76" s="40" t="e">
        <f>ROUND(L76*#REF!,0)</f>
        <v>#REF!</v>
      </c>
      <c r="O76" s="40">
        <f aca="true" t="shared" si="42" ref="O76:O84">ROUND(L76*$D76,0)</f>
        <v>0</v>
      </c>
    </row>
    <row r="77" spans="1:15" ht="12.75">
      <c r="A77" s="38" t="s">
        <v>44</v>
      </c>
      <c r="B77" s="38">
        <f aca="true" t="shared" si="43" ref="B77:B84">$B$76</f>
        <v>22.68</v>
      </c>
      <c r="D77" s="38">
        <f>D$12*1.5</f>
        <v>17.91</v>
      </c>
      <c r="E77" s="45">
        <f t="shared" si="38"/>
        <v>-0.21031746031746035</v>
      </c>
      <c r="G77" s="40"/>
      <c r="H77" s="40">
        <f t="shared" si="39"/>
        <v>0</v>
      </c>
      <c r="I77" s="40" t="e">
        <f>ROUND(G77*#REF!,0)</f>
        <v>#REF!</v>
      </c>
      <c r="J77" s="40">
        <f t="shared" si="40"/>
        <v>0</v>
      </c>
      <c r="L77" s="40"/>
      <c r="M77" s="40">
        <f t="shared" si="41"/>
        <v>0</v>
      </c>
      <c r="N77" s="40" t="e">
        <f>ROUND(L77*#REF!,0)</f>
        <v>#REF!</v>
      </c>
      <c r="O77" s="40">
        <f t="shared" si="42"/>
        <v>0</v>
      </c>
    </row>
    <row r="78" spans="1:15" ht="12.75">
      <c r="A78" s="38" t="s">
        <v>45</v>
      </c>
      <c r="B78" s="38">
        <f t="shared" si="43"/>
        <v>22.68</v>
      </c>
      <c r="D78" s="38">
        <f>D$13</f>
        <v>19.89</v>
      </c>
      <c r="E78" s="45">
        <f t="shared" si="38"/>
        <v>-0.12301587301587302</v>
      </c>
      <c r="G78" s="40">
        <v>12</v>
      </c>
      <c r="H78" s="40">
        <f t="shared" si="39"/>
        <v>272</v>
      </c>
      <c r="I78" s="40" t="e">
        <f>ROUND(G78*#REF!,0)</f>
        <v>#REF!</v>
      </c>
      <c r="J78" s="40">
        <f t="shared" si="40"/>
        <v>239</v>
      </c>
      <c r="L78" s="40"/>
      <c r="M78" s="40">
        <f t="shared" si="41"/>
        <v>0</v>
      </c>
      <c r="N78" s="40" t="e">
        <f>ROUND(L78*#REF!,0)</f>
        <v>#REF!</v>
      </c>
      <c r="O78" s="40">
        <f t="shared" si="42"/>
        <v>0</v>
      </c>
    </row>
    <row r="79" spans="1:15" ht="12.75">
      <c r="A79" s="38" t="s">
        <v>46</v>
      </c>
      <c r="B79" s="38">
        <f t="shared" si="43"/>
        <v>22.68</v>
      </c>
      <c r="D79" s="38">
        <f>D$14</f>
        <v>39.77</v>
      </c>
      <c r="E79" s="45">
        <f t="shared" si="38"/>
        <v>0.7535273368606703</v>
      </c>
      <c r="G79" s="40"/>
      <c r="H79" s="40">
        <f t="shared" si="39"/>
        <v>0</v>
      </c>
      <c r="I79" s="40" t="e">
        <f>ROUND(G79*#REF!,0)</f>
        <v>#REF!</v>
      </c>
      <c r="J79" s="40">
        <f t="shared" si="40"/>
        <v>0</v>
      </c>
      <c r="L79" s="40"/>
      <c r="M79" s="40">
        <f t="shared" si="41"/>
        <v>0</v>
      </c>
      <c r="N79" s="40" t="e">
        <f>ROUND(L79*#REF!,0)</f>
        <v>#REF!</v>
      </c>
      <c r="O79" s="40">
        <f t="shared" si="42"/>
        <v>0</v>
      </c>
    </row>
    <row r="80" spans="1:15" ht="12.75">
      <c r="A80" s="38" t="s">
        <v>47</v>
      </c>
      <c r="B80" s="38">
        <f t="shared" si="43"/>
        <v>22.68</v>
      </c>
      <c r="D80" s="38">
        <f>D$15</f>
        <v>63.64</v>
      </c>
      <c r="E80" s="45">
        <f t="shared" si="38"/>
        <v>1.8059964726631392</v>
      </c>
      <c r="G80" s="40"/>
      <c r="H80" s="40">
        <f t="shared" si="39"/>
        <v>0</v>
      </c>
      <c r="I80" s="40" t="e">
        <f>ROUND(G80*#REF!,0)</f>
        <v>#REF!</v>
      </c>
      <c r="J80" s="40">
        <f t="shared" si="40"/>
        <v>0</v>
      </c>
      <c r="L80" s="40">
        <v>36</v>
      </c>
      <c r="M80" s="40">
        <f t="shared" si="41"/>
        <v>816</v>
      </c>
      <c r="N80" s="40" t="e">
        <f>ROUND(L80*#REF!,0)</f>
        <v>#REF!</v>
      </c>
      <c r="O80" s="40">
        <f t="shared" si="42"/>
        <v>2291</v>
      </c>
    </row>
    <row r="81" spans="1:15" ht="12.75">
      <c r="A81" s="38" t="s">
        <v>48</v>
      </c>
      <c r="B81" s="38">
        <f t="shared" si="43"/>
        <v>22.68</v>
      </c>
      <c r="D81" s="38">
        <f>D$16</f>
        <v>119.32</v>
      </c>
      <c r="E81" s="45">
        <f t="shared" si="38"/>
        <v>4.261022927689594</v>
      </c>
      <c r="H81" s="40">
        <f t="shared" si="39"/>
        <v>0</v>
      </c>
      <c r="I81" s="40" t="e">
        <f>ROUND(G81*#REF!,0)</f>
        <v>#REF!</v>
      </c>
      <c r="J81" s="40">
        <f t="shared" si="40"/>
        <v>0</v>
      </c>
      <c r="M81" s="40">
        <f t="shared" si="41"/>
        <v>0</v>
      </c>
      <c r="N81" s="40" t="e">
        <f>ROUND(L81*#REF!,0)</f>
        <v>#REF!</v>
      </c>
      <c r="O81" s="40">
        <f t="shared" si="42"/>
        <v>0</v>
      </c>
    </row>
    <row r="82" spans="1:15" ht="12.75">
      <c r="A82" s="38" t="s">
        <v>49</v>
      </c>
      <c r="B82" s="38">
        <f t="shared" si="43"/>
        <v>22.68</v>
      </c>
      <c r="D82" s="38">
        <f>D$17</f>
        <v>198.86</v>
      </c>
      <c r="E82" s="45">
        <f t="shared" si="38"/>
        <v>7.768077601410935</v>
      </c>
      <c r="H82" s="40">
        <f t="shared" si="39"/>
        <v>0</v>
      </c>
      <c r="I82" s="40" t="e">
        <f>ROUND(G82*#REF!,0)</f>
        <v>#REF!</v>
      </c>
      <c r="J82" s="40">
        <f t="shared" si="40"/>
        <v>0</v>
      </c>
      <c r="M82" s="40">
        <f t="shared" si="41"/>
        <v>0</v>
      </c>
      <c r="N82" s="40" t="e">
        <f>ROUND(L82*#REF!,0)</f>
        <v>#REF!</v>
      </c>
      <c r="O82" s="40">
        <f t="shared" si="42"/>
        <v>0</v>
      </c>
    </row>
    <row r="83" spans="1:15" ht="12.75">
      <c r="A83" s="38" t="s">
        <v>50</v>
      </c>
      <c r="B83" s="38">
        <f t="shared" si="43"/>
        <v>22.68</v>
      </c>
      <c r="D83" s="38">
        <f>D$18*0.5</f>
        <v>198.865</v>
      </c>
      <c r="E83" s="45">
        <f t="shared" si="38"/>
        <v>7.768298059964728</v>
      </c>
      <c r="G83" s="40"/>
      <c r="H83" s="40">
        <f t="shared" si="39"/>
        <v>0</v>
      </c>
      <c r="I83" s="40" t="e">
        <f>ROUND(G83*#REF!,0)</f>
        <v>#REF!</v>
      </c>
      <c r="J83" s="40">
        <f t="shared" si="40"/>
        <v>0</v>
      </c>
      <c r="L83" s="40"/>
      <c r="M83" s="40">
        <f t="shared" si="41"/>
        <v>0</v>
      </c>
      <c r="N83" s="40" t="e">
        <f>ROUND(L83*#REF!,0)</f>
        <v>#REF!</v>
      </c>
      <c r="O83" s="40">
        <f t="shared" si="42"/>
        <v>0</v>
      </c>
    </row>
    <row r="84" spans="1:15" ht="15">
      <c r="A84" s="38" t="s">
        <v>51</v>
      </c>
      <c r="B84" s="38">
        <f t="shared" si="43"/>
        <v>22.68</v>
      </c>
      <c r="D84" s="38">
        <f>D$19*0.5</f>
        <v>318.18</v>
      </c>
      <c r="E84" s="45">
        <f t="shared" si="38"/>
        <v>13.02910052910053</v>
      </c>
      <c r="H84" s="11">
        <f t="shared" si="39"/>
        <v>0</v>
      </c>
      <c r="I84" s="11" t="e">
        <f>ROUND(G84*#REF!,0)</f>
        <v>#REF!</v>
      </c>
      <c r="J84" s="11">
        <f t="shared" si="40"/>
        <v>0</v>
      </c>
      <c r="L84" s="40"/>
      <c r="M84" s="11">
        <f t="shared" si="41"/>
        <v>0</v>
      </c>
      <c r="N84" s="11" t="e">
        <f>ROUND(L84*#REF!,0)</f>
        <v>#REF!</v>
      </c>
      <c r="O84" s="11">
        <f t="shared" si="42"/>
        <v>0</v>
      </c>
    </row>
    <row r="85" spans="7:30" ht="12.75">
      <c r="G85" s="41" t="s">
        <v>18</v>
      </c>
      <c r="H85" s="40">
        <f>SUM(H76:H84)</f>
        <v>272</v>
      </c>
      <c r="I85" s="40" t="e">
        <f>SUM(I76:I84)</f>
        <v>#REF!</v>
      </c>
      <c r="J85" s="40">
        <f>SUM(J76:J84)</f>
        <v>239</v>
      </c>
      <c r="L85" s="41" t="s">
        <v>18</v>
      </c>
      <c r="M85" s="40">
        <f>SUM(M76:M84)</f>
        <v>816</v>
      </c>
      <c r="N85" s="40" t="e">
        <f>SUM(N76:N84)</f>
        <v>#REF!</v>
      </c>
      <c r="O85" s="40">
        <f>SUM(O76:O84)</f>
        <v>2291</v>
      </c>
      <c r="Q85" s="41" t="s">
        <v>18</v>
      </c>
      <c r="R85" s="40">
        <f>SUM(R76:R84)</f>
        <v>0</v>
      </c>
      <c r="S85" s="40">
        <f>SUM(S76:S84)</f>
        <v>0</v>
      </c>
      <c r="T85" s="40">
        <f>SUM(T76:T84)</f>
        <v>0</v>
      </c>
      <c r="V85" s="41" t="s">
        <v>18</v>
      </c>
      <c r="W85" s="40">
        <f>SUM(W76:W84)</f>
        <v>0</v>
      </c>
      <c r="X85" s="40">
        <f>SUM(X76:X84)</f>
        <v>0</v>
      </c>
      <c r="Y85" s="40">
        <f>SUM(Y76:Y84)</f>
        <v>0</v>
      </c>
      <c r="AA85" s="41" t="s">
        <v>18</v>
      </c>
      <c r="AB85" s="40">
        <f>SUM(AB76:AB84)</f>
        <v>0</v>
      </c>
      <c r="AC85" s="40">
        <f>SUM(AC76:AC84)</f>
        <v>0</v>
      </c>
      <c r="AD85" s="40">
        <f>SUM(AD76:AD84)</f>
        <v>0</v>
      </c>
    </row>
    <row r="87" ht="12.75">
      <c r="A87" s="24" t="s">
        <v>53</v>
      </c>
    </row>
    <row r="88" spans="1:2" ht="12.75">
      <c r="A88" s="41"/>
      <c r="B88" s="25" t="s">
        <v>59</v>
      </c>
    </row>
    <row r="89" spans="1:10" ht="15">
      <c r="A89" s="41"/>
      <c r="D89" s="58" t="s">
        <v>41</v>
      </c>
      <c r="E89" s="58"/>
      <c r="G89" s="43"/>
      <c r="H89" s="42" t="s">
        <v>38</v>
      </c>
      <c r="I89" s="42" t="s">
        <v>88</v>
      </c>
      <c r="J89" s="42" t="s">
        <v>17</v>
      </c>
    </row>
    <row r="90" spans="1:10" ht="15">
      <c r="A90" s="20"/>
      <c r="B90" s="20" t="s">
        <v>38</v>
      </c>
      <c r="C90" s="20"/>
      <c r="D90" s="20" t="s">
        <v>42</v>
      </c>
      <c r="E90" s="20" t="s">
        <v>39</v>
      </c>
      <c r="G90" s="20" t="s">
        <v>87</v>
      </c>
      <c r="H90" s="20" t="s">
        <v>16</v>
      </c>
      <c r="I90" s="20" t="s">
        <v>16</v>
      </c>
      <c r="J90" s="20" t="s">
        <v>16</v>
      </c>
    </row>
    <row r="91" spans="1:10" ht="12.75">
      <c r="A91" s="38" t="s">
        <v>54</v>
      </c>
      <c r="B91" s="47">
        <v>1.82375</v>
      </c>
      <c r="D91" s="31">
        <v>2.09087</v>
      </c>
      <c r="E91" s="45">
        <f>D91/$B91-1</f>
        <v>0.14646744345442064</v>
      </c>
      <c r="G91" s="40">
        <v>8264488</v>
      </c>
      <c r="H91" s="40">
        <f>ROUND(G91*$B91,0)</f>
        <v>15072360</v>
      </c>
      <c r="I91" s="40" t="e">
        <f>ROUND(G91*#REF!,0)</f>
        <v>#REF!</v>
      </c>
      <c r="J91" s="40">
        <f>ROUND(G91*$D91,0)</f>
        <v>17279970</v>
      </c>
    </row>
    <row r="92" spans="1:10" ht="12.75">
      <c r="A92" s="38" t="s">
        <v>55</v>
      </c>
      <c r="B92" s="47">
        <v>1.68873</v>
      </c>
      <c r="D92" s="31">
        <v>2.00642</v>
      </c>
      <c r="E92" s="45">
        <f>D92/$B92-1</f>
        <v>0.18812361952473156</v>
      </c>
      <c r="G92" s="40">
        <v>5893968</v>
      </c>
      <c r="H92" s="40">
        <f>ROUND(G92*$B92,0)</f>
        <v>9953321</v>
      </c>
      <c r="I92" s="40" t="e">
        <f>ROUND(G92*#REF!,0)</f>
        <v>#REF!</v>
      </c>
      <c r="J92" s="40">
        <f>ROUND(G92*$D92,0)</f>
        <v>11825775</v>
      </c>
    </row>
    <row r="93" spans="1:10" ht="12.75">
      <c r="A93" s="38" t="s">
        <v>56</v>
      </c>
      <c r="B93" s="47">
        <v>1.37803</v>
      </c>
      <c r="D93" s="31">
        <v>1.602</v>
      </c>
      <c r="E93" s="45">
        <f>D93/$B93-1</f>
        <v>0.16252911765346179</v>
      </c>
      <c r="G93" s="40">
        <v>1059832</v>
      </c>
      <c r="H93" s="40">
        <f>ROUND(G93*$B93,0)</f>
        <v>1460480</v>
      </c>
      <c r="I93" s="40" t="e">
        <f>ROUND(G93*#REF!,0)</f>
        <v>#REF!</v>
      </c>
      <c r="J93" s="40">
        <f>ROUND(G93*$D93,0)</f>
        <v>1697851</v>
      </c>
    </row>
    <row r="94" spans="1:10" ht="12.75">
      <c r="A94" s="38" t="s">
        <v>57</v>
      </c>
      <c r="B94" s="47">
        <v>1.61771</v>
      </c>
      <c r="D94" s="31">
        <v>1.87406</v>
      </c>
      <c r="E94" s="45">
        <f>D94/$B94-1</f>
        <v>0.15846474337180338</v>
      </c>
      <c r="G94" s="40">
        <v>2020163</v>
      </c>
      <c r="H94" s="40">
        <f>ROUND(G94*$B94,0)</f>
        <v>3268038</v>
      </c>
      <c r="I94" s="40" t="e">
        <f>ROUND(G94*#REF!,0)</f>
        <v>#REF!</v>
      </c>
      <c r="J94" s="40">
        <f>ROUND(G94*$D94,0)</f>
        <v>3785907</v>
      </c>
    </row>
    <row r="95" spans="1:10" ht="15">
      <c r="A95" s="38" t="s">
        <v>58</v>
      </c>
      <c r="B95" s="47">
        <v>1.61771</v>
      </c>
      <c r="D95" s="31">
        <v>1.8809</v>
      </c>
      <c r="E95" s="45">
        <f>D95/$B95-1</f>
        <v>0.162692942492783</v>
      </c>
      <c r="G95" s="11">
        <v>603242</v>
      </c>
      <c r="H95" s="11">
        <f>ROUND(G95*$B95,0)</f>
        <v>975871</v>
      </c>
      <c r="I95" s="11" t="e">
        <f>ROUND(G95*#REF!,0)</f>
        <v>#REF!</v>
      </c>
      <c r="J95" s="11">
        <f>ROUND(G95*$D95,0)</f>
        <v>1134638</v>
      </c>
    </row>
    <row r="96" spans="7:10" ht="12.75">
      <c r="G96" s="40">
        <f>SUM(G91:G95)</f>
        <v>17841693</v>
      </c>
      <c r="H96" s="40">
        <f>SUM(H91:H95)</f>
        <v>30730070</v>
      </c>
      <c r="I96" s="40" t="e">
        <f>SUM(I91:I95)</f>
        <v>#REF!</v>
      </c>
      <c r="J96" s="40">
        <f>SUM(J91:J95)</f>
        <v>35724141</v>
      </c>
    </row>
    <row r="97" spans="1:10" ht="15">
      <c r="A97" s="41"/>
      <c r="B97" s="25" t="s">
        <v>65</v>
      </c>
      <c r="H97" s="11"/>
      <c r="I97" s="11"/>
      <c r="J97" s="11"/>
    </row>
    <row r="98" spans="1:10" ht="15">
      <c r="A98" s="41"/>
      <c r="D98" s="58" t="s">
        <v>41</v>
      </c>
      <c r="E98" s="58"/>
      <c r="G98" s="43"/>
      <c r="H98" s="42" t="s">
        <v>38</v>
      </c>
      <c r="I98" s="42" t="s">
        <v>88</v>
      </c>
      <c r="J98" s="42" t="s">
        <v>17</v>
      </c>
    </row>
    <row r="99" spans="1:10" ht="15">
      <c r="A99" s="20"/>
      <c r="B99" s="20" t="s">
        <v>38</v>
      </c>
      <c r="C99" s="20"/>
      <c r="D99" s="20" t="s">
        <v>42</v>
      </c>
      <c r="E99" s="20" t="s">
        <v>39</v>
      </c>
      <c r="G99" s="20" t="s">
        <v>87</v>
      </c>
      <c r="H99" s="20" t="s">
        <v>16</v>
      </c>
      <c r="I99" s="20" t="s">
        <v>16</v>
      </c>
      <c r="J99" s="20" t="s">
        <v>16</v>
      </c>
    </row>
    <row r="100" spans="1:10" ht="15">
      <c r="A100" s="28" t="s">
        <v>7</v>
      </c>
      <c r="B100" s="20"/>
      <c r="C100" s="20"/>
      <c r="D100" s="20"/>
      <c r="E100" s="20"/>
      <c r="G100" s="40"/>
      <c r="H100" s="40"/>
      <c r="I100" s="40"/>
      <c r="J100" s="40"/>
    </row>
    <row r="101" spans="1:10" ht="12.75">
      <c r="A101" s="38" t="s">
        <v>60</v>
      </c>
      <c r="B101" s="47">
        <v>0</v>
      </c>
      <c r="D101" s="48">
        <f>D91*1.5</f>
        <v>3.1363049999999997</v>
      </c>
      <c r="E101" s="45"/>
      <c r="G101" s="40">
        <v>69282</v>
      </c>
      <c r="H101" s="40">
        <f>ROUND(G101*$B101,0)</f>
        <v>0</v>
      </c>
      <c r="I101" s="40" t="e">
        <f>ROUND(G101*#REF!,0)</f>
        <v>#REF!</v>
      </c>
      <c r="J101" s="40">
        <f>ROUND(G101*$D101,0)</f>
        <v>217289</v>
      </c>
    </row>
    <row r="102" spans="1:10" ht="12.75">
      <c r="A102" s="38" t="s">
        <v>61</v>
      </c>
      <c r="B102" s="47">
        <v>4.665</v>
      </c>
      <c r="D102" s="47">
        <f>D101</f>
        <v>3.1363049999999997</v>
      </c>
      <c r="E102" s="45">
        <f>D102/$B102-1</f>
        <v>-0.3276945337620579</v>
      </c>
      <c r="G102" s="40">
        <v>67016</v>
      </c>
      <c r="H102" s="40">
        <f>ROUND(G102*$B102,0)</f>
        <v>312630</v>
      </c>
      <c r="I102" s="40" t="e">
        <f>ROUND(G102*#REF!,0)</f>
        <v>#REF!</v>
      </c>
      <c r="J102" s="40">
        <f>ROUND(G102*$D102,0)</f>
        <v>210183</v>
      </c>
    </row>
    <row r="103" spans="1:10" ht="12.75">
      <c r="A103" s="38" t="s">
        <v>62</v>
      </c>
      <c r="B103" s="47">
        <v>4.575</v>
      </c>
      <c r="D103" s="47">
        <f>D102</f>
        <v>3.1363049999999997</v>
      </c>
      <c r="E103" s="45">
        <f>D103/$B103-1</f>
        <v>-0.31446885245901646</v>
      </c>
      <c r="G103" s="40">
        <v>15952</v>
      </c>
      <c r="H103" s="40">
        <f>ROUND(G103*$B103,0)</f>
        <v>72980</v>
      </c>
      <c r="I103" s="40" t="e">
        <f>ROUND(G103*#REF!,0)</f>
        <v>#REF!</v>
      </c>
      <c r="J103" s="40">
        <f>ROUND(G103*$D103,0)</f>
        <v>50030</v>
      </c>
    </row>
    <row r="104" spans="1:10" ht="12.75">
      <c r="A104" s="38" t="s">
        <v>63</v>
      </c>
      <c r="B104" s="47">
        <v>4.485</v>
      </c>
      <c r="D104" s="47">
        <f>D103</f>
        <v>3.1363049999999997</v>
      </c>
      <c r="E104" s="45">
        <f>D104/$B104-1</f>
        <v>-0.3007123745819399</v>
      </c>
      <c r="G104" s="40">
        <v>10244</v>
      </c>
      <c r="H104" s="40">
        <f>ROUND(G104*$B104,0)</f>
        <v>45944</v>
      </c>
      <c r="I104" s="40" t="e">
        <f>ROUND(G104*#REF!,0)</f>
        <v>#REF!</v>
      </c>
      <c r="J104" s="40">
        <f>ROUND(G104*$D104,0)</f>
        <v>32128</v>
      </c>
    </row>
    <row r="105" spans="1:10" ht="15">
      <c r="A105" s="38" t="s">
        <v>64</v>
      </c>
      <c r="B105" s="47">
        <v>4.305</v>
      </c>
      <c r="D105" s="47">
        <f>D104</f>
        <v>3.1363049999999997</v>
      </c>
      <c r="E105" s="45">
        <f>D105/$B105-1</f>
        <v>-0.2714738675958188</v>
      </c>
      <c r="G105" s="11">
        <v>12069</v>
      </c>
      <c r="H105" s="11">
        <f>ROUND(G105*$B105,0)</f>
        <v>51957</v>
      </c>
      <c r="I105" s="11" t="e">
        <f>ROUND(G105*#REF!,0)</f>
        <v>#REF!</v>
      </c>
      <c r="J105" s="11">
        <f>ROUND(G105*$D105,0)</f>
        <v>37852</v>
      </c>
    </row>
    <row r="106" spans="7:10" ht="12.75">
      <c r="G106" s="40">
        <f>SUM(G101:G105)</f>
        <v>174563</v>
      </c>
      <c r="H106" s="40">
        <f>SUM(H101:H105)</f>
        <v>483511</v>
      </c>
      <c r="I106" s="40" t="e">
        <f>SUM(I101:I105)</f>
        <v>#REF!</v>
      </c>
      <c r="J106" s="40">
        <f>SUM(J101:J105)</f>
        <v>547482</v>
      </c>
    </row>
    <row r="107" ht="12.75">
      <c r="A107" s="28" t="s">
        <v>8</v>
      </c>
    </row>
    <row r="108" spans="1:10" ht="12.75">
      <c r="A108" s="38" t="s">
        <v>60</v>
      </c>
      <c r="B108" s="38">
        <f>B101</f>
        <v>0</v>
      </c>
      <c r="D108" s="48">
        <f>D92*1.5</f>
        <v>3.0096299999999996</v>
      </c>
      <c r="E108" s="45"/>
      <c r="G108" s="40">
        <v>6563</v>
      </c>
      <c r="H108" s="40">
        <f>ROUND(G108*$B108,0)</f>
        <v>0</v>
      </c>
      <c r="I108" s="40" t="e">
        <f>ROUND(G108*#REF!,0)</f>
        <v>#REF!</v>
      </c>
      <c r="J108" s="40">
        <f>ROUND(G108*$D108,0)</f>
        <v>19752</v>
      </c>
    </row>
    <row r="109" spans="1:10" ht="12.75">
      <c r="A109" s="38" t="s">
        <v>61</v>
      </c>
      <c r="B109" s="47">
        <f>B102</f>
        <v>4.665</v>
      </c>
      <c r="D109" s="47">
        <f>D108</f>
        <v>3.0096299999999996</v>
      </c>
      <c r="E109" s="45">
        <f>D109/$B109-1</f>
        <v>-0.3548488745980708</v>
      </c>
      <c r="G109" s="40">
        <v>6958</v>
      </c>
      <c r="H109" s="40">
        <f>ROUND(G109*$B109,0)</f>
        <v>32459</v>
      </c>
      <c r="I109" s="40" t="e">
        <f>ROUND(G109*#REF!,0)</f>
        <v>#REF!</v>
      </c>
      <c r="J109" s="40">
        <f>ROUND(G109*$D109,0)</f>
        <v>20941</v>
      </c>
    </row>
    <row r="110" spans="1:10" ht="12.75">
      <c r="A110" s="38" t="s">
        <v>62</v>
      </c>
      <c r="B110" s="47">
        <f>B103</f>
        <v>4.575</v>
      </c>
      <c r="D110" s="47">
        <f>D109</f>
        <v>3.0096299999999996</v>
      </c>
      <c r="E110" s="45">
        <f>D110/$B110-1</f>
        <v>-0.3421573770491805</v>
      </c>
      <c r="G110" s="40">
        <v>4266</v>
      </c>
      <c r="H110" s="40">
        <f>ROUND(G110*$B110,0)</f>
        <v>19517</v>
      </c>
      <c r="I110" s="40" t="e">
        <f>ROUND(G110*#REF!,0)</f>
        <v>#REF!</v>
      </c>
      <c r="J110" s="40">
        <f>ROUND(G110*$D110,0)</f>
        <v>12839</v>
      </c>
    </row>
    <row r="111" spans="1:10" ht="12.75">
      <c r="A111" s="38" t="s">
        <v>63</v>
      </c>
      <c r="B111" s="47">
        <f>B104</f>
        <v>4.485</v>
      </c>
      <c r="D111" s="47">
        <f>D110</f>
        <v>3.0096299999999996</v>
      </c>
      <c r="E111" s="45">
        <f>D111/$B111-1</f>
        <v>-0.3289565217391306</v>
      </c>
      <c r="G111" s="40">
        <v>5983</v>
      </c>
      <c r="H111" s="40">
        <f>ROUND(G111*$B111,0)</f>
        <v>26834</v>
      </c>
      <c r="I111" s="40" t="e">
        <f>ROUND(G111*#REF!,0)</f>
        <v>#REF!</v>
      </c>
      <c r="J111" s="40">
        <f>ROUND(G111*$D111,0)</f>
        <v>18007</v>
      </c>
    </row>
    <row r="112" spans="1:10" ht="15">
      <c r="A112" s="38" t="s">
        <v>64</v>
      </c>
      <c r="B112" s="47">
        <f>B105</f>
        <v>4.305</v>
      </c>
      <c r="D112" s="47">
        <f>D111</f>
        <v>3.0096299999999996</v>
      </c>
      <c r="E112" s="45">
        <f>D112/$B112-1</f>
        <v>-0.30089895470383277</v>
      </c>
      <c r="G112" s="11">
        <v>7026</v>
      </c>
      <c r="H112" s="11">
        <f>ROUND(G112*$B112,0)</f>
        <v>30247</v>
      </c>
      <c r="I112" s="11" t="e">
        <f>ROUND(G112*#REF!,0)</f>
        <v>#REF!</v>
      </c>
      <c r="J112" s="11">
        <f>ROUND(G112*$D112,0)</f>
        <v>21146</v>
      </c>
    </row>
    <row r="113" spans="7:10" ht="12.75">
      <c r="G113" s="40">
        <f>SUM(G108:G112)</f>
        <v>30796</v>
      </c>
      <c r="H113" s="40">
        <f>SUM(H108:H112)</f>
        <v>109057</v>
      </c>
      <c r="I113" s="40" t="e">
        <f>SUM(I108:I112)</f>
        <v>#REF!</v>
      </c>
      <c r="J113" s="40">
        <f>SUM(J108:J112)</f>
        <v>92685</v>
      </c>
    </row>
    <row r="114" ht="12.75">
      <c r="A114" s="28" t="s">
        <v>67</v>
      </c>
    </row>
    <row r="115" spans="1:10" ht="12.75">
      <c r="A115" s="38" t="s">
        <v>60</v>
      </c>
      <c r="B115" s="38">
        <f>B108</f>
        <v>0</v>
      </c>
      <c r="D115" s="48">
        <f>D94*1.5</f>
        <v>2.81109</v>
      </c>
      <c r="E115" s="45"/>
      <c r="G115" s="40">
        <v>335</v>
      </c>
      <c r="H115" s="40">
        <f>ROUND(G115*$B115,0)</f>
        <v>0</v>
      </c>
      <c r="I115" s="40" t="e">
        <f>ROUND(G115*#REF!,0)</f>
        <v>#REF!</v>
      </c>
      <c r="J115" s="40">
        <f>ROUND(G115*$D115,0)</f>
        <v>942</v>
      </c>
    </row>
    <row r="116" spans="1:10" ht="12.75">
      <c r="A116" s="38" t="s">
        <v>61</v>
      </c>
      <c r="B116" s="47">
        <f>B109</f>
        <v>4.665</v>
      </c>
      <c r="D116" s="47">
        <f>D115</f>
        <v>2.81109</v>
      </c>
      <c r="E116" s="45">
        <f>D116/$B116-1</f>
        <v>-0.39740836012861736</v>
      </c>
      <c r="G116" s="40">
        <v>657</v>
      </c>
      <c r="H116" s="40">
        <f>ROUND(G116*$B116,0)</f>
        <v>3065</v>
      </c>
      <c r="I116" s="40" t="e">
        <f>ROUND(G116*#REF!,0)</f>
        <v>#REF!</v>
      </c>
      <c r="J116" s="40">
        <f>ROUND(G116*$D116,0)</f>
        <v>1847</v>
      </c>
    </row>
    <row r="117" spans="1:10" ht="12.75">
      <c r="A117" s="38" t="s">
        <v>62</v>
      </c>
      <c r="B117" s="47">
        <f>B110</f>
        <v>4.575</v>
      </c>
      <c r="D117" s="47">
        <f>D116</f>
        <v>2.81109</v>
      </c>
      <c r="E117" s="45">
        <f>D117/$B117-1</f>
        <v>-0.3855540983606558</v>
      </c>
      <c r="G117" s="40">
        <v>648</v>
      </c>
      <c r="H117" s="40">
        <f>ROUND(G117*$B117,0)</f>
        <v>2965</v>
      </c>
      <c r="I117" s="40" t="e">
        <f>ROUND(G117*#REF!,0)</f>
        <v>#REF!</v>
      </c>
      <c r="J117" s="40">
        <f>ROUND(G117*$D117,0)</f>
        <v>1822</v>
      </c>
    </row>
    <row r="118" spans="1:10" ht="12.75">
      <c r="A118" s="38" t="s">
        <v>63</v>
      </c>
      <c r="B118" s="47">
        <f>B111</f>
        <v>4.485</v>
      </c>
      <c r="D118" s="47">
        <f>D117</f>
        <v>2.81109</v>
      </c>
      <c r="E118" s="45">
        <f>D118/$B118-1</f>
        <v>-0.3732240802675586</v>
      </c>
      <c r="G118" s="40">
        <v>1354</v>
      </c>
      <c r="H118" s="40">
        <f>ROUND(G118*$B118,0)</f>
        <v>6073</v>
      </c>
      <c r="I118" s="40" t="e">
        <f>ROUND(G118*#REF!,0)</f>
        <v>#REF!</v>
      </c>
      <c r="J118" s="40">
        <f>ROUND(G118*$D118,0)</f>
        <v>3806</v>
      </c>
    </row>
    <row r="119" spans="1:10" ht="15">
      <c r="A119" s="38" t="s">
        <v>64</v>
      </c>
      <c r="B119" s="47">
        <f>B112</f>
        <v>4.305</v>
      </c>
      <c r="D119" s="47">
        <f>D118</f>
        <v>2.81109</v>
      </c>
      <c r="E119" s="45">
        <f>D119/$B119-1</f>
        <v>-0.34701742160278737</v>
      </c>
      <c r="G119" s="11">
        <v>6229</v>
      </c>
      <c r="H119" s="11">
        <f>ROUND(G119*$B119,0)</f>
        <v>26816</v>
      </c>
      <c r="I119" s="11" t="e">
        <f>ROUND(G119*#REF!,0)</f>
        <v>#REF!</v>
      </c>
      <c r="J119" s="11">
        <f>ROUND(G119*$D119,0)</f>
        <v>17510</v>
      </c>
    </row>
    <row r="120" spans="7:10" ht="12.75">
      <c r="G120" s="40">
        <f>SUM(G115:G119)</f>
        <v>9223</v>
      </c>
      <c r="H120" s="40">
        <f>SUM(H115:H119)</f>
        <v>38919</v>
      </c>
      <c r="I120" s="40" t="e">
        <f>SUM(I115:I119)</f>
        <v>#REF!</v>
      </c>
      <c r="J120" s="40">
        <f>SUM(J115:J119)</f>
        <v>25927</v>
      </c>
    </row>
    <row r="121" spans="1:2" ht="12.75">
      <c r="A121" s="41"/>
      <c r="B121" s="25" t="s">
        <v>68</v>
      </c>
    </row>
    <row r="122" spans="1:10" ht="15">
      <c r="A122" s="41"/>
      <c r="D122" s="58" t="s">
        <v>41</v>
      </c>
      <c r="E122" s="58"/>
      <c r="G122" s="43"/>
      <c r="H122" s="42" t="s">
        <v>38</v>
      </c>
      <c r="I122" s="42" t="s">
        <v>88</v>
      </c>
      <c r="J122" s="42" t="s">
        <v>17</v>
      </c>
    </row>
    <row r="123" spans="1:10" ht="15">
      <c r="A123" s="20"/>
      <c r="B123" s="20" t="s">
        <v>38</v>
      </c>
      <c r="C123" s="20"/>
      <c r="D123" s="20" t="s">
        <v>42</v>
      </c>
      <c r="E123" s="20" t="s">
        <v>39</v>
      </c>
      <c r="G123" s="20" t="s">
        <v>87</v>
      </c>
      <c r="H123" s="20" t="s">
        <v>16</v>
      </c>
      <c r="I123" s="20" t="s">
        <v>16</v>
      </c>
      <c r="J123" s="20" t="s">
        <v>16</v>
      </c>
    </row>
    <row r="124" spans="1:5" ht="15">
      <c r="A124" s="28" t="s">
        <v>7</v>
      </c>
      <c r="B124" s="20"/>
      <c r="C124" s="20"/>
      <c r="D124" s="20"/>
      <c r="E124" s="20"/>
    </row>
    <row r="125" spans="1:10" ht="12.75">
      <c r="A125" s="38" t="s">
        <v>60</v>
      </c>
      <c r="B125" s="47">
        <v>0</v>
      </c>
      <c r="D125" s="48">
        <f>D91</f>
        <v>2.09087</v>
      </c>
      <c r="E125" s="45"/>
      <c r="G125" s="40">
        <v>11913</v>
      </c>
      <c r="H125" s="40">
        <f>ROUND(G125*$B125,0)</f>
        <v>0</v>
      </c>
      <c r="I125" s="40" t="e">
        <f>ROUND(G125*#REF!,0)</f>
        <v>#REF!</v>
      </c>
      <c r="J125" s="40">
        <f>ROUND(G125*$D125,0)</f>
        <v>24909</v>
      </c>
    </row>
    <row r="126" spans="1:10" ht="12.75">
      <c r="A126" s="38" t="s">
        <v>69</v>
      </c>
      <c r="B126" s="47">
        <v>1.7625</v>
      </c>
      <c r="D126" s="47">
        <f>D125</f>
        <v>2.09087</v>
      </c>
      <c r="E126" s="45">
        <f>D126/$B126-1</f>
        <v>0.18630921985815596</v>
      </c>
      <c r="G126" s="40">
        <v>4400</v>
      </c>
      <c r="H126" s="40">
        <f>ROUND(G126*$B126,0)</f>
        <v>7755</v>
      </c>
      <c r="I126" s="40" t="e">
        <f>ROUND(G126*#REF!,0)</f>
        <v>#REF!</v>
      </c>
      <c r="J126" s="40">
        <f>ROUND(G126*$D126,0)</f>
        <v>9200</v>
      </c>
    </row>
    <row r="127" spans="1:10" ht="15">
      <c r="A127" s="38" t="s">
        <v>70</v>
      </c>
      <c r="B127" s="47">
        <v>1.275</v>
      </c>
      <c r="D127" s="47">
        <f>D126</f>
        <v>2.09087</v>
      </c>
      <c r="E127" s="45">
        <f>D127/$B127-1</f>
        <v>0.6398980392156861</v>
      </c>
      <c r="G127" s="11">
        <v>7616</v>
      </c>
      <c r="H127" s="11">
        <f>ROUND(G127*$B127,0)</f>
        <v>9710</v>
      </c>
      <c r="I127" s="11" t="e">
        <f>ROUND(G127*#REF!,0)</f>
        <v>#REF!</v>
      </c>
      <c r="J127" s="11">
        <f>ROUND(G127*$D127,0)</f>
        <v>15924</v>
      </c>
    </row>
    <row r="128" spans="7:10" ht="12.75">
      <c r="G128" s="40">
        <f>SUM(G123:G127)</f>
        <v>23929</v>
      </c>
      <c r="H128" s="40">
        <f>SUM(H123:H127)</f>
        <v>17465</v>
      </c>
      <c r="I128" s="40" t="e">
        <f>SUM(I123:I127)</f>
        <v>#REF!</v>
      </c>
      <c r="J128" s="40">
        <f>SUM(J123:J127)</f>
        <v>50033</v>
      </c>
    </row>
    <row r="129" spans="1:2" ht="12.75">
      <c r="A129" s="41"/>
      <c r="B129" s="25" t="s">
        <v>71</v>
      </c>
    </row>
    <row r="130" spans="1:10" ht="15">
      <c r="A130" s="41"/>
      <c r="D130" s="58" t="s">
        <v>41</v>
      </c>
      <c r="E130" s="58"/>
      <c r="G130" s="43"/>
      <c r="H130" s="42" t="s">
        <v>38</v>
      </c>
      <c r="I130" s="42" t="s">
        <v>88</v>
      </c>
      <c r="J130" s="42" t="s">
        <v>17</v>
      </c>
    </row>
    <row r="131" spans="1:10" ht="15">
      <c r="A131" s="20"/>
      <c r="B131" s="20" t="s">
        <v>38</v>
      </c>
      <c r="C131" s="20"/>
      <c r="D131" s="20" t="s">
        <v>42</v>
      </c>
      <c r="E131" s="20" t="s">
        <v>39</v>
      </c>
      <c r="G131" s="20" t="s">
        <v>87</v>
      </c>
      <c r="H131" s="20" t="s">
        <v>16</v>
      </c>
      <c r="I131" s="20" t="s">
        <v>16</v>
      </c>
      <c r="J131" s="20" t="s">
        <v>16</v>
      </c>
    </row>
    <row r="132" spans="1:5" ht="15">
      <c r="A132" s="28" t="s">
        <v>79</v>
      </c>
      <c r="B132" s="20"/>
      <c r="C132" s="20"/>
      <c r="D132" s="20"/>
      <c r="E132" s="20"/>
    </row>
    <row r="133" spans="1:10" ht="12.75">
      <c r="A133" s="41" t="s">
        <v>72</v>
      </c>
      <c r="B133" s="47">
        <v>0</v>
      </c>
      <c r="D133" s="48">
        <f>D91*1</f>
        <v>2.09087</v>
      </c>
      <c r="E133" s="45"/>
      <c r="G133" s="40">
        <f>17920+35</f>
        <v>17955</v>
      </c>
      <c r="H133" s="40">
        <f aca="true" t="shared" si="44" ref="H133:H139">ROUND(G133*$B133,0)</f>
        <v>0</v>
      </c>
      <c r="I133" s="40" t="e">
        <f>ROUND(G133*#REF!,0)</f>
        <v>#REF!</v>
      </c>
      <c r="J133" s="40">
        <f aca="true" t="shared" si="45" ref="J133:J139">ROUND(G133*$D133,0)</f>
        <v>37542</v>
      </c>
    </row>
    <row r="134" spans="1:10" ht="12.75">
      <c r="A134" s="41" t="s">
        <v>73</v>
      </c>
      <c r="B134" s="47">
        <v>4.695</v>
      </c>
      <c r="D134" s="47">
        <f aca="true" t="shared" si="46" ref="D134:D139">D133</f>
        <v>2.09087</v>
      </c>
      <c r="E134" s="45">
        <f aca="true" t="shared" si="47" ref="E134:E139">D134/$B134-1</f>
        <v>-0.5546602768903088</v>
      </c>
      <c r="G134" s="40">
        <f>5724+4</f>
        <v>5728</v>
      </c>
      <c r="H134" s="40">
        <f t="shared" si="44"/>
        <v>26893</v>
      </c>
      <c r="I134" s="40" t="e">
        <f>ROUND(G134*#REF!,0)</f>
        <v>#REF!</v>
      </c>
      <c r="J134" s="40">
        <f t="shared" si="45"/>
        <v>11977</v>
      </c>
    </row>
    <row r="135" spans="1:10" ht="12.75">
      <c r="A135" s="41" t="s">
        <v>74</v>
      </c>
      <c r="B135" s="47">
        <v>3.885</v>
      </c>
      <c r="D135" s="47">
        <f t="shared" si="46"/>
        <v>2.09087</v>
      </c>
      <c r="E135" s="45">
        <f t="shared" si="47"/>
        <v>-0.4618095238095238</v>
      </c>
      <c r="G135" s="40">
        <v>6019</v>
      </c>
      <c r="H135" s="40">
        <f t="shared" si="44"/>
        <v>23384</v>
      </c>
      <c r="I135" s="40" t="e">
        <f>ROUND(G135*#REF!,0)</f>
        <v>#REF!</v>
      </c>
      <c r="J135" s="40">
        <f t="shared" si="45"/>
        <v>12585</v>
      </c>
    </row>
    <row r="136" spans="1:10" ht="12.75">
      <c r="A136" s="41" t="s">
        <v>75</v>
      </c>
      <c r="B136" s="47">
        <v>3.15</v>
      </c>
      <c r="D136" s="47">
        <f t="shared" si="46"/>
        <v>2.09087</v>
      </c>
      <c r="E136" s="45">
        <f t="shared" si="47"/>
        <v>-0.3362317460317461</v>
      </c>
      <c r="G136" s="40">
        <v>3773</v>
      </c>
      <c r="H136" s="40">
        <f t="shared" si="44"/>
        <v>11885</v>
      </c>
      <c r="I136" s="40" t="e">
        <f>ROUND(G136*#REF!,0)</f>
        <v>#REF!</v>
      </c>
      <c r="J136" s="40">
        <f t="shared" si="45"/>
        <v>7889</v>
      </c>
    </row>
    <row r="137" spans="1:10" ht="12.75">
      <c r="A137" s="41" t="s">
        <v>76</v>
      </c>
      <c r="B137" s="47">
        <v>2.565</v>
      </c>
      <c r="D137" s="47">
        <f t="shared" si="46"/>
        <v>2.09087</v>
      </c>
      <c r="E137" s="45">
        <f t="shared" si="47"/>
        <v>-0.1848460038986356</v>
      </c>
      <c r="G137" s="40">
        <v>1441</v>
      </c>
      <c r="H137" s="40">
        <f t="shared" si="44"/>
        <v>3696</v>
      </c>
      <c r="I137" s="40" t="e">
        <f>ROUND(G137*#REF!,0)</f>
        <v>#REF!</v>
      </c>
      <c r="J137" s="40">
        <f t="shared" si="45"/>
        <v>3013</v>
      </c>
    </row>
    <row r="138" spans="1:10" ht="12.75">
      <c r="A138" s="41" t="s">
        <v>77</v>
      </c>
      <c r="B138" s="47">
        <v>2.325</v>
      </c>
      <c r="D138" s="47">
        <f t="shared" si="46"/>
        <v>2.09087</v>
      </c>
      <c r="E138" s="45">
        <f t="shared" si="47"/>
        <v>-0.10070107526881733</v>
      </c>
      <c r="G138" s="40">
        <v>1087</v>
      </c>
      <c r="H138" s="40">
        <f t="shared" si="44"/>
        <v>2527</v>
      </c>
      <c r="I138" s="40" t="e">
        <f>ROUND(G138*#REF!,0)</f>
        <v>#REF!</v>
      </c>
      <c r="J138" s="40">
        <f t="shared" si="45"/>
        <v>2273</v>
      </c>
    </row>
    <row r="139" spans="1:10" ht="15">
      <c r="A139" s="41" t="s">
        <v>78</v>
      </c>
      <c r="B139" s="47">
        <v>2.295</v>
      </c>
      <c r="D139" s="47">
        <f t="shared" si="46"/>
        <v>2.09087</v>
      </c>
      <c r="E139" s="45">
        <f t="shared" si="47"/>
        <v>-0.08894553376906322</v>
      </c>
      <c r="G139" s="11">
        <v>712</v>
      </c>
      <c r="H139" s="11">
        <f t="shared" si="44"/>
        <v>1634</v>
      </c>
      <c r="I139" s="11" t="e">
        <f>ROUND(G139*#REF!,0)</f>
        <v>#REF!</v>
      </c>
      <c r="J139" s="11">
        <f t="shared" si="45"/>
        <v>1489</v>
      </c>
    </row>
    <row r="140" spans="7:10" ht="12.75">
      <c r="G140" s="40">
        <f>SUM(G133:G139)</f>
        <v>36715</v>
      </c>
      <c r="H140" s="40">
        <f>SUM(H133:H139)</f>
        <v>70019</v>
      </c>
      <c r="I140" s="40" t="e">
        <f>SUM(I133:I139)</f>
        <v>#REF!</v>
      </c>
      <c r="J140" s="40">
        <f>SUM(J133:J139)</f>
        <v>76768</v>
      </c>
    </row>
    <row r="141" ht="12.75">
      <c r="A141" s="29" t="s">
        <v>80</v>
      </c>
    </row>
    <row r="142" spans="1:10" ht="12.75">
      <c r="A142" s="41" t="s">
        <v>81</v>
      </c>
      <c r="B142" s="47">
        <v>0</v>
      </c>
      <c r="D142" s="47">
        <f>D139</f>
        <v>2.09087</v>
      </c>
      <c r="E142" s="45"/>
      <c r="G142" s="40">
        <v>587</v>
      </c>
      <c r="H142" s="40">
        <f>ROUND(G142*$B142,0)</f>
        <v>0</v>
      </c>
      <c r="I142" s="40" t="e">
        <f>ROUND(G142*#REF!,0)</f>
        <v>#REF!</v>
      </c>
      <c r="J142" s="40">
        <f>ROUND(G142*$D142,0)</f>
        <v>1227</v>
      </c>
    </row>
    <row r="143" spans="1:10" ht="12.75">
      <c r="A143" s="41" t="s">
        <v>74</v>
      </c>
      <c r="B143" s="47">
        <v>4.53</v>
      </c>
      <c r="D143" s="47">
        <f>D142</f>
        <v>2.09087</v>
      </c>
      <c r="E143" s="45">
        <f>D143/$B143-1</f>
        <v>-0.5384392935982341</v>
      </c>
      <c r="G143" s="40">
        <v>85</v>
      </c>
      <c r="H143" s="40">
        <f>ROUND(G143*$B143,0)</f>
        <v>385</v>
      </c>
      <c r="I143" s="40" t="e">
        <f>ROUND(G143*#REF!,0)</f>
        <v>#REF!</v>
      </c>
      <c r="J143" s="40">
        <f>ROUND(G143*$D143,0)</f>
        <v>178</v>
      </c>
    </row>
    <row r="144" spans="1:10" ht="15">
      <c r="A144" s="41" t="s">
        <v>82</v>
      </c>
      <c r="B144" s="47">
        <v>3.4125</v>
      </c>
      <c r="D144" s="47">
        <f>D143</f>
        <v>2.09087</v>
      </c>
      <c r="E144" s="45">
        <f>D144/$B144-1</f>
        <v>-0.38729084249084256</v>
      </c>
      <c r="G144" s="11">
        <v>112</v>
      </c>
      <c r="H144" s="11">
        <f>ROUND(G144*$B144,0)</f>
        <v>382</v>
      </c>
      <c r="I144" s="11" t="e">
        <f>ROUND(G144*#REF!,0)</f>
        <v>#REF!</v>
      </c>
      <c r="J144" s="11">
        <f>ROUND(G144*$D144,0)</f>
        <v>234</v>
      </c>
    </row>
    <row r="145" spans="7:10" ht="12.75">
      <c r="G145" s="40">
        <f>SUM(G142:G144)</f>
        <v>784</v>
      </c>
      <c r="H145" s="40">
        <f>SUM(H142:H144)</f>
        <v>767</v>
      </c>
      <c r="I145" s="40" t="e">
        <f>SUM(I142:I144)</f>
        <v>#REF!</v>
      </c>
      <c r="J145" s="40">
        <f>SUM(J142:J144)</f>
        <v>1639</v>
      </c>
    </row>
    <row r="146" spans="1:10" ht="15">
      <c r="A146" s="41"/>
      <c r="D146" s="58" t="s">
        <v>41</v>
      </c>
      <c r="E146" s="58"/>
      <c r="G146" s="43"/>
      <c r="H146" s="42" t="s">
        <v>38</v>
      </c>
      <c r="I146" s="42" t="s">
        <v>88</v>
      </c>
      <c r="J146" s="42" t="s">
        <v>17</v>
      </c>
    </row>
    <row r="147" spans="1:10" ht="15">
      <c r="A147" s="20"/>
      <c r="B147" s="20" t="s">
        <v>38</v>
      </c>
      <c r="C147" s="20"/>
      <c r="D147" s="20" t="s">
        <v>42</v>
      </c>
      <c r="E147" s="20" t="s">
        <v>39</v>
      </c>
      <c r="G147" s="20" t="s">
        <v>87</v>
      </c>
      <c r="H147" s="20" t="s">
        <v>16</v>
      </c>
      <c r="I147" s="20" t="s">
        <v>16</v>
      </c>
      <c r="J147" s="20" t="s">
        <v>16</v>
      </c>
    </row>
    <row r="148" ht="12.75">
      <c r="A148" s="29" t="s">
        <v>83</v>
      </c>
    </row>
    <row r="149" spans="1:10" ht="12.75">
      <c r="A149" s="38" t="s">
        <v>60</v>
      </c>
      <c r="B149" s="47">
        <v>0</v>
      </c>
      <c r="D149" s="47">
        <f>D142</f>
        <v>2.09087</v>
      </c>
      <c r="E149" s="45"/>
      <c r="G149" s="40">
        <v>15799</v>
      </c>
      <c r="H149" s="40">
        <f>ROUND(G149*$B149,0)</f>
        <v>0</v>
      </c>
      <c r="I149" s="40" t="e">
        <f>ROUND(G149*#REF!,0)</f>
        <v>#REF!</v>
      </c>
      <c r="J149" s="40">
        <f>ROUND(G149*$D149,0)</f>
        <v>33034</v>
      </c>
    </row>
    <row r="150" spans="1:10" ht="12.75">
      <c r="A150" s="38" t="s">
        <v>69</v>
      </c>
      <c r="B150" s="47">
        <v>5.67</v>
      </c>
      <c r="D150" s="47">
        <f>D149</f>
        <v>2.09087</v>
      </c>
      <c r="E150" s="45">
        <f>D150/$B150-1</f>
        <v>-0.6312398589065256</v>
      </c>
      <c r="G150" s="40">
        <v>10017</v>
      </c>
      <c r="H150" s="40">
        <f>ROUND(G150*$B150,0)</f>
        <v>56796</v>
      </c>
      <c r="I150" s="40" t="e">
        <f>ROUND(G150*#REF!,0)</f>
        <v>#REF!</v>
      </c>
      <c r="J150" s="40">
        <f>ROUND(G150*$D150,0)</f>
        <v>20944</v>
      </c>
    </row>
    <row r="151" spans="1:10" ht="15">
      <c r="A151" s="38" t="s">
        <v>70</v>
      </c>
      <c r="B151" s="47">
        <v>3.4125</v>
      </c>
      <c r="D151" s="47">
        <f>D150</f>
        <v>2.09087</v>
      </c>
      <c r="E151" s="45">
        <f>D151/$B151-1</f>
        <v>-0.38729084249084256</v>
      </c>
      <c r="G151" s="11">
        <v>14090</v>
      </c>
      <c r="H151" s="11">
        <f>ROUND(G151*$B151,0)</f>
        <v>48082</v>
      </c>
      <c r="I151" s="11" t="e">
        <f>ROUND(G151*#REF!,0)</f>
        <v>#REF!</v>
      </c>
      <c r="J151" s="11">
        <f>ROUND(G151*$D151,0)</f>
        <v>29460</v>
      </c>
    </row>
    <row r="152" spans="4:10" ht="12.75">
      <c r="D152" s="47"/>
      <c r="G152" s="40">
        <f>SUM(G149:G151)</f>
        <v>39906</v>
      </c>
      <c r="H152" s="40">
        <f>SUM(H149:H151)</f>
        <v>104878</v>
      </c>
      <c r="I152" s="40" t="e">
        <f>SUM(I149:I151)</f>
        <v>#REF!</v>
      </c>
      <c r="J152" s="40">
        <f>SUM(J149:J151)</f>
        <v>83438</v>
      </c>
    </row>
    <row r="153" spans="1:5" ht="15">
      <c r="A153" s="28" t="s">
        <v>97</v>
      </c>
      <c r="B153" s="20"/>
      <c r="C153" s="20"/>
      <c r="D153" s="47"/>
      <c r="E153" s="20"/>
    </row>
    <row r="154" spans="1:10" ht="12.75">
      <c r="A154" s="41" t="s">
        <v>72</v>
      </c>
      <c r="B154" s="47">
        <v>0</v>
      </c>
      <c r="D154" s="47">
        <f>D149</f>
        <v>2.09087</v>
      </c>
      <c r="E154" s="45"/>
      <c r="G154" s="40">
        <v>35</v>
      </c>
      <c r="H154" s="40">
        <f>ROUND(G154*$B154,0)</f>
        <v>0</v>
      </c>
      <c r="I154" s="40" t="e">
        <f>ROUND(G154*#REF!,0)</f>
        <v>#REF!</v>
      </c>
      <c r="J154" s="40">
        <f>ROUND(G154*$D154,0)</f>
        <v>73</v>
      </c>
    </row>
    <row r="155" spans="1:10" ht="12.75">
      <c r="A155" s="41" t="s">
        <v>98</v>
      </c>
      <c r="B155" s="47">
        <v>4.665</v>
      </c>
      <c r="D155" s="47">
        <f>D154</f>
        <v>2.09087</v>
      </c>
      <c r="E155" s="45">
        <f>D155/$B155-1</f>
        <v>-0.551796355841372</v>
      </c>
      <c r="G155" s="40">
        <v>4</v>
      </c>
      <c r="H155" s="40">
        <f>ROUND(G155*$B155,0)</f>
        <v>19</v>
      </c>
      <c r="I155" s="40" t="e">
        <f>ROUND(G155*#REF!,0)</f>
        <v>#REF!</v>
      </c>
      <c r="J155" s="40">
        <f>ROUND(G155*$D155,0)</f>
        <v>8</v>
      </c>
    </row>
    <row r="156" spans="1:10" ht="12.75">
      <c r="A156" s="41" t="s">
        <v>98</v>
      </c>
      <c r="B156" s="47">
        <v>4.575</v>
      </c>
      <c r="D156" s="47">
        <f>D155</f>
        <v>2.09087</v>
      </c>
      <c r="E156" s="45">
        <f>D156/$B156-1</f>
        <v>-0.5429792349726776</v>
      </c>
      <c r="G156" s="40"/>
      <c r="H156" s="40">
        <f>ROUND(G156*$B156,0)</f>
        <v>0</v>
      </c>
      <c r="I156" s="40" t="e">
        <f>ROUND(G156*#REF!,0)</f>
        <v>#REF!</v>
      </c>
      <c r="J156" s="40">
        <f>ROUND(G156*$D156,0)</f>
        <v>0</v>
      </c>
    </row>
    <row r="157" spans="1:10" ht="12.75">
      <c r="A157" s="41" t="s">
        <v>76</v>
      </c>
      <c r="B157" s="47">
        <v>4.485</v>
      </c>
      <c r="D157" s="47">
        <f>D156</f>
        <v>2.09087</v>
      </c>
      <c r="E157" s="45">
        <f>D157/$B157-1</f>
        <v>-0.5338082497212933</v>
      </c>
      <c r="G157" s="40"/>
      <c r="H157" s="40">
        <f>ROUND(G157*$B157,0)</f>
        <v>0</v>
      </c>
      <c r="I157" s="40" t="e">
        <f>ROUND(G157*#REF!,0)</f>
        <v>#REF!</v>
      </c>
      <c r="J157" s="40">
        <f>ROUND(G157*$D157,0)</f>
        <v>0</v>
      </c>
    </row>
    <row r="158" spans="1:10" ht="15">
      <c r="A158" s="41" t="s">
        <v>99</v>
      </c>
      <c r="B158" s="47">
        <v>4.305</v>
      </c>
      <c r="D158" s="47">
        <f>D157</f>
        <v>2.09087</v>
      </c>
      <c r="E158" s="45">
        <f>D158/$B158-1</f>
        <v>-0.5143159117305459</v>
      </c>
      <c r="G158" s="11"/>
      <c r="H158" s="11">
        <f>ROUND(G158*$B158,0)</f>
        <v>0</v>
      </c>
      <c r="I158" s="11" t="e">
        <f>ROUND(G158*#REF!,0)</f>
        <v>#REF!</v>
      </c>
      <c r="J158" s="11">
        <f>ROUND(G158*$D158,0)</f>
        <v>0</v>
      </c>
    </row>
    <row r="159" spans="4:10" ht="12.75">
      <c r="D159" s="47"/>
      <c r="G159" s="40">
        <f>SUM(G154:G158)</f>
        <v>39</v>
      </c>
      <c r="H159" s="40">
        <f>SUM(H154:H158)</f>
        <v>19</v>
      </c>
      <c r="I159" s="40" t="e">
        <f>SUM(I154:I158)</f>
        <v>#REF!</v>
      </c>
      <c r="J159" s="40">
        <f>SUM(J154:J158)</f>
        <v>81</v>
      </c>
    </row>
    <row r="160" spans="1:4" ht="15">
      <c r="A160" s="28" t="s">
        <v>84</v>
      </c>
      <c r="B160" s="20"/>
      <c r="D160" s="47"/>
    </row>
    <row r="161" spans="1:10" ht="12.75">
      <c r="A161" s="41" t="s">
        <v>72</v>
      </c>
      <c r="B161" s="47">
        <v>0</v>
      </c>
      <c r="D161" s="48">
        <f>D92*1</f>
        <v>2.00642</v>
      </c>
      <c r="G161" s="40">
        <v>6069</v>
      </c>
      <c r="H161" s="40">
        <f aca="true" t="shared" si="48" ref="H161:H167">ROUND(G161*$B161,0)</f>
        <v>0</v>
      </c>
      <c r="I161" s="40" t="e">
        <f>ROUND(G161*#REF!,0)</f>
        <v>#REF!</v>
      </c>
      <c r="J161" s="40">
        <f aca="true" t="shared" si="49" ref="J161:J167">ROUND(G161*$D161,0)</f>
        <v>12177</v>
      </c>
    </row>
    <row r="162" spans="1:10" ht="12.75">
      <c r="A162" s="41" t="s">
        <v>73</v>
      </c>
      <c r="B162" s="47">
        <v>4.695</v>
      </c>
      <c r="D162" s="47">
        <f aca="true" t="shared" si="50" ref="D162:D167">D161</f>
        <v>2.00642</v>
      </c>
      <c r="E162" s="45">
        <f aca="true" t="shared" si="51" ref="E162:E167">D162/$B162-1</f>
        <v>-0.5726474973375932</v>
      </c>
      <c r="G162" s="40">
        <v>2170</v>
      </c>
      <c r="H162" s="40">
        <f t="shared" si="48"/>
        <v>10188</v>
      </c>
      <c r="I162" s="40" t="e">
        <f>ROUND(G162*#REF!,0)</f>
        <v>#REF!</v>
      </c>
      <c r="J162" s="40">
        <f t="shared" si="49"/>
        <v>4354</v>
      </c>
    </row>
    <row r="163" spans="1:10" ht="12.75">
      <c r="A163" s="41" t="s">
        <v>74</v>
      </c>
      <c r="B163" s="47">
        <v>3.885</v>
      </c>
      <c r="D163" s="47">
        <f t="shared" si="50"/>
        <v>2.00642</v>
      </c>
      <c r="E163" s="45">
        <f t="shared" si="51"/>
        <v>-0.48354697554697557</v>
      </c>
      <c r="G163" s="40">
        <v>3309</v>
      </c>
      <c r="H163" s="40">
        <f t="shared" si="48"/>
        <v>12855</v>
      </c>
      <c r="I163" s="40" t="e">
        <f>ROUND(G163*#REF!,0)</f>
        <v>#REF!</v>
      </c>
      <c r="J163" s="40">
        <f t="shared" si="49"/>
        <v>6639</v>
      </c>
    </row>
    <row r="164" spans="1:10" ht="12.75">
      <c r="A164" s="41" t="s">
        <v>75</v>
      </c>
      <c r="B164" s="47">
        <v>3.15</v>
      </c>
      <c r="D164" s="47">
        <f t="shared" si="50"/>
        <v>2.00642</v>
      </c>
      <c r="E164" s="45">
        <f t="shared" si="51"/>
        <v>-0.36304126984126983</v>
      </c>
      <c r="G164" s="40">
        <v>5142</v>
      </c>
      <c r="H164" s="40">
        <f t="shared" si="48"/>
        <v>16197</v>
      </c>
      <c r="I164" s="40" t="e">
        <f>ROUND(G164*#REF!,0)</f>
        <v>#REF!</v>
      </c>
      <c r="J164" s="40">
        <f t="shared" si="49"/>
        <v>10317</v>
      </c>
    </row>
    <row r="165" spans="1:10" ht="12.75">
      <c r="A165" s="41" t="s">
        <v>76</v>
      </c>
      <c r="B165" s="47">
        <v>2.565</v>
      </c>
      <c r="D165" s="47">
        <f t="shared" si="50"/>
        <v>2.00642</v>
      </c>
      <c r="E165" s="45">
        <f t="shared" si="51"/>
        <v>-0.2177699805068226</v>
      </c>
      <c r="G165" s="40">
        <v>6190</v>
      </c>
      <c r="H165" s="40">
        <f t="shared" si="48"/>
        <v>15877</v>
      </c>
      <c r="I165" s="40" t="e">
        <f>ROUND(G165*#REF!,0)</f>
        <v>#REF!</v>
      </c>
      <c r="J165" s="40">
        <f t="shared" si="49"/>
        <v>12420</v>
      </c>
    </row>
    <row r="166" spans="1:10" ht="12.75">
      <c r="A166" s="41" t="s">
        <v>77</v>
      </c>
      <c r="B166" s="47">
        <v>2.325</v>
      </c>
      <c r="D166" s="47">
        <f t="shared" si="50"/>
        <v>2.00642</v>
      </c>
      <c r="E166" s="45">
        <f t="shared" si="51"/>
        <v>-0.13702365591397858</v>
      </c>
      <c r="G166" s="40">
        <v>7831</v>
      </c>
      <c r="H166" s="40">
        <f t="shared" si="48"/>
        <v>18207</v>
      </c>
      <c r="I166" s="40" t="e">
        <f>ROUND(G166*#REF!,0)</f>
        <v>#REF!</v>
      </c>
      <c r="J166" s="40">
        <f t="shared" si="49"/>
        <v>15712</v>
      </c>
    </row>
    <row r="167" spans="1:10" ht="15">
      <c r="A167" s="41" t="s">
        <v>78</v>
      </c>
      <c r="B167" s="47">
        <v>2.295</v>
      </c>
      <c r="D167" s="47">
        <f t="shared" si="50"/>
        <v>2.00642</v>
      </c>
      <c r="E167" s="45">
        <f t="shared" si="51"/>
        <v>-0.12574291938997828</v>
      </c>
      <c r="G167" s="11">
        <v>39755</v>
      </c>
      <c r="H167" s="11">
        <f t="shared" si="48"/>
        <v>91238</v>
      </c>
      <c r="I167" s="11" t="e">
        <f>ROUND(G167*#REF!,0)</f>
        <v>#REF!</v>
      </c>
      <c r="J167" s="11">
        <f t="shared" si="49"/>
        <v>79765</v>
      </c>
    </row>
    <row r="168" spans="4:10" ht="12.75">
      <c r="D168" s="47"/>
      <c r="G168" s="40">
        <f>SUM(G161:G167)</f>
        <v>70466</v>
      </c>
      <c r="H168" s="40">
        <f>SUM(H161:H167)</f>
        <v>164562</v>
      </c>
      <c r="I168" s="40" t="e">
        <f>SUM(I161:I167)</f>
        <v>#REF!</v>
      </c>
      <c r="J168" s="40">
        <f>SUM(J161:J167)</f>
        <v>141384</v>
      </c>
    </row>
    <row r="169" spans="1:4" ht="12.75">
      <c r="A169" s="29" t="s">
        <v>85</v>
      </c>
      <c r="D169" s="47"/>
    </row>
    <row r="170" spans="1:10" ht="12.75">
      <c r="A170" s="41" t="s">
        <v>81</v>
      </c>
      <c r="B170" s="47">
        <v>0</v>
      </c>
      <c r="D170" s="47">
        <f>D167</f>
        <v>2.00642</v>
      </c>
      <c r="G170" s="40">
        <v>1037</v>
      </c>
      <c r="H170" s="40">
        <f>ROUND(G170*$B170,0)</f>
        <v>0</v>
      </c>
      <c r="I170" s="40" t="e">
        <f>ROUND(G170*#REF!,0)</f>
        <v>#REF!</v>
      </c>
      <c r="J170" s="40">
        <f>ROUND(G170*$D170,0)</f>
        <v>2081</v>
      </c>
    </row>
    <row r="171" spans="1:10" ht="12.75">
      <c r="A171" s="41" t="s">
        <v>74</v>
      </c>
      <c r="B171" s="47">
        <v>4.53</v>
      </c>
      <c r="D171" s="47">
        <f>D170</f>
        <v>2.00642</v>
      </c>
      <c r="E171" s="45">
        <f>D171/$B171-1</f>
        <v>-0.5570816777041943</v>
      </c>
      <c r="G171" s="40">
        <v>280</v>
      </c>
      <c r="H171" s="40">
        <f>ROUND(G171*$B171,0)</f>
        <v>1268</v>
      </c>
      <c r="I171" s="40" t="e">
        <f>ROUND(G171*#REF!,0)</f>
        <v>#REF!</v>
      </c>
      <c r="J171" s="40">
        <f>ROUND(G171*$D171,0)</f>
        <v>562</v>
      </c>
    </row>
    <row r="172" spans="1:10" ht="15">
      <c r="A172" s="41" t="s">
        <v>82</v>
      </c>
      <c r="B172" s="47">
        <v>3.4125</v>
      </c>
      <c r="D172" s="47">
        <f>D171</f>
        <v>2.00642</v>
      </c>
      <c r="E172" s="45">
        <f>D172/$B172-1</f>
        <v>-0.4120380952380953</v>
      </c>
      <c r="G172" s="11">
        <v>469</v>
      </c>
      <c r="H172" s="11">
        <f>ROUND(G172*$B172,0)</f>
        <v>1600</v>
      </c>
      <c r="I172" s="11" t="e">
        <f>ROUND(G172*#REF!,0)</f>
        <v>#REF!</v>
      </c>
      <c r="J172" s="11">
        <f>ROUND(G172*$D172,0)</f>
        <v>941</v>
      </c>
    </row>
    <row r="173" spans="4:10" ht="12.75">
      <c r="D173" s="47"/>
      <c r="G173" s="40">
        <f>SUM(G170:G172)</f>
        <v>1786</v>
      </c>
      <c r="H173" s="40">
        <f>SUM(H170:H172)</f>
        <v>2868</v>
      </c>
      <c r="I173" s="40" t="e">
        <f>SUM(I170:I172)</f>
        <v>#REF!</v>
      </c>
      <c r="J173" s="40">
        <f>SUM(J170:J172)</f>
        <v>3584</v>
      </c>
    </row>
    <row r="174" spans="1:4" ht="12.75">
      <c r="A174" s="29" t="s">
        <v>86</v>
      </c>
      <c r="D174" s="47"/>
    </row>
    <row r="175" spans="1:10" ht="12.75">
      <c r="A175" s="38" t="s">
        <v>60</v>
      </c>
      <c r="B175" s="47">
        <v>0</v>
      </c>
      <c r="D175" s="47">
        <f>D172</f>
        <v>2.00642</v>
      </c>
      <c r="G175" s="40">
        <v>667</v>
      </c>
      <c r="H175" s="40">
        <f>ROUND(G175*$B175,0)</f>
        <v>0</v>
      </c>
      <c r="I175" s="40" t="e">
        <f>ROUND(G175*#REF!,0)</f>
        <v>#REF!</v>
      </c>
      <c r="J175" s="40">
        <f>ROUND(G175*$D175,0)</f>
        <v>1338</v>
      </c>
    </row>
    <row r="176" spans="1:10" ht="12.75">
      <c r="A176" s="38" t="s">
        <v>69</v>
      </c>
      <c r="B176" s="47">
        <v>5.67</v>
      </c>
      <c r="D176" s="47">
        <f>D175</f>
        <v>2.00642</v>
      </c>
      <c r="E176" s="45">
        <f>D176/$B176-1</f>
        <v>-0.6461340388007055</v>
      </c>
      <c r="G176" s="40">
        <v>351</v>
      </c>
      <c r="H176" s="40">
        <f>ROUND(G176*$B176,0)</f>
        <v>1990</v>
      </c>
      <c r="I176" s="40" t="e">
        <f>ROUND(G176*#REF!,0)</f>
        <v>#REF!</v>
      </c>
      <c r="J176" s="40">
        <f>ROUND(G176*$D176,0)</f>
        <v>704</v>
      </c>
    </row>
    <row r="177" spans="1:10" ht="15">
      <c r="A177" s="38" t="s">
        <v>70</v>
      </c>
      <c r="B177" s="47">
        <v>3.4125</v>
      </c>
      <c r="D177" s="47">
        <f>D176</f>
        <v>2.00642</v>
      </c>
      <c r="E177" s="45">
        <f>D177/$B177-1</f>
        <v>-0.4120380952380953</v>
      </c>
      <c r="G177" s="11">
        <v>900</v>
      </c>
      <c r="H177" s="11">
        <f>ROUND(G177*$B177,0)</f>
        <v>3071</v>
      </c>
      <c r="I177" s="11" t="e">
        <f>ROUND(G177*#REF!,0)</f>
        <v>#REF!</v>
      </c>
      <c r="J177" s="11">
        <f>ROUND(G177*$D177,0)</f>
        <v>1806</v>
      </c>
    </row>
    <row r="178" spans="4:10" ht="12.75">
      <c r="D178" s="47"/>
      <c r="G178" s="40">
        <f>SUM(G175:G177)</f>
        <v>1918</v>
      </c>
      <c r="H178" s="40">
        <f>SUM(H175:H177)</f>
        <v>5061</v>
      </c>
      <c r="I178" s="40" t="e">
        <f>SUM(I175:I177)</f>
        <v>#REF!</v>
      </c>
      <c r="J178" s="40">
        <f>SUM(J175:J177)</f>
        <v>3848</v>
      </c>
    </row>
    <row r="179" spans="1:5" ht="15">
      <c r="A179" s="28" t="s">
        <v>100</v>
      </c>
      <c r="B179" s="20"/>
      <c r="C179" s="20"/>
      <c r="D179" s="47"/>
      <c r="E179" s="20"/>
    </row>
    <row r="180" spans="1:10" ht="12.75">
      <c r="A180" s="41" t="s">
        <v>72</v>
      </c>
      <c r="B180" s="47">
        <v>0</v>
      </c>
      <c r="D180" s="47">
        <f>D177</f>
        <v>2.00642</v>
      </c>
      <c r="E180" s="45"/>
      <c r="G180" s="40">
        <v>184</v>
      </c>
      <c r="H180" s="40">
        <f>ROUND(G180*$B180,0)</f>
        <v>0</v>
      </c>
      <c r="I180" s="40" t="e">
        <f>ROUND(G180*#REF!,0)</f>
        <v>#REF!</v>
      </c>
      <c r="J180" s="40">
        <f>ROUND(G180*$D180,0)</f>
        <v>369</v>
      </c>
    </row>
    <row r="181" spans="1:10" ht="12.75">
      <c r="A181" s="41" t="s">
        <v>98</v>
      </c>
      <c r="B181" s="47">
        <v>4.665</v>
      </c>
      <c r="D181" s="47">
        <f>D180</f>
        <v>2.00642</v>
      </c>
      <c r="E181" s="45">
        <f>D181/$B181-1</f>
        <v>-0.5698992497320472</v>
      </c>
      <c r="G181" s="40">
        <v>200</v>
      </c>
      <c r="H181" s="40">
        <f>ROUND(G181*$B181,0)</f>
        <v>933</v>
      </c>
      <c r="I181" s="40" t="e">
        <f>ROUND(G181*#REF!,0)</f>
        <v>#REF!</v>
      </c>
      <c r="J181" s="40">
        <f>ROUND(G181*$D181,0)</f>
        <v>401</v>
      </c>
    </row>
    <row r="182" spans="1:10" ht="12.75">
      <c r="A182" s="41" t="s">
        <v>98</v>
      </c>
      <c r="B182" s="47">
        <v>4.575</v>
      </c>
      <c r="D182" s="47">
        <f>D181</f>
        <v>2.00642</v>
      </c>
      <c r="E182" s="45">
        <f>D182/$B182-1</f>
        <v>-0.5614382513661202</v>
      </c>
      <c r="G182" s="40">
        <v>102</v>
      </c>
      <c r="H182" s="40">
        <f>ROUND(G182*$B182,0)</f>
        <v>467</v>
      </c>
      <c r="I182" s="40" t="e">
        <f>ROUND(G182*#REF!,0)</f>
        <v>#REF!</v>
      </c>
      <c r="J182" s="40">
        <f>ROUND(G182*$D182,0)</f>
        <v>205</v>
      </c>
    </row>
    <row r="183" spans="1:10" ht="12.75">
      <c r="A183" s="41" t="s">
        <v>76</v>
      </c>
      <c r="B183" s="47">
        <v>4.485</v>
      </c>
      <c r="D183" s="47">
        <f>D182</f>
        <v>2.00642</v>
      </c>
      <c r="E183" s="45">
        <f>D183/$B183-1</f>
        <v>-0.5526376811594204</v>
      </c>
      <c r="G183" s="40">
        <v>85</v>
      </c>
      <c r="H183" s="40">
        <f>ROUND(G183*$B183,0)</f>
        <v>381</v>
      </c>
      <c r="I183" s="40" t="e">
        <f>ROUND(G183*#REF!,0)</f>
        <v>#REF!</v>
      </c>
      <c r="J183" s="40">
        <f>ROUND(G183*$D183,0)</f>
        <v>171</v>
      </c>
    </row>
    <row r="184" spans="1:10" ht="15">
      <c r="A184" s="41" t="s">
        <v>99</v>
      </c>
      <c r="B184" s="47">
        <v>4.305</v>
      </c>
      <c r="D184" s="47">
        <f>D183</f>
        <v>2.00642</v>
      </c>
      <c r="E184" s="45">
        <f>D184/$B184-1</f>
        <v>-0.5339326364692218</v>
      </c>
      <c r="G184" s="11">
        <v>0</v>
      </c>
      <c r="H184" s="11">
        <f>ROUND(G184*$B184,0)</f>
        <v>0</v>
      </c>
      <c r="I184" s="11" t="e">
        <f>ROUND(G184*#REF!,0)</f>
        <v>#REF!</v>
      </c>
      <c r="J184" s="11">
        <f>ROUND(G184*$D184,0)</f>
        <v>0</v>
      </c>
    </row>
    <row r="185" spans="7:10" ht="12.75">
      <c r="G185" s="40">
        <f>SUM(G180:G184)</f>
        <v>571</v>
      </c>
      <c r="H185" s="40">
        <f>SUM(H180:H184)</f>
        <v>1781</v>
      </c>
      <c r="I185" s="40" t="e">
        <f>SUM(I180:I184)</f>
        <v>#REF!</v>
      </c>
      <c r="J185" s="40">
        <f>SUM(J180:J184)</f>
        <v>1146</v>
      </c>
    </row>
    <row r="187" ht="12.75">
      <c r="A187" s="2" t="s">
        <v>101</v>
      </c>
    </row>
    <row r="188" ht="12.75">
      <c r="B188" s="2" t="s">
        <v>102</v>
      </c>
    </row>
    <row r="189" spans="2:20" s="20" customFormat="1" ht="15">
      <c r="B189" s="20" t="s">
        <v>38</v>
      </c>
      <c r="D189" s="20" t="s">
        <v>104</v>
      </c>
      <c r="E189" s="20" t="s">
        <v>39</v>
      </c>
      <c r="P189" s="13"/>
      <c r="T189" s="13"/>
    </row>
    <row r="190" spans="1:5" ht="12.75">
      <c r="A190" s="38" t="s">
        <v>54</v>
      </c>
      <c r="B190" s="40">
        <f>SUMIF($G:$G,"Total",H:H)</f>
        <v>10979199</v>
      </c>
      <c r="D190" s="40">
        <f>SUMIF($G:$G,"Total",J:J)</f>
        <v>10707793</v>
      </c>
      <c r="E190" s="45">
        <f aca="true" t="shared" si="52" ref="E190:E195">D190/$B190-1</f>
        <v>-0.02472001828184367</v>
      </c>
    </row>
    <row r="191" spans="1:5" ht="12.75">
      <c r="A191" s="38" t="s">
        <v>55</v>
      </c>
      <c r="B191" s="40">
        <f>SUMIF($G:$G,"Total",M:M)</f>
        <v>2502222</v>
      </c>
      <c r="D191" s="40">
        <f>SUMIF($G:$G,"Total",O:O)</f>
        <v>2505216</v>
      </c>
      <c r="E191" s="45">
        <f t="shared" si="52"/>
        <v>0.0011965365183423948</v>
      </c>
    </row>
    <row r="192" spans="1:5" ht="12.75">
      <c r="A192" s="38" t="s">
        <v>56</v>
      </c>
      <c r="B192" s="40">
        <f>SUMIF($G:$G,"Total",R:R)</f>
        <v>62427</v>
      </c>
      <c r="D192" s="40">
        <f>SUMIF($G:$G,"Total",T:T)</f>
        <v>62427</v>
      </c>
      <c r="E192" s="45">
        <f t="shared" si="52"/>
        <v>0</v>
      </c>
    </row>
    <row r="193" spans="1:5" ht="12.75">
      <c r="A193" s="38" t="s">
        <v>57</v>
      </c>
      <c r="B193" s="40">
        <f>SUMIF($G:$G,"Total",W:W)</f>
        <v>474127</v>
      </c>
      <c r="D193" s="40">
        <f>SUMIF($G:$G,"Total",Y:Y)</f>
        <v>477190</v>
      </c>
      <c r="E193" s="45">
        <f t="shared" si="52"/>
        <v>0.00646029439369622</v>
      </c>
    </row>
    <row r="194" spans="1:5" ht="15">
      <c r="A194" s="38" t="s">
        <v>58</v>
      </c>
      <c r="B194" s="11">
        <f>SUMIF($G:$G,"Total",AB:AB)</f>
        <v>42573</v>
      </c>
      <c r="D194" s="11">
        <f>SUMIF($G:$G,"Total",AD:AD)</f>
        <v>42573</v>
      </c>
      <c r="E194" s="45">
        <f t="shared" si="52"/>
        <v>0</v>
      </c>
    </row>
    <row r="195" spans="1:5" ht="12.75">
      <c r="A195" s="41" t="s">
        <v>18</v>
      </c>
      <c r="B195" s="40">
        <f>SUM(B190:B194)</f>
        <v>14060548</v>
      </c>
      <c r="D195" s="40">
        <f>SUM(D190:D194)</f>
        <v>13795199</v>
      </c>
      <c r="E195" s="45">
        <f t="shared" si="52"/>
        <v>-0.018871881807167146</v>
      </c>
    </row>
    <row r="197" ht="12.75">
      <c r="B197" s="2" t="s">
        <v>105</v>
      </c>
    </row>
    <row r="198" spans="2:20" s="20" customFormat="1" ht="15">
      <c r="B198" s="20" t="s">
        <v>38</v>
      </c>
      <c r="D198" s="20" t="s">
        <v>104</v>
      </c>
      <c r="E198" s="20" t="s">
        <v>39</v>
      </c>
      <c r="P198" s="13"/>
      <c r="T198" s="13"/>
    </row>
    <row r="199" spans="1:5" ht="12.75">
      <c r="A199" s="38" t="s">
        <v>54</v>
      </c>
      <c r="B199" s="40">
        <f>SUM(H91,H106,H128,H140,H145,H152,H159)</f>
        <v>15749019</v>
      </c>
      <c r="D199" s="40">
        <f>SUM(J91,J106,J128,J140,J145,J152,J159)</f>
        <v>18039411</v>
      </c>
      <c r="E199" s="45">
        <f aca="true" t="shared" si="53" ref="E199:E204">D199/$B199-1</f>
        <v>0.1454307725452615</v>
      </c>
    </row>
    <row r="200" spans="1:5" ht="12.75">
      <c r="A200" s="38" t="s">
        <v>55</v>
      </c>
      <c r="B200" s="40">
        <f>SUM(H92,H113,H173,H168,H178,H185)</f>
        <v>10236650</v>
      </c>
      <c r="D200" s="40">
        <f>SUM(J92,J113,J173,J168,J178,J185)</f>
        <v>12068422</v>
      </c>
      <c r="E200" s="45">
        <f t="shared" si="53"/>
        <v>0.17894252514250275</v>
      </c>
    </row>
    <row r="201" spans="1:5" ht="12.75">
      <c r="A201" s="38" t="s">
        <v>56</v>
      </c>
      <c r="B201" s="40">
        <f>H93</f>
        <v>1460480</v>
      </c>
      <c r="D201" s="40">
        <f>J93</f>
        <v>1697851</v>
      </c>
      <c r="E201" s="45">
        <f t="shared" si="53"/>
        <v>0.16252944237510958</v>
      </c>
    </row>
    <row r="202" spans="1:5" ht="12.75">
      <c r="A202" s="38" t="s">
        <v>57</v>
      </c>
      <c r="B202" s="40">
        <f>SUM(H94,H120)</f>
        <v>3306957</v>
      </c>
      <c r="D202" s="40">
        <f>SUM(J94,J120)</f>
        <v>3811834</v>
      </c>
      <c r="E202" s="45">
        <f t="shared" si="53"/>
        <v>0.15267117171466094</v>
      </c>
    </row>
    <row r="203" spans="1:5" ht="15">
      <c r="A203" s="38" t="s">
        <v>58</v>
      </c>
      <c r="B203" s="11">
        <f>H95</f>
        <v>975871</v>
      </c>
      <c r="C203" s="18"/>
      <c r="D203" s="11">
        <f>J95</f>
        <v>1134638</v>
      </c>
      <c r="E203" s="22">
        <f t="shared" si="53"/>
        <v>0.16269260998636081</v>
      </c>
    </row>
    <row r="204" spans="1:5" ht="12.75">
      <c r="A204" s="41" t="s">
        <v>18</v>
      </c>
      <c r="B204" s="40">
        <f>SUM(B199:B203)</f>
        <v>31728977</v>
      </c>
      <c r="D204" s="40">
        <f>SUM(D199:D203)</f>
        <v>36752156</v>
      </c>
      <c r="E204" s="45">
        <f t="shared" si="53"/>
        <v>0.15831518929841315</v>
      </c>
    </row>
    <row r="206" spans="2:8" ht="12.75">
      <c r="B206" s="2" t="s">
        <v>106</v>
      </c>
      <c r="G206" s="42" t="s">
        <v>144</v>
      </c>
      <c r="H206" s="41" t="s">
        <v>145</v>
      </c>
    </row>
    <row r="207" spans="2:20" s="20" customFormat="1" ht="15">
      <c r="B207" s="20" t="s">
        <v>38</v>
      </c>
      <c r="D207" s="20" t="s">
        <v>104</v>
      </c>
      <c r="E207" s="20" t="s">
        <v>39</v>
      </c>
      <c r="G207" s="20" t="s">
        <v>107</v>
      </c>
      <c r="H207" s="20" t="s">
        <v>107</v>
      </c>
      <c r="I207" s="20" t="s">
        <v>109</v>
      </c>
      <c r="P207" s="13"/>
      <c r="T207" s="13"/>
    </row>
    <row r="208" spans="1:9" ht="12.75">
      <c r="A208" s="38" t="s">
        <v>54</v>
      </c>
      <c r="B208" s="40">
        <f>B190+B199</f>
        <v>26728218</v>
      </c>
      <c r="D208" s="40">
        <f>D190+D199</f>
        <v>28747204</v>
      </c>
      <c r="E208" s="50">
        <f aca="true" t="shared" si="54" ref="E208:E213">D208/$B208-1</f>
        <v>0.07553762095175975</v>
      </c>
      <c r="G208" s="40">
        <f>'SJR-3'!F9</f>
        <v>31569204</v>
      </c>
      <c r="H208" s="40">
        <f>ROUND(G208/G$213*H$215,0)</f>
        <v>28333664</v>
      </c>
      <c r="I208" s="40">
        <f>D208-H208</f>
        <v>413540</v>
      </c>
    </row>
    <row r="209" spans="1:9" ht="12.75">
      <c r="A209" s="38" t="s">
        <v>55</v>
      </c>
      <c r="B209" s="40">
        <f>B191+B200</f>
        <v>12738872</v>
      </c>
      <c r="D209" s="40">
        <f>D191+D200</f>
        <v>14573638</v>
      </c>
      <c r="E209" s="50">
        <f t="shared" si="54"/>
        <v>0.1440289218700055</v>
      </c>
      <c r="G209" s="40">
        <f>'SJR-3'!F10</f>
        <v>16237881</v>
      </c>
      <c r="H209" s="40">
        <f>ROUND(G209/G$213*H$215,0)</f>
        <v>14573654</v>
      </c>
      <c r="I209" s="40">
        <f>D209-H209</f>
        <v>-16</v>
      </c>
    </row>
    <row r="210" spans="1:9" ht="12.75">
      <c r="A210" s="38" t="s">
        <v>56</v>
      </c>
      <c r="B210" s="40">
        <f>B192+B201</f>
        <v>1522907</v>
      </c>
      <c r="D210" s="40">
        <f>D192+D201</f>
        <v>1760278</v>
      </c>
      <c r="E210" s="52">
        <f t="shared" si="54"/>
        <v>0.15586703587284045</v>
      </c>
      <c r="G210" s="40">
        <f>'SJR-3'!F11</f>
        <v>2410323</v>
      </c>
      <c r="H210" s="40">
        <f>ROUND(G210/G$213*H$215,0)</f>
        <v>2163288</v>
      </c>
      <c r="I210" s="40">
        <f>D210-H210</f>
        <v>-403010</v>
      </c>
    </row>
    <row r="211" spans="1:9" ht="12.75">
      <c r="A211" s="38" t="s">
        <v>57</v>
      </c>
      <c r="B211" s="40">
        <f>B193+B202</f>
        <v>3781084</v>
      </c>
      <c r="D211" s="40">
        <f>D193+D202</f>
        <v>4289024</v>
      </c>
      <c r="E211" s="50">
        <f t="shared" si="54"/>
        <v>0.13433713718076623</v>
      </c>
      <c r="G211" s="40">
        <f>'SJR-3'!F12</f>
        <v>4778805</v>
      </c>
      <c r="H211" s="40">
        <f>ROUND(G211/G$213*H$215,0)</f>
        <v>4289023</v>
      </c>
      <c r="I211" s="40">
        <f>D211-H211</f>
        <v>1</v>
      </c>
    </row>
    <row r="212" spans="1:9" ht="15">
      <c r="A212" s="38" t="s">
        <v>58</v>
      </c>
      <c r="B212" s="11">
        <f>B194+B203</f>
        <v>1018444</v>
      </c>
      <c r="D212" s="11">
        <f>D194+D203</f>
        <v>1177211</v>
      </c>
      <c r="E212" s="52">
        <f t="shared" si="54"/>
        <v>0.15589173287878366</v>
      </c>
      <c r="G212" s="11">
        <f>'SJR-3'!F13</f>
        <v>1323405</v>
      </c>
      <c r="H212" s="11">
        <f>ROUND(G212/G$213*H$215,0)</f>
        <v>1187769</v>
      </c>
      <c r="I212" s="11">
        <f>D212-H212</f>
        <v>-10558</v>
      </c>
    </row>
    <row r="213" spans="1:9" ht="12.75">
      <c r="A213" s="41" t="s">
        <v>18</v>
      </c>
      <c r="B213" s="40">
        <f>SUM(B208:B212)</f>
        <v>45789525</v>
      </c>
      <c r="D213" s="51">
        <f>SUM(D208:D212)</f>
        <v>50547355</v>
      </c>
      <c r="E213" s="50">
        <f t="shared" si="54"/>
        <v>0.10390651573695076</v>
      </c>
      <c r="G213" s="40">
        <f>SUM(G208:G212)</f>
        <v>56319618</v>
      </c>
      <c r="H213" s="40">
        <f>SUM(H208:H212)</f>
        <v>50547398</v>
      </c>
      <c r="I213" s="40">
        <f>SUM(I208:I212)</f>
        <v>-43</v>
      </c>
    </row>
    <row r="215" spans="5:8" ht="12.75">
      <c r="E215" s="50"/>
      <c r="G215" s="55" t="s">
        <v>149</v>
      </c>
      <c r="H215" s="51">
        <f>'SJR-7'!E15</f>
        <v>50547398</v>
      </c>
    </row>
    <row r="216" spans="2:5" ht="12.75">
      <c r="B216" s="41" t="s">
        <v>146</v>
      </c>
      <c r="E216" s="50">
        <f>(H213/B213-1)*1.5</f>
        <v>0.15586118222453715</v>
      </c>
    </row>
  </sheetData>
  <mergeCells count="11">
    <mergeCell ref="D61:E61"/>
    <mergeCell ref="D74:E74"/>
    <mergeCell ref="D9:E9"/>
    <mergeCell ref="D22:E22"/>
    <mergeCell ref="D146:E146"/>
    <mergeCell ref="D35:E35"/>
    <mergeCell ref="D48:E48"/>
    <mergeCell ref="D89:E89"/>
    <mergeCell ref="D98:E98"/>
    <mergeCell ref="D122:E122"/>
    <mergeCell ref="D130:E130"/>
  </mergeCells>
  <printOptions/>
  <pageMargins left="0.75" right="0.75" top="1" bottom="1" header="0.5" footer="0.5"/>
  <pageSetup horizontalDpi="1200" verticalDpi="1200" orientation="portrait" r:id="rId1"/>
  <headerFooter alignWithMargins="0">
    <oddHeader>&amp;RSchedule SJR-8
Page &amp;P of &amp;N</oddHeader>
  </headerFooter>
  <rowBreaks count="1" manualBreakCount="1">
    <brk id="4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40" bestFit="1" customWidth="1"/>
    <col min="2" max="2" width="14.57421875" style="40" customWidth="1"/>
    <col min="3" max="3" width="2.421875" style="40" customWidth="1"/>
    <col min="4" max="4" width="13.28125" style="40" customWidth="1"/>
    <col min="5" max="5" width="2.421875" style="40" customWidth="1"/>
    <col min="6" max="6" width="13.421875" style="40" customWidth="1"/>
    <col min="7" max="7" width="9.140625" style="40" customWidth="1"/>
    <col min="8" max="8" width="11.421875" style="40" customWidth="1"/>
    <col min="9" max="16384" width="9.140625" style="40" customWidth="1"/>
  </cols>
  <sheetData>
    <row r="1" spans="1:8" ht="12.75">
      <c r="A1" s="40" t="s">
        <v>0</v>
      </c>
      <c r="H1" s="54" t="s">
        <v>148</v>
      </c>
    </row>
    <row r="2" ht="12.75">
      <c r="A2" s="40" t="s">
        <v>1</v>
      </c>
    </row>
    <row r="4" ht="12.75">
      <c r="A4" s="4" t="s">
        <v>147</v>
      </c>
    </row>
    <row r="7" spans="6:8" ht="15">
      <c r="F7" s="57" t="s">
        <v>126</v>
      </c>
      <c r="G7" s="57"/>
      <c r="H7" s="57"/>
    </row>
    <row r="8" spans="2:8" s="13" customFormat="1" ht="30">
      <c r="B8" s="12" t="s">
        <v>121</v>
      </c>
      <c r="D8" s="12" t="s">
        <v>122</v>
      </c>
      <c r="F8" s="12" t="s">
        <v>33</v>
      </c>
      <c r="G8" s="12" t="s">
        <v>123</v>
      </c>
      <c r="H8" s="12" t="s">
        <v>124</v>
      </c>
    </row>
    <row r="9" spans="1:8" ht="12.75">
      <c r="A9" s="40" t="s">
        <v>54</v>
      </c>
      <c r="B9" s="49">
        <f>'SJR-8'!H208</f>
        <v>28333664</v>
      </c>
      <c r="D9" s="49">
        <f>'SJR-8'!B208</f>
        <v>26728218</v>
      </c>
      <c r="F9" s="49">
        <f>'SJR-8'!D208</f>
        <v>28747204</v>
      </c>
      <c r="G9" s="50">
        <f aca="true" t="shared" si="0" ref="G9:G14">F9/D9-1</f>
        <v>0.07553762095175975</v>
      </c>
      <c r="H9" s="49">
        <f>F9-B9</f>
        <v>413540</v>
      </c>
    </row>
    <row r="10" spans="1:8" ht="12.75">
      <c r="A10" s="40" t="s">
        <v>55</v>
      </c>
      <c r="B10" s="40">
        <f>'SJR-8'!H209</f>
        <v>14573654</v>
      </c>
      <c r="D10" s="40">
        <f>'SJR-8'!B209</f>
        <v>12738872</v>
      </c>
      <c r="F10" s="40">
        <f>'SJR-8'!D209</f>
        <v>14573638</v>
      </c>
      <c r="G10" s="50">
        <f t="shared" si="0"/>
        <v>0.1440289218700055</v>
      </c>
      <c r="H10" s="40">
        <f>F10-B10</f>
        <v>-16</v>
      </c>
    </row>
    <row r="11" spans="1:8" ht="12.75">
      <c r="A11" s="40" t="s">
        <v>56</v>
      </c>
      <c r="B11" s="40">
        <f>'SJR-8'!H210</f>
        <v>2163288</v>
      </c>
      <c r="D11" s="40">
        <f>'SJR-8'!B210</f>
        <v>1522907</v>
      </c>
      <c r="F11" s="40">
        <f>'SJR-8'!D210</f>
        <v>1760278</v>
      </c>
      <c r="G11" s="50">
        <f t="shared" si="0"/>
        <v>0.15586703587284045</v>
      </c>
      <c r="H11" s="40">
        <f>F11-B11</f>
        <v>-403010</v>
      </c>
    </row>
    <row r="12" spans="1:8" ht="12.75">
      <c r="A12" s="40" t="s">
        <v>57</v>
      </c>
      <c r="B12" s="40">
        <f>'SJR-8'!H211</f>
        <v>4289023</v>
      </c>
      <c r="D12" s="40">
        <f>'SJR-8'!B211</f>
        <v>3781084</v>
      </c>
      <c r="F12" s="40">
        <f>'SJR-8'!D211</f>
        <v>4289024</v>
      </c>
      <c r="G12" s="50">
        <f t="shared" si="0"/>
        <v>0.13433713718076623</v>
      </c>
      <c r="H12" s="40">
        <f>F12-B12</f>
        <v>1</v>
      </c>
    </row>
    <row r="13" spans="1:8" s="11" customFormat="1" ht="15">
      <c r="A13" s="36" t="s">
        <v>58</v>
      </c>
      <c r="B13" s="11">
        <f>'SJR-8'!H212</f>
        <v>1187769</v>
      </c>
      <c r="D13" s="11">
        <f>'SJR-8'!B212</f>
        <v>1018444</v>
      </c>
      <c r="F13" s="11">
        <f>'SJR-8'!D212</f>
        <v>1177211</v>
      </c>
      <c r="G13" s="53">
        <f t="shared" si="0"/>
        <v>0.15589173287878366</v>
      </c>
      <c r="H13" s="11">
        <f>F13-B13</f>
        <v>-10558</v>
      </c>
    </row>
    <row r="14" spans="1:8" ht="12.75">
      <c r="A14" s="36" t="s">
        <v>18</v>
      </c>
      <c r="B14" s="49">
        <f>SUM(B9:B13)</f>
        <v>50547398</v>
      </c>
      <c r="D14" s="49">
        <f>SUM(D9:D13)</f>
        <v>45789525</v>
      </c>
      <c r="F14" s="49">
        <f>SUM(F9:F13)</f>
        <v>50547355</v>
      </c>
      <c r="G14" s="50">
        <f t="shared" si="0"/>
        <v>0.10390651573695076</v>
      </c>
      <c r="H14" s="49">
        <f>SUM(H9:H13)</f>
        <v>-43</v>
      </c>
    </row>
  </sheetData>
  <mergeCells count="1">
    <mergeCell ref="F7:H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Attorney +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J Rubin</dc:creator>
  <cp:keywords/>
  <dc:description/>
  <cp:lastModifiedBy>DSPENARD</cp:lastModifiedBy>
  <cp:lastPrinted>2007-07-26T20:12:08Z</cp:lastPrinted>
  <dcterms:created xsi:type="dcterms:W3CDTF">2007-07-20T14:10:21Z</dcterms:created>
  <dcterms:modified xsi:type="dcterms:W3CDTF">2007-07-30T18:36:11Z</dcterms:modified>
  <cp:category/>
  <cp:version/>
  <cp:contentType/>
  <cp:contentStatus/>
</cp:coreProperties>
</file>