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8070" activeTab="0"/>
  </bookViews>
  <sheets>
    <sheet name="Cost of a SORD" sheetId="1" r:id="rId1"/>
    <sheet name="Footnotes" sheetId="2" r:id="rId2"/>
    <sheet name="# Calls" sheetId="3" r:id="rId3"/>
    <sheet name="Customers" sheetId="4" r:id="rId4"/>
    <sheet name="miles" sheetId="5" r:id="rId5"/>
  </sheets>
  <definedNames>
    <definedName name="_xlnm.Print_Area" localSheetId="0">'Cost of a SORD'!$A$1:$K$133</definedName>
    <definedName name="_xlnm.Print_Titles" localSheetId="0">'Cost of a SORD'!$1:$4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<sst xmlns="http://schemas.openxmlformats.org/spreadsheetml/2006/main" count="283" uniqueCount="174">
  <si>
    <t>(Expenses are based on forecasted test year unless otherwise noted)</t>
  </si>
  <si>
    <t>Labor and miscellaneous expenses:</t>
  </si>
  <si>
    <t>Miscellaneous expenses:</t>
  </si>
  <si>
    <t>Contract Services - Other</t>
  </si>
  <si>
    <t>M &amp; S Oper TD</t>
  </si>
  <si>
    <t>Misc Oper TD</t>
  </si>
  <si>
    <t>Office &amp; Admin Supplies TD</t>
  </si>
  <si>
    <t>Heat - Office TD</t>
  </si>
  <si>
    <t>Janitorial TD</t>
  </si>
  <si>
    <t>Trash Removal TD</t>
  </si>
  <si>
    <t>Uniforms</t>
  </si>
  <si>
    <t>Cell Phone TD</t>
  </si>
  <si>
    <t>Payroll overhead:</t>
  </si>
  <si>
    <t>1.</t>
  </si>
  <si>
    <t>2.</t>
  </si>
  <si>
    <t>Direct service order labor</t>
  </si>
  <si>
    <t>Payroll overhead factor for forecasted test year</t>
  </si>
  <si>
    <t>3.</t>
  </si>
  <si>
    <t>Transportation expense:</t>
  </si>
  <si>
    <t>Estimated service orders worked in forecasted test year</t>
  </si>
  <si>
    <t>Estimated miles driven by field service persons in test year</t>
  </si>
  <si>
    <t>IRS rate per mile</t>
  </si>
  <si>
    <t xml:space="preserve">     Estimated transportation cost by field service persons in test year</t>
  </si>
  <si>
    <t xml:space="preserve">     Miscellaneous expense allocated to direct service order labor</t>
  </si>
  <si>
    <t>4.</t>
  </si>
  <si>
    <t>Allocation of Customer Service Center Costs</t>
  </si>
  <si>
    <t>5.</t>
  </si>
  <si>
    <t xml:space="preserve">     Total payroll overhead allocated to direct service order labor</t>
  </si>
  <si>
    <t>Totals</t>
  </si>
  <si>
    <t>Payroll overhead</t>
  </si>
  <si>
    <t>Transportation expense</t>
  </si>
  <si>
    <t>Customer Service Center costs</t>
  </si>
  <si>
    <t xml:space="preserve">     Subtotal</t>
  </si>
  <si>
    <t>Estimated service orders worked during test year</t>
  </si>
  <si>
    <t>6.</t>
  </si>
  <si>
    <t>Revenues from activation fee</t>
  </si>
  <si>
    <t>"</t>
  </si>
  <si>
    <t>Allocation Schedule</t>
  </si>
  <si>
    <t>(2)</t>
  </si>
  <si>
    <t>(3)</t>
  </si>
  <si>
    <t>(4)</t>
  </si>
  <si>
    <t>formula</t>
  </si>
  <si>
    <t>Allocate CSC costs to service orders based on ratio of service orders to calls received</t>
  </si>
  <si>
    <t>(5)</t>
  </si>
  <si>
    <t>KAW</t>
  </si>
  <si>
    <t>annualized</t>
  </si>
  <si>
    <t>#</t>
  </si>
  <si>
    <t>Date</t>
  </si>
  <si>
    <t>YTD July 2003</t>
  </si>
  <si>
    <t xml:space="preserve">Estimated calls per customer </t>
  </si>
  <si>
    <t>Year end customers</t>
  </si>
  <si>
    <t>Incentive pay</t>
  </si>
  <si>
    <t>Operations Superintendent allocation</t>
  </si>
  <si>
    <t>Direct Customer Service Expenses</t>
  </si>
  <si>
    <t>Cell Phone</t>
  </si>
  <si>
    <t>Customer Service expenses (service order closing)</t>
  </si>
  <si>
    <t>Footnotes - Cost of a SORD</t>
  </si>
  <si>
    <t>Number of Customer Calls Answered - (For Cost of a SORD)</t>
  </si>
  <si>
    <t>7.</t>
  </si>
  <si>
    <t>Revenues from reconnection charge</t>
  </si>
  <si>
    <t>Round service order cost to:</t>
  </si>
  <si>
    <t>Customers</t>
  </si>
  <si>
    <t>2006 13-month average</t>
  </si>
  <si>
    <t>Central</t>
  </si>
  <si>
    <t>Northern</t>
  </si>
  <si>
    <t>Forecast 13-month average</t>
  </si>
  <si>
    <t>Source</t>
  </si>
  <si>
    <t>F;\shared\Rate Case - 2007\KAWC Active Customers By District By Class by Month - 2005 and 2006</t>
  </si>
  <si>
    <t xml:space="preserve">F:\shared|Rate Case - 2007\Allocations\Customers by Region by Class with fire service_v032107 </t>
  </si>
  <si>
    <t>Service orders worked per average customer in 2006</t>
  </si>
  <si>
    <t>Miles driven per service order in 2006</t>
  </si>
  <si>
    <t>Jarold Jackson's Total Service Orders for 2006 (EDIS &amp; ECIS) =</t>
  </si>
  <si>
    <t>Total Field Service O &amp; M Labor (Central) in test year</t>
  </si>
  <si>
    <t>Total Inside Customer Service O &amp; M Labor (Central) in test year</t>
  </si>
  <si>
    <t>Field Service</t>
  </si>
  <si>
    <t>Jarold Jackson</t>
  </si>
  <si>
    <t>Stacy Owens</t>
  </si>
  <si>
    <t>Total Network Superintendent O &amp; M Labor</t>
  </si>
  <si>
    <t>Direct service order labor plus allocated Network Superintendent</t>
  </si>
  <si>
    <t>Cost of a Service Order for Central Division</t>
  </si>
  <si>
    <t xml:space="preserve">     Subtotal direct service order O &amp; M labor (Central)</t>
  </si>
  <si>
    <t xml:space="preserve">     Grand total O &amp; M labor Network department labor (Central)</t>
  </si>
  <si>
    <t>Network Superintendent O &amp; M Labor Allocated to Service Order Work</t>
  </si>
  <si>
    <t>Dec 2007 - Nov 2008 ABP - Bus Unit 120206 - (LEX-Field Service)</t>
  </si>
  <si>
    <t>F:\shared\Rate Case - 2007\Activation Fee\Expense by BU_Sheila to Coleman_031207</t>
  </si>
  <si>
    <t>General Office:</t>
  </si>
  <si>
    <t>Employee Expense</t>
  </si>
  <si>
    <t>Meals &amp; Travel</t>
  </si>
  <si>
    <t xml:space="preserve">     Subtotal general office expenses</t>
  </si>
  <si>
    <t xml:space="preserve">     General office expense allocated to direct service order labor</t>
  </si>
  <si>
    <t xml:space="preserve">Contract Services - Temporary </t>
  </si>
  <si>
    <t>General office expense</t>
  </si>
  <si>
    <t>Miscellaneous expense</t>
  </si>
  <si>
    <t xml:space="preserve">     Subtotal customer service expense</t>
  </si>
  <si>
    <t xml:space="preserve">     Subtotal miscellaneous expense</t>
  </si>
  <si>
    <t>Average customers 2006 (Central)</t>
  </si>
  <si>
    <r>
      <t>(1)</t>
    </r>
    <r>
      <rPr>
        <sz val="10"/>
        <rFont val="Arial"/>
        <family val="0"/>
      </rPr>
      <t xml:space="preserve"> formula - see Footnotes tab</t>
    </r>
  </si>
  <si>
    <t>formula - see Customers tab</t>
  </si>
  <si>
    <t>Service orders worked per average customer in 2006 (Central)</t>
  </si>
  <si>
    <t>Total miles driven by field service persons in 2006 (Central)</t>
  </si>
  <si>
    <t>Total service orders worked by field service persons in 2006 (Central)</t>
  </si>
  <si>
    <t>Average customers in forecasted test year (Central)</t>
  </si>
  <si>
    <t>Miles driven by field service representatives</t>
  </si>
  <si>
    <r>
      <t xml:space="preserve">(4) </t>
    </r>
    <r>
      <rPr>
        <sz val="10"/>
        <rFont val="Arial"/>
        <family val="2"/>
      </rPr>
      <t>formula - see Footnotes tab</t>
    </r>
  </si>
  <si>
    <t xml:space="preserve">Cost per service order </t>
  </si>
  <si>
    <t>Incentive pay applied</t>
  </si>
  <si>
    <t>Miles for field service personnel for 2006 from Sonny's transportation logs</t>
  </si>
  <si>
    <t>Month/year</t>
  </si>
  <si>
    <t>total recorded</t>
  </si>
  <si>
    <t>Miles for some vehicles missing for some months</t>
  </si>
  <si>
    <t>December 142</t>
  </si>
  <si>
    <t>December 143</t>
  </si>
  <si>
    <t>December 145</t>
  </si>
  <si>
    <t>December 150</t>
  </si>
  <si>
    <t>December 172</t>
  </si>
  <si>
    <t>December 146</t>
  </si>
  <si>
    <t>Total</t>
  </si>
  <si>
    <t>See miles tab</t>
  </si>
  <si>
    <t>n/a</t>
  </si>
  <si>
    <t>per Jarold, a separate count is not maintained at KAW - cdb 040207</t>
  </si>
  <si>
    <t>Case 2004-00103</t>
  </si>
  <si>
    <t>electricity</t>
  </si>
  <si>
    <t>rents</t>
  </si>
  <si>
    <t>Direct service order O &amp; M labor as a % of grand total Network labor</t>
  </si>
  <si>
    <t>Southeast Region Customer Relations Expense</t>
  </si>
  <si>
    <t>F:\shared\Rate Case - 2007\Activation Fee\Kentucky American Service Order Count_2006_Central</t>
  </si>
  <si>
    <t>(6)</t>
  </si>
  <si>
    <t>F:\shared\Rate Case - 2007\Allocations\2007_2011 BP Corp SC Mgmt Fees 3rd Sub</t>
  </si>
  <si>
    <t>F:\shared\Rate Case - 2007|Activation Fee\number of calls</t>
  </si>
  <si>
    <t>Total SE Region costs for 2006</t>
  </si>
  <si>
    <t>SE Region Customer Relations costs for 2006</t>
  </si>
  <si>
    <t>ratio</t>
  </si>
  <si>
    <t>SE Region Costs for forecast period</t>
  </si>
  <si>
    <t>F:\shared\Rate Case - 2007\Activation Fee\KY Svc Co to Coleman Bush_from D Weber_040307</t>
  </si>
  <si>
    <t>Forecast period SE Region Customer Relations costs</t>
  </si>
  <si>
    <t>Southeast Region Customer Relations costs</t>
  </si>
  <si>
    <t>Field Service Records Clerks</t>
  </si>
  <si>
    <t>Dec 2007 - Nov 2008 ABP - Bus Unit 120203 (LEX-Customer Service)</t>
  </si>
  <si>
    <t xml:space="preserve">Call center costs in KY management fees in test year </t>
  </si>
  <si>
    <t>Ratio Central</t>
  </si>
  <si>
    <t>Ratio Northern</t>
  </si>
  <si>
    <t>Ratio of Central Division customers to total customers for test year</t>
  </si>
  <si>
    <t>Total service orders worked by field service persons in 2006 adjusted for multiple call orders (Central)</t>
  </si>
  <si>
    <t>(1)</t>
  </si>
  <si>
    <t>Estimated # of calls received by the KAW Call Center (Central)</t>
  </si>
  <si>
    <t>Average customers</t>
  </si>
  <si>
    <t>Calls per customer based on year end customers</t>
  </si>
  <si>
    <t>Calls per customer based on average customers</t>
  </si>
  <si>
    <t>After hours service order cost</t>
  </si>
  <si>
    <t>Estimate 1 hour of OT work per order due to being called out from home (assume minor change in PIT thus no change made for PIT)</t>
  </si>
  <si>
    <t>Direct labor cost for field service representatives included in the cost of a service order</t>
  </si>
  <si>
    <t>Direct labor per service order to remove for service order cost during regular hours</t>
  </si>
  <si>
    <t>Net increase for after hours service order</t>
  </si>
  <si>
    <t>Cost of after hours service order</t>
  </si>
  <si>
    <t>Round after hours service order cost to:</t>
  </si>
  <si>
    <t>F:\shared\Rate Case - 2007\Activation Fee\KAWC 2006 Revenue Codes R3104_R3105_R3107_from Donna_030607</t>
  </si>
  <si>
    <t>Total Activation Fee Revenues for forecast period (Central and Northern)</t>
  </si>
  <si>
    <t>Total Normal hours reconnection Fee Revenues for forecast period (Central and Northern)</t>
  </si>
  <si>
    <t>KAW - Case 2007-00143</t>
  </si>
  <si>
    <t>Call center costs in KY management fees in test year (Central)</t>
  </si>
  <si>
    <t>Forecast period SE Region Customer Relations costs applicable to service orders (Central)</t>
  </si>
  <si>
    <t>F:\shared\Rate Case - 2007\Labor\Labor Rate Case - 2007-0326_from Sheila_040407</t>
  </si>
  <si>
    <t>abandonment rate</t>
  </si>
  <si>
    <t>net calls offered to CSC</t>
  </si>
  <si>
    <t>Ratio of service order generating calls to total calls received</t>
  </si>
  <si>
    <t xml:space="preserve"># activation fees collected in 2006 </t>
  </si>
  <si>
    <t xml:space="preserve"># average customers in 2006 </t>
  </si>
  <si>
    <t xml:space="preserve">#activation fees per customer </t>
  </si>
  <si>
    <t xml:space="preserve"># average customers in forecast </t>
  </si>
  <si>
    <t>estimated number of activation fees during forecast period</t>
  </si>
  <si>
    <t xml:space="preserve"># reconnection fees collected in 2006 </t>
  </si>
  <si>
    <t xml:space="preserve"># reconnection fees per customer </t>
  </si>
  <si>
    <t xml:space="preserve">estimated number of reconnection fees during forecast period </t>
  </si>
  <si>
    <t>EXHIBIT MAM-9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</si>
</sst>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00_);_(* \(#,##0.000\);_(* &quot;-&quot;?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center" wrapText="1"/>
    </xf>
    <xf numFmtId="10" fontId="0" fillId="0" borderId="0" xfId="19" applyNumberFormat="1" applyAlignment="1">
      <alignment/>
    </xf>
    <xf numFmtId="167" fontId="0" fillId="0" borderId="0" xfId="17" applyNumberFormat="1" applyFill="1" applyAlignment="1">
      <alignment/>
    </xf>
    <xf numFmtId="0" fontId="0" fillId="0" borderId="0" xfId="0" applyFont="1" applyAlignment="1">
      <alignment/>
    </xf>
    <xf numFmtId="165" fontId="0" fillId="0" borderId="0" xfId="15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9" fontId="0" fillId="0" borderId="0" xfId="19" applyNumberFormat="1" applyAlignment="1">
      <alignment/>
    </xf>
    <xf numFmtId="167" fontId="0" fillId="0" borderId="1" xfId="17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1" xfId="17" applyNumberFormat="1" applyFont="1" applyBorder="1" applyAlignment="1">
      <alignment/>
    </xf>
    <xf numFmtId="44" fontId="1" fillId="0" borderId="0" xfId="17" applyFont="1" applyAlignment="1">
      <alignment/>
    </xf>
    <xf numFmtId="167" fontId="0" fillId="0" borderId="0" xfId="17" applyNumberFormat="1" applyBorder="1" applyAlignment="1">
      <alignment/>
    </xf>
    <xf numFmtId="0" fontId="1" fillId="0" borderId="0" xfId="0" applyFont="1" applyAlignment="1">
      <alignment horizontal="right"/>
    </xf>
    <xf numFmtId="44" fontId="1" fillId="2" borderId="0" xfId="17" applyFon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19" applyNumberFormat="1" applyFill="1" applyAlignment="1">
      <alignment/>
    </xf>
    <xf numFmtId="167" fontId="0" fillId="3" borderId="0" xfId="17" applyNumberFormat="1" applyFill="1" applyAlignment="1">
      <alignment/>
    </xf>
    <xf numFmtId="0" fontId="0" fillId="0" borderId="0" xfId="0" applyAlignment="1">
      <alignment horizontal="right"/>
    </xf>
    <xf numFmtId="165" fontId="0" fillId="3" borderId="0" xfId="15" applyNumberFormat="1" applyFill="1" applyBorder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168" fontId="0" fillId="3" borderId="0" xfId="17" applyNumberFormat="1" applyFill="1" applyAlignment="1">
      <alignment/>
    </xf>
    <xf numFmtId="3" fontId="0" fillId="3" borderId="0" xfId="0" applyNumberFormat="1" applyFont="1" applyFill="1" applyAlignment="1">
      <alignment/>
    </xf>
    <xf numFmtId="17" fontId="0" fillId="0" borderId="0" xfId="0" applyNumberFormat="1" applyAlignment="1">
      <alignment/>
    </xf>
    <xf numFmtId="165" fontId="1" fillId="0" borderId="0" xfId="15" applyNumberFormat="1" applyFont="1" applyFill="1" applyAlignment="1">
      <alignment/>
    </xf>
    <xf numFmtId="165" fontId="1" fillId="3" borderId="0" xfId="15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5" fontId="0" fillId="0" borderId="0" xfId="15" applyNumberFormat="1" applyFont="1" applyAlignment="1">
      <alignment horizontal="right"/>
    </xf>
    <xf numFmtId="165" fontId="0" fillId="3" borderId="0" xfId="15" applyNumberFormat="1" applyFont="1" applyFill="1" applyAlignment="1">
      <alignment horizontal="right"/>
    </xf>
    <xf numFmtId="165" fontId="0" fillId="3" borderId="0" xfId="15" applyNumberFormat="1" applyFont="1" applyFill="1" applyAlignment="1">
      <alignment horizontal="right" wrapText="1"/>
    </xf>
    <xf numFmtId="178" fontId="0" fillId="0" borderId="0" xfId="15" applyNumberFormat="1" applyBorder="1" applyAlignment="1">
      <alignment/>
    </xf>
    <xf numFmtId="174" fontId="0" fillId="0" borderId="0" xfId="0" applyNumberFormat="1" applyAlignment="1">
      <alignment/>
    </xf>
    <xf numFmtId="178" fontId="0" fillId="3" borderId="0" xfId="15" applyNumberFormat="1" applyFill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0" fillId="4" borderId="0" xfId="0" applyNumberFormat="1" applyFill="1" applyAlignment="1">
      <alignment/>
    </xf>
    <xf numFmtId="165" fontId="0" fillId="4" borderId="0" xfId="15" applyNumberFormat="1" applyFill="1" applyAlignment="1">
      <alignment/>
    </xf>
    <xf numFmtId="44" fontId="1" fillId="0" borderId="0" xfId="17" applyFont="1" applyFill="1" applyAlignment="1">
      <alignment/>
    </xf>
    <xf numFmtId="177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77" fontId="0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view="pageBreakPreview" zoomScale="60" zoomScaleNormal="75" workbookViewId="0" topLeftCell="A22">
      <selection activeCell="C23" sqref="C23"/>
    </sheetView>
  </sheetViews>
  <sheetFormatPr defaultColWidth="9.140625" defaultRowHeight="12.75"/>
  <cols>
    <col min="2" max="2" width="5.8515625" style="0" customWidth="1"/>
    <col min="3" max="3" width="58.00390625" style="0" customWidth="1"/>
    <col min="4" max="4" width="13.8515625" style="0" bestFit="1" customWidth="1"/>
    <col min="5" max="5" width="12.8515625" style="0" customWidth="1"/>
    <col min="7" max="7" width="11.28125" style="0" bestFit="1" customWidth="1"/>
    <col min="8" max="8" width="10.28125" style="0" bestFit="1" customWidth="1"/>
    <col min="9" max="9" width="11.28125" style="0" bestFit="1" customWidth="1"/>
    <col min="10" max="10" width="10.28125" style="0" bestFit="1" customWidth="1"/>
    <col min="11" max="11" width="13.421875" style="0" bestFit="1" customWidth="1"/>
  </cols>
  <sheetData>
    <row r="1" spans="1:11" ht="12.75">
      <c r="A1" s="63" t="s">
        <v>158</v>
      </c>
      <c r="B1" s="63"/>
      <c r="C1" s="63"/>
      <c r="D1" s="63"/>
      <c r="K1" s="32" t="s">
        <v>173</v>
      </c>
    </row>
    <row r="2" spans="1:4" ht="12.75">
      <c r="A2" s="63" t="s">
        <v>79</v>
      </c>
      <c r="B2" s="63"/>
      <c r="C2" s="63"/>
      <c r="D2" s="63"/>
    </row>
    <row r="3" ht="12.75">
      <c r="C3" t="s">
        <v>0</v>
      </c>
    </row>
    <row r="5" spans="2:11" ht="51">
      <c r="B5" s="3" t="s">
        <v>13</v>
      </c>
      <c r="C5" s="5" t="s">
        <v>1</v>
      </c>
      <c r="G5" s="14" t="s">
        <v>74</v>
      </c>
      <c r="H5" s="14" t="s">
        <v>75</v>
      </c>
      <c r="I5" s="14" t="s">
        <v>136</v>
      </c>
      <c r="J5" s="14" t="s">
        <v>76</v>
      </c>
      <c r="K5" s="23" t="s">
        <v>120</v>
      </c>
    </row>
    <row r="6" spans="3:11" ht="12.75">
      <c r="C6" s="6" t="s">
        <v>72</v>
      </c>
      <c r="D6" s="16">
        <f>G6+H6</f>
        <v>668294</v>
      </c>
      <c r="E6" s="12" t="s">
        <v>38</v>
      </c>
      <c r="G6" s="34">
        <v>619834</v>
      </c>
      <c r="H6" s="34">
        <v>48460</v>
      </c>
      <c r="K6" s="1">
        <v>488200</v>
      </c>
    </row>
    <row r="7" spans="3:11" ht="12.75">
      <c r="C7" s="6" t="s">
        <v>73</v>
      </c>
      <c r="D7" s="18">
        <f>I7+J7</f>
        <v>188674</v>
      </c>
      <c r="E7" s="12" t="s">
        <v>38</v>
      </c>
      <c r="I7" s="34">
        <v>144876</v>
      </c>
      <c r="J7" s="34">
        <v>43798</v>
      </c>
      <c r="K7" s="1">
        <v>217535</v>
      </c>
    </row>
    <row r="8" spans="3:11" ht="13.5" thickBot="1">
      <c r="C8" s="6" t="s">
        <v>80</v>
      </c>
      <c r="D8" s="22">
        <f>D6+D7</f>
        <v>856968</v>
      </c>
      <c r="E8" t="s">
        <v>41</v>
      </c>
      <c r="K8" s="22">
        <f>K6+K7</f>
        <v>705735</v>
      </c>
    </row>
    <row r="9" spans="3:11" ht="13.5" thickTop="1">
      <c r="C9" s="6" t="s">
        <v>81</v>
      </c>
      <c r="D9" s="35">
        <v>2872214</v>
      </c>
      <c r="E9" s="12" t="s">
        <v>38</v>
      </c>
      <c r="K9" s="1">
        <v>2944309</v>
      </c>
    </row>
    <row r="10" spans="3:11" ht="25.5">
      <c r="C10" s="6" t="s">
        <v>123</v>
      </c>
      <c r="D10" s="15">
        <f>ROUND(D8/D9,4)</f>
        <v>0.2984</v>
      </c>
      <c r="E10" s="17" t="s">
        <v>41</v>
      </c>
      <c r="K10" s="15">
        <v>0.2397</v>
      </c>
    </row>
    <row r="11" spans="3:11" ht="12.75">
      <c r="C11" s="6" t="s">
        <v>77</v>
      </c>
      <c r="D11" s="36">
        <v>2653</v>
      </c>
      <c r="E11" s="12" t="s">
        <v>38</v>
      </c>
      <c r="K11" s="1"/>
    </row>
    <row r="12" spans="3:11" ht="26.25" thickBot="1">
      <c r="C12" s="6" t="s">
        <v>82</v>
      </c>
      <c r="D12" s="22">
        <f>ROUND(D11*D10,0)</f>
        <v>792</v>
      </c>
      <c r="E12" s="17" t="s">
        <v>41</v>
      </c>
      <c r="K12" s="22">
        <v>21695</v>
      </c>
    </row>
    <row r="13" spans="3:11" ht="14.25" thickBot="1" thickTop="1">
      <c r="C13" s="6" t="s">
        <v>105</v>
      </c>
      <c r="D13" s="22">
        <f>ROUND((H6*0.1)+(J7*0.1)+(D12*0.15),0)</f>
        <v>9345</v>
      </c>
      <c r="E13" s="17" t="s">
        <v>41</v>
      </c>
      <c r="K13" s="22">
        <v>10804</v>
      </c>
    </row>
    <row r="14" spans="3:11" ht="13.5" thickTop="1">
      <c r="C14" s="6"/>
      <c r="D14" s="31"/>
      <c r="E14" s="17"/>
      <c r="K14" s="1"/>
    </row>
    <row r="15" spans="3:11" ht="12.75">
      <c r="C15" s="6" t="s">
        <v>85</v>
      </c>
      <c r="D15" s="31"/>
      <c r="E15" s="17"/>
      <c r="K15" s="1"/>
    </row>
    <row r="16" spans="1:11" ht="12.75">
      <c r="A16">
        <v>575340</v>
      </c>
      <c r="B16">
        <v>16</v>
      </c>
      <c r="C16" s="6" t="s">
        <v>86</v>
      </c>
      <c r="D16" s="39">
        <v>5650</v>
      </c>
      <c r="E16" t="s">
        <v>83</v>
      </c>
      <c r="J16" s="12" t="s">
        <v>39</v>
      </c>
      <c r="K16" s="1">
        <v>0</v>
      </c>
    </row>
    <row r="17" spans="1:11" ht="12.75">
      <c r="A17">
        <v>575350</v>
      </c>
      <c r="B17">
        <v>16</v>
      </c>
      <c r="C17" s="6" t="s">
        <v>87</v>
      </c>
      <c r="D17" s="34">
        <v>6275</v>
      </c>
      <c r="E17" s="11" t="s">
        <v>36</v>
      </c>
      <c r="J17" s="12" t="s">
        <v>39</v>
      </c>
      <c r="K17" s="1">
        <v>0</v>
      </c>
    </row>
    <row r="18" spans="1:11" ht="12.75">
      <c r="A18">
        <v>575351</v>
      </c>
      <c r="B18">
        <v>16</v>
      </c>
      <c r="C18" s="6" t="s">
        <v>87</v>
      </c>
      <c r="D18" s="34">
        <v>6275</v>
      </c>
      <c r="E18" s="11" t="s">
        <v>36</v>
      </c>
      <c r="J18" s="12" t="s">
        <v>39</v>
      </c>
      <c r="K18" s="1">
        <v>0</v>
      </c>
    </row>
    <row r="19" spans="1:11" ht="12.75">
      <c r="A19">
        <v>575741</v>
      </c>
      <c r="B19">
        <v>16</v>
      </c>
      <c r="C19" s="6" t="s">
        <v>54</v>
      </c>
      <c r="D19" s="34">
        <v>1255</v>
      </c>
      <c r="E19" s="11" t="s">
        <v>36</v>
      </c>
      <c r="J19" s="12" t="s">
        <v>39</v>
      </c>
      <c r="K19" s="1">
        <v>0</v>
      </c>
    </row>
    <row r="20" spans="3:11" ht="12.75">
      <c r="C20" s="6" t="s">
        <v>88</v>
      </c>
      <c r="D20" s="31">
        <f>ROUND(SUM(D16:D19),0)</f>
        <v>19455</v>
      </c>
      <c r="E20" s="17" t="s">
        <v>41</v>
      </c>
      <c r="K20" s="1"/>
    </row>
    <row r="21" spans="3:11" ht="12.75">
      <c r="C21" s="6"/>
      <c r="D21" s="31"/>
      <c r="E21" s="17"/>
      <c r="K21" s="1"/>
    </row>
    <row r="22" spans="3:11" ht="13.5" thickBot="1">
      <c r="C22" s="6" t="s">
        <v>89</v>
      </c>
      <c r="D22" s="22">
        <f>ROUND(D20*D10,0)</f>
        <v>5805</v>
      </c>
      <c r="E22" s="17" t="s">
        <v>41</v>
      </c>
      <c r="K22" s="22">
        <v>0</v>
      </c>
    </row>
    <row r="23" spans="3:11" ht="13.5" thickTop="1">
      <c r="C23" s="6"/>
      <c r="D23" s="31"/>
      <c r="E23" s="17"/>
      <c r="K23" s="1"/>
    </row>
    <row r="24" spans="3:11" ht="12.75">
      <c r="C24" s="6" t="s">
        <v>2</v>
      </c>
      <c r="K24" s="1"/>
    </row>
    <row r="25" spans="1:11" ht="12.75">
      <c r="A25">
        <v>535000</v>
      </c>
      <c r="B25" s="37">
        <v>14</v>
      </c>
      <c r="C25" s="6" t="s">
        <v>3</v>
      </c>
      <c r="D25" s="36">
        <v>74550</v>
      </c>
      <c r="E25" t="s">
        <v>83</v>
      </c>
      <c r="J25" s="12" t="s">
        <v>39</v>
      </c>
      <c r="K25" s="1">
        <v>101870</v>
      </c>
    </row>
    <row r="26" spans="1:11" ht="12.75">
      <c r="A26">
        <v>520100</v>
      </c>
      <c r="B26">
        <v>14</v>
      </c>
      <c r="C26" s="6" t="s">
        <v>4</v>
      </c>
      <c r="D26" s="34">
        <v>66850</v>
      </c>
      <c r="E26" s="11" t="s">
        <v>36</v>
      </c>
      <c r="J26" s="12" t="s">
        <v>39</v>
      </c>
      <c r="K26" s="1">
        <v>119328</v>
      </c>
    </row>
    <row r="27" spans="1:11" ht="12.75">
      <c r="A27">
        <v>575000</v>
      </c>
      <c r="B27">
        <v>14</v>
      </c>
      <c r="C27" s="6" t="s">
        <v>5</v>
      </c>
      <c r="D27" s="34">
        <v>75300</v>
      </c>
      <c r="E27" s="11" t="s">
        <v>36</v>
      </c>
      <c r="J27" s="12" t="s">
        <v>39</v>
      </c>
      <c r="K27" s="1">
        <v>77575</v>
      </c>
    </row>
    <row r="28" spans="1:11" ht="12.75">
      <c r="A28">
        <v>575620</v>
      </c>
      <c r="B28">
        <v>14</v>
      </c>
      <c r="C28" s="6" t="s">
        <v>6</v>
      </c>
      <c r="D28" s="34">
        <v>12550</v>
      </c>
      <c r="E28" s="11" t="s">
        <v>36</v>
      </c>
      <c r="J28" s="12" t="s">
        <v>39</v>
      </c>
      <c r="K28" s="1">
        <v>26433</v>
      </c>
    </row>
    <row r="29" spans="1:11" ht="12.75">
      <c r="A29">
        <v>575480</v>
      </c>
      <c r="B29">
        <v>14</v>
      </c>
      <c r="C29" s="6" t="s">
        <v>7</v>
      </c>
      <c r="D29" s="34">
        <v>31875</v>
      </c>
      <c r="E29" s="11" t="s">
        <v>36</v>
      </c>
      <c r="J29" s="12" t="s">
        <v>39</v>
      </c>
      <c r="K29" s="1">
        <v>31618</v>
      </c>
    </row>
    <row r="30" spans="1:11" ht="12.75">
      <c r="A30">
        <v>575500</v>
      </c>
      <c r="B30">
        <v>14</v>
      </c>
      <c r="C30" s="6" t="s">
        <v>8</v>
      </c>
      <c r="D30" s="34">
        <v>10040</v>
      </c>
      <c r="E30" s="11" t="s">
        <v>36</v>
      </c>
      <c r="J30" s="12" t="s">
        <v>39</v>
      </c>
      <c r="K30" s="1">
        <v>7098</v>
      </c>
    </row>
    <row r="31" spans="1:11" ht="12.75">
      <c r="A31">
        <v>575780</v>
      </c>
      <c r="B31">
        <v>14</v>
      </c>
      <c r="C31" s="6" t="s">
        <v>9</v>
      </c>
      <c r="D31" s="34">
        <v>6275</v>
      </c>
      <c r="E31" s="11" t="s">
        <v>36</v>
      </c>
      <c r="J31" s="12" t="s">
        <v>39</v>
      </c>
      <c r="K31" s="1">
        <v>8182</v>
      </c>
    </row>
    <row r="32" spans="1:11" ht="12.75">
      <c r="A32">
        <v>575820</v>
      </c>
      <c r="B32">
        <v>14</v>
      </c>
      <c r="C32" s="6" t="s">
        <v>10</v>
      </c>
      <c r="D32" s="34">
        <v>18825</v>
      </c>
      <c r="E32" s="11" t="s">
        <v>36</v>
      </c>
      <c r="J32" s="12" t="s">
        <v>39</v>
      </c>
      <c r="K32" s="1">
        <v>8911</v>
      </c>
    </row>
    <row r="33" spans="1:11" ht="12.75">
      <c r="A33">
        <v>575741</v>
      </c>
      <c r="B33">
        <v>14</v>
      </c>
      <c r="C33" s="6" t="s">
        <v>11</v>
      </c>
      <c r="D33" s="34">
        <v>18825</v>
      </c>
      <c r="E33" s="11" t="s">
        <v>36</v>
      </c>
      <c r="J33" s="12" t="s">
        <v>39</v>
      </c>
      <c r="K33" s="1">
        <v>17621</v>
      </c>
    </row>
    <row r="34" spans="3:12" ht="12.75">
      <c r="C34" s="6" t="s">
        <v>94</v>
      </c>
      <c r="D34" s="2">
        <f>SUM(D25:D33)</f>
        <v>315090</v>
      </c>
      <c r="E34" s="41" t="s">
        <v>41</v>
      </c>
      <c r="K34" s="1">
        <v>4090</v>
      </c>
      <c r="L34" t="s">
        <v>121</v>
      </c>
    </row>
    <row r="35" spans="3:12" ht="12.75">
      <c r="C35" s="6"/>
      <c r="K35" s="1">
        <v>5521</v>
      </c>
      <c r="L35" t="s">
        <v>122</v>
      </c>
    </row>
    <row r="36" spans="3:11" ht="13.5" thickBot="1">
      <c r="C36" s="6" t="s">
        <v>23</v>
      </c>
      <c r="D36" s="22">
        <f>ROUND(D34*D10,0)</f>
        <v>94023</v>
      </c>
      <c r="E36" t="s">
        <v>41</v>
      </c>
      <c r="K36" s="22">
        <v>75481</v>
      </c>
    </row>
    <row r="37" spans="3:11" ht="13.5" thickTop="1">
      <c r="C37" s="6"/>
      <c r="D37" s="31"/>
      <c r="K37" s="1"/>
    </row>
    <row r="38" spans="3:11" ht="12.75">
      <c r="C38" s="6" t="s">
        <v>53</v>
      </c>
      <c r="D38" s="31"/>
      <c r="K38" s="1"/>
    </row>
    <row r="39" spans="1:11" ht="12.75">
      <c r="A39">
        <v>535000</v>
      </c>
      <c r="B39">
        <v>15</v>
      </c>
      <c r="C39" s="6" t="s">
        <v>3</v>
      </c>
      <c r="D39" s="39">
        <v>62750</v>
      </c>
      <c r="E39" t="s">
        <v>83</v>
      </c>
      <c r="K39" s="1"/>
    </row>
    <row r="40" spans="1:11" ht="12.75">
      <c r="A40">
        <v>53500</v>
      </c>
      <c r="B40">
        <v>14</v>
      </c>
      <c r="C40" s="6" t="s">
        <v>90</v>
      </c>
      <c r="D40" s="34">
        <v>56475</v>
      </c>
      <c r="E40" t="s">
        <v>83</v>
      </c>
      <c r="K40" s="1"/>
    </row>
    <row r="41" spans="1:11" ht="12.75">
      <c r="A41">
        <v>575741</v>
      </c>
      <c r="B41">
        <v>16</v>
      </c>
      <c r="C41" s="6" t="s">
        <v>54</v>
      </c>
      <c r="D41" s="38">
        <v>9600</v>
      </c>
      <c r="E41" t="s">
        <v>137</v>
      </c>
      <c r="J41" s="12" t="s">
        <v>39</v>
      </c>
      <c r="K41" s="1">
        <v>742</v>
      </c>
    </row>
    <row r="42" spans="3:11" ht="13.5" thickBot="1">
      <c r="C42" s="6" t="s">
        <v>93</v>
      </c>
      <c r="D42" s="22">
        <f>SUM(D39:D41)</f>
        <v>128825</v>
      </c>
      <c r="E42" t="s">
        <v>41</v>
      </c>
      <c r="K42" s="22">
        <v>174369</v>
      </c>
    </row>
    <row r="43" spans="3:11" ht="13.5" thickTop="1">
      <c r="C43" s="6"/>
      <c r="D43" s="31"/>
      <c r="K43" s="1"/>
    </row>
    <row r="44" spans="2:11" ht="12.75">
      <c r="B44" s="3" t="s">
        <v>14</v>
      </c>
      <c r="C44" s="5" t="s">
        <v>12</v>
      </c>
      <c r="K44" s="1"/>
    </row>
    <row r="45" spans="3:11" ht="12.75">
      <c r="C45" s="6" t="s">
        <v>78</v>
      </c>
      <c r="D45" s="2">
        <f>D8+D12</f>
        <v>857760</v>
      </c>
      <c r="E45" t="s">
        <v>41</v>
      </c>
      <c r="K45" s="1"/>
    </row>
    <row r="46" spans="3:11" ht="12.75">
      <c r="C46" s="6" t="s">
        <v>16</v>
      </c>
      <c r="D46" s="40">
        <v>0.4775</v>
      </c>
      <c r="E46" t="s">
        <v>37</v>
      </c>
      <c r="K46" s="1"/>
    </row>
    <row r="47" spans="3:11" ht="13.5" thickBot="1">
      <c r="C47" s="6" t="s">
        <v>27</v>
      </c>
      <c r="D47" s="22">
        <f>ROUND(D45*D46,0)</f>
        <v>409580</v>
      </c>
      <c r="E47" t="s">
        <v>41</v>
      </c>
      <c r="K47" s="22">
        <v>396086</v>
      </c>
    </row>
    <row r="48" spans="3:11" ht="13.5" thickTop="1">
      <c r="C48" s="6"/>
      <c r="K48" s="1"/>
    </row>
    <row r="49" spans="2:11" ht="12.75">
      <c r="B49" s="3" t="s">
        <v>17</v>
      </c>
      <c r="C49" s="5" t="s">
        <v>18</v>
      </c>
      <c r="K49" s="1"/>
    </row>
    <row r="50" spans="3:11" ht="12.75">
      <c r="C50" s="6" t="s">
        <v>99</v>
      </c>
      <c r="D50" s="18">
        <f>Footnotes!E14</f>
        <v>223764</v>
      </c>
      <c r="E50" s="9" t="s">
        <v>103</v>
      </c>
      <c r="K50" s="1"/>
    </row>
    <row r="51" spans="3:11" ht="25.5">
      <c r="C51" s="6" t="s">
        <v>100</v>
      </c>
      <c r="D51" s="18">
        <f>Footnotes!E4</f>
        <v>93727</v>
      </c>
      <c r="E51" s="9" t="s">
        <v>96</v>
      </c>
      <c r="K51" s="1"/>
    </row>
    <row r="52" spans="3:11" ht="12.75">
      <c r="C52" s="6" t="s">
        <v>70</v>
      </c>
      <c r="D52" s="20">
        <f>ROUND(D50/D51,2)</f>
        <v>2.39</v>
      </c>
      <c r="E52" t="s">
        <v>41</v>
      </c>
      <c r="K52" s="1"/>
    </row>
    <row r="53" spans="3:11" ht="12.75">
      <c r="C53" s="6"/>
      <c r="D53" s="4"/>
      <c r="K53" s="1"/>
    </row>
    <row r="54" spans="3:11" ht="25.5">
      <c r="C54" s="6" t="s">
        <v>100</v>
      </c>
      <c r="D54" s="18">
        <f>D51</f>
        <v>93727</v>
      </c>
      <c r="E54" t="s">
        <v>41</v>
      </c>
      <c r="K54" s="1"/>
    </row>
    <row r="55" spans="3:11" ht="12.75">
      <c r="C55" s="6" t="s">
        <v>95</v>
      </c>
      <c r="D55" s="18">
        <f>Customers!B3</f>
        <v>110712</v>
      </c>
      <c r="E55" t="s">
        <v>41</v>
      </c>
      <c r="K55" s="1"/>
    </row>
    <row r="56" spans="3:11" ht="12.75">
      <c r="C56" s="6" t="s">
        <v>69</v>
      </c>
      <c r="D56" s="53">
        <f>ROUND(D54/D55,4)</f>
        <v>0.8466</v>
      </c>
      <c r="E56" t="s">
        <v>41</v>
      </c>
      <c r="K56" s="1"/>
    </row>
    <row r="57" spans="3:11" ht="12.75">
      <c r="C57" s="6"/>
      <c r="K57" s="1"/>
    </row>
    <row r="58" spans="3:11" ht="12.75">
      <c r="C58" s="6" t="s">
        <v>101</v>
      </c>
      <c r="D58" s="18">
        <f>Customers!B4</f>
        <v>116152</v>
      </c>
      <c r="E58" s="17" t="s">
        <v>97</v>
      </c>
      <c r="K58" s="1"/>
    </row>
    <row r="59" spans="3:11" ht="12.75">
      <c r="C59" s="6" t="s">
        <v>98</v>
      </c>
      <c r="D59" s="53">
        <f>D56</f>
        <v>0.8466</v>
      </c>
      <c r="E59" t="s">
        <v>41</v>
      </c>
      <c r="K59" s="1"/>
    </row>
    <row r="60" spans="3:11" ht="12.75">
      <c r="C60" s="6" t="s">
        <v>19</v>
      </c>
      <c r="D60" s="1">
        <f>ROUND(D58*D59,0)</f>
        <v>98334</v>
      </c>
      <c r="E60" t="s">
        <v>41</v>
      </c>
      <c r="K60" s="1"/>
    </row>
    <row r="61" spans="3:11" ht="12.75">
      <c r="C61" s="6"/>
      <c r="K61" s="1"/>
    </row>
    <row r="62" spans="3:11" ht="12.75">
      <c r="C62" s="6" t="s">
        <v>19</v>
      </c>
      <c r="D62" s="1">
        <f>D60</f>
        <v>98334</v>
      </c>
      <c r="E62" t="s">
        <v>41</v>
      </c>
      <c r="K62" s="1"/>
    </row>
    <row r="63" spans="3:11" ht="12.75">
      <c r="C63" s="6" t="s">
        <v>70</v>
      </c>
      <c r="D63" s="19">
        <f>D52</f>
        <v>2.39</v>
      </c>
      <c r="E63" t="s">
        <v>41</v>
      </c>
      <c r="K63" s="1"/>
    </row>
    <row r="64" spans="3:11" ht="12.75">
      <c r="C64" s="6" t="s">
        <v>20</v>
      </c>
      <c r="D64" s="1">
        <f>D62*D63</f>
        <v>235018.26</v>
      </c>
      <c r="E64" t="s">
        <v>41</v>
      </c>
      <c r="K64" s="1"/>
    </row>
    <row r="65" spans="3:11" ht="12.75">
      <c r="C65" s="6" t="s">
        <v>21</v>
      </c>
      <c r="D65" s="42">
        <v>0.445</v>
      </c>
      <c r="K65" s="1"/>
    </row>
    <row r="66" spans="3:11" ht="26.25" thickBot="1">
      <c r="C66" s="6" t="s">
        <v>22</v>
      </c>
      <c r="D66" s="22">
        <f>ROUND(D64*D65,0)</f>
        <v>104583</v>
      </c>
      <c r="E66" t="s">
        <v>41</v>
      </c>
      <c r="K66" s="22">
        <v>91120</v>
      </c>
    </row>
    <row r="67" spans="3:11" ht="13.5" thickTop="1">
      <c r="C67" s="6"/>
      <c r="K67" s="1"/>
    </row>
    <row r="68" spans="2:11" ht="12.75">
      <c r="B68" s="3" t="s">
        <v>24</v>
      </c>
      <c r="C68" s="5" t="s">
        <v>25</v>
      </c>
      <c r="K68" s="1"/>
    </row>
    <row r="69" spans="3:11" ht="12.75">
      <c r="C69" s="6" t="s">
        <v>138</v>
      </c>
      <c r="D69" s="36">
        <v>1557125</v>
      </c>
      <c r="E69" s="12" t="s">
        <v>43</v>
      </c>
      <c r="K69" s="1"/>
    </row>
    <row r="70" spans="3:11" ht="12.75">
      <c r="C70" s="6" t="s">
        <v>141</v>
      </c>
      <c r="D70">
        <f>Customers!E4</f>
        <v>0.9702</v>
      </c>
      <c r="E70" s="17" t="s">
        <v>41</v>
      </c>
      <c r="K70" s="1"/>
    </row>
    <row r="71" spans="3:11" ht="12.75">
      <c r="C71" s="6" t="s">
        <v>159</v>
      </c>
      <c r="D71" s="16">
        <f>ROUND(D69*D70,0)</f>
        <v>1510723</v>
      </c>
      <c r="E71" s="17" t="s">
        <v>41</v>
      </c>
      <c r="K71" s="1"/>
    </row>
    <row r="72" spans="3:11" ht="25.5">
      <c r="C72" s="6" t="s">
        <v>142</v>
      </c>
      <c r="D72" s="34">
        <v>111425</v>
      </c>
      <c r="E72" s="12" t="s">
        <v>143</v>
      </c>
      <c r="K72" s="1"/>
    </row>
    <row r="73" spans="3:11" ht="12.75">
      <c r="C73" s="6" t="s">
        <v>95</v>
      </c>
      <c r="D73" s="18">
        <f>D55</f>
        <v>110712</v>
      </c>
      <c r="E73" t="s">
        <v>41</v>
      </c>
      <c r="K73" s="1"/>
    </row>
    <row r="74" spans="3:11" ht="12.75">
      <c r="C74" s="6" t="s">
        <v>49</v>
      </c>
      <c r="D74" s="20">
        <f>'# Calls'!I5</f>
        <v>1.77</v>
      </c>
      <c r="E74" t="s">
        <v>41</v>
      </c>
      <c r="K74" s="1"/>
    </row>
    <row r="75" spans="3:11" ht="12.75">
      <c r="C75" s="6" t="s">
        <v>144</v>
      </c>
      <c r="D75" s="1">
        <f>D73*D74</f>
        <v>195960.24</v>
      </c>
      <c r="E75" t="s">
        <v>41</v>
      </c>
      <c r="K75" s="1"/>
    </row>
    <row r="76" spans="3:11" ht="12.75">
      <c r="C76" s="6" t="s">
        <v>164</v>
      </c>
      <c r="D76" s="21">
        <f>ROUND(D72/D75,2)</f>
        <v>0.57</v>
      </c>
      <c r="E76" t="s">
        <v>41</v>
      </c>
      <c r="K76" s="1"/>
    </row>
    <row r="77" spans="3:11" ht="26.25" thickBot="1">
      <c r="C77" s="6" t="s">
        <v>42</v>
      </c>
      <c r="D77" s="22">
        <f>ROUND(D71*D76,0)</f>
        <v>861112</v>
      </c>
      <c r="E77" t="s">
        <v>41</v>
      </c>
      <c r="K77" s="22">
        <v>368912</v>
      </c>
    </row>
    <row r="78" spans="3:11" ht="13.5" thickTop="1">
      <c r="C78" s="6"/>
      <c r="D78" s="31"/>
      <c r="K78" s="31"/>
    </row>
    <row r="79" spans="2:11" ht="12.75">
      <c r="B79" s="3" t="s">
        <v>26</v>
      </c>
      <c r="C79" s="5" t="s">
        <v>124</v>
      </c>
      <c r="D79" s="31"/>
      <c r="K79" s="31"/>
    </row>
    <row r="80" spans="2:11" ht="12.75">
      <c r="B80" s="3"/>
      <c r="C80" s="48" t="s">
        <v>129</v>
      </c>
      <c r="D80" s="39">
        <v>1901330</v>
      </c>
      <c r="E80" s="12" t="s">
        <v>126</v>
      </c>
      <c r="K80" s="31"/>
    </row>
    <row r="81" spans="2:11" ht="12.75">
      <c r="B81" s="3"/>
      <c r="C81" s="48" t="s">
        <v>130</v>
      </c>
      <c r="D81" s="38">
        <v>159792</v>
      </c>
      <c r="E81" s="12" t="s">
        <v>126</v>
      </c>
      <c r="K81" s="31"/>
    </row>
    <row r="82" spans="2:11" ht="12.75">
      <c r="B82" s="3"/>
      <c r="C82" s="48" t="s">
        <v>131</v>
      </c>
      <c r="D82" s="52">
        <f>ROUND(D81/D80,4)</f>
        <v>0.084</v>
      </c>
      <c r="E82" t="s">
        <v>41</v>
      </c>
      <c r="K82" s="31"/>
    </row>
    <row r="83" spans="3:11" ht="12.75">
      <c r="C83" s="48" t="s">
        <v>132</v>
      </c>
      <c r="D83" s="38">
        <v>1467047</v>
      </c>
      <c r="E83" s="12" t="s">
        <v>43</v>
      </c>
      <c r="K83" s="31"/>
    </row>
    <row r="84" spans="3:11" ht="12.75">
      <c r="C84" s="48" t="s">
        <v>134</v>
      </c>
      <c r="D84" s="1">
        <f>ROUND(D83*D82,0)</f>
        <v>123232</v>
      </c>
      <c r="E84" s="17" t="s">
        <v>41</v>
      </c>
      <c r="K84" s="31"/>
    </row>
    <row r="85" spans="3:11" ht="12.75">
      <c r="C85" s="6" t="s">
        <v>141</v>
      </c>
      <c r="D85">
        <f>D70</f>
        <v>0.9702</v>
      </c>
      <c r="E85" s="17" t="s">
        <v>41</v>
      </c>
      <c r="K85" s="31"/>
    </row>
    <row r="86" spans="3:11" ht="26.25" thickBot="1">
      <c r="C86" s="6" t="s">
        <v>160</v>
      </c>
      <c r="D86" s="22">
        <f>ROUND(D84*D85,0)</f>
        <v>119560</v>
      </c>
      <c r="E86" s="17" t="s">
        <v>41</v>
      </c>
      <c r="K86" s="31"/>
    </row>
    <row r="87" spans="3:11" ht="13.5" thickTop="1">
      <c r="C87" s="48"/>
      <c r="K87" s="1"/>
    </row>
    <row r="88" spans="2:11" ht="12.75">
      <c r="B88" s="3" t="s">
        <v>34</v>
      </c>
      <c r="C88" s="5" t="s">
        <v>28</v>
      </c>
      <c r="K88" s="1"/>
    </row>
    <row r="89" spans="3:11" ht="12.75">
      <c r="C89" s="6" t="s">
        <v>15</v>
      </c>
      <c r="D89" s="57">
        <f>D8</f>
        <v>856968</v>
      </c>
      <c r="E89" t="s">
        <v>41</v>
      </c>
      <c r="K89" s="7">
        <f>K8</f>
        <v>705735</v>
      </c>
    </row>
    <row r="90" spans="3:11" ht="12.75">
      <c r="C90" s="6" t="s">
        <v>52</v>
      </c>
      <c r="D90" s="58">
        <f>D12</f>
        <v>792</v>
      </c>
      <c r="E90" t="s">
        <v>41</v>
      </c>
      <c r="K90" s="1">
        <f>K12</f>
        <v>21695</v>
      </c>
    </row>
    <row r="91" spans="3:11" ht="12.75">
      <c r="C91" s="6" t="s">
        <v>51</v>
      </c>
      <c r="D91" s="58">
        <f>D13</f>
        <v>9345</v>
      </c>
      <c r="E91" t="s">
        <v>41</v>
      </c>
      <c r="K91" s="1">
        <f>K13</f>
        <v>10804</v>
      </c>
    </row>
    <row r="92" spans="3:11" ht="12.75">
      <c r="C92" s="6" t="s">
        <v>91</v>
      </c>
      <c r="D92" s="58">
        <f>D22</f>
        <v>5805</v>
      </c>
      <c r="E92" t="s">
        <v>41</v>
      </c>
      <c r="K92" s="1">
        <f>K22</f>
        <v>0</v>
      </c>
    </row>
    <row r="93" spans="3:11" ht="12.75">
      <c r="C93" s="6" t="s">
        <v>92</v>
      </c>
      <c r="D93" s="58">
        <f>D36</f>
        <v>94023</v>
      </c>
      <c r="E93" t="s">
        <v>41</v>
      </c>
      <c r="K93" s="1">
        <f>K36</f>
        <v>75481</v>
      </c>
    </row>
    <row r="94" spans="3:11" ht="12.75">
      <c r="C94" s="6" t="s">
        <v>55</v>
      </c>
      <c r="D94" s="58">
        <f>D42</f>
        <v>128825</v>
      </c>
      <c r="E94" t="s">
        <v>41</v>
      </c>
      <c r="K94" s="1">
        <f>K42</f>
        <v>174369</v>
      </c>
    </row>
    <row r="95" spans="3:11" ht="12.75">
      <c r="C95" s="6" t="s">
        <v>29</v>
      </c>
      <c r="D95" s="58">
        <f>D47</f>
        <v>409580</v>
      </c>
      <c r="E95" t="s">
        <v>41</v>
      </c>
      <c r="K95" s="1">
        <f>K47</f>
        <v>396086</v>
      </c>
    </row>
    <row r="96" spans="3:11" ht="12.75">
      <c r="C96" s="6" t="s">
        <v>30</v>
      </c>
      <c r="D96" s="58">
        <f>D66</f>
        <v>104583</v>
      </c>
      <c r="E96" t="s">
        <v>41</v>
      </c>
      <c r="K96" s="1">
        <f>K66</f>
        <v>91120</v>
      </c>
    </row>
    <row r="97" spans="3:11" ht="12.75">
      <c r="C97" s="6" t="s">
        <v>31</v>
      </c>
      <c r="D97" s="58">
        <f>D77</f>
        <v>861112</v>
      </c>
      <c r="E97" t="s">
        <v>41</v>
      </c>
      <c r="K97" s="1">
        <f>K77</f>
        <v>368912</v>
      </c>
    </row>
    <row r="98" spans="3:11" ht="12.75">
      <c r="C98" s="6" t="s">
        <v>135</v>
      </c>
      <c r="D98" s="58">
        <f>D86</f>
        <v>119560</v>
      </c>
      <c r="E98" t="s">
        <v>41</v>
      </c>
      <c r="K98" s="1">
        <v>0</v>
      </c>
    </row>
    <row r="99" spans="3:11" ht="12.75">
      <c r="C99" s="6" t="s">
        <v>32</v>
      </c>
      <c r="D99" s="28">
        <f>SUM(D89:D98)</f>
        <v>2590593</v>
      </c>
      <c r="E99" t="s">
        <v>41</v>
      </c>
      <c r="K99" s="28">
        <f>SUM(K89:K98)</f>
        <v>1844202</v>
      </c>
    </row>
    <row r="100" spans="3:11" ht="12.75">
      <c r="C100" s="6"/>
      <c r="K100" s="1"/>
    </row>
    <row r="101" spans="3:11" ht="12.75">
      <c r="C101" s="6" t="s">
        <v>33</v>
      </c>
      <c r="D101" s="1">
        <f>D60</f>
        <v>98334</v>
      </c>
      <c r="E101" t="s">
        <v>41</v>
      </c>
      <c r="K101" s="1">
        <v>77409</v>
      </c>
    </row>
    <row r="102" spans="3:11" ht="12.75">
      <c r="C102" s="6"/>
      <c r="K102" s="1"/>
    </row>
    <row r="103" spans="3:11" ht="12.75">
      <c r="C103" s="6" t="s">
        <v>104</v>
      </c>
      <c r="D103" s="30">
        <f>ROUND(D99/D101,2)</f>
        <v>26.34</v>
      </c>
      <c r="E103" t="s">
        <v>41</v>
      </c>
      <c r="K103" s="30">
        <f>ROUND(K99/K101,2)</f>
        <v>23.82</v>
      </c>
    </row>
    <row r="104" spans="3:11" ht="12.75">
      <c r="C104" s="6"/>
      <c r="D104" s="30"/>
      <c r="K104" s="1"/>
    </row>
    <row r="105" spans="3:11" ht="12.75">
      <c r="C105" s="5" t="s">
        <v>60</v>
      </c>
      <c r="D105" s="33">
        <v>26</v>
      </c>
      <c r="K105" s="1"/>
    </row>
    <row r="106" spans="3:11" ht="12.75">
      <c r="C106" s="5"/>
      <c r="D106" s="59"/>
      <c r="K106" s="1"/>
    </row>
    <row r="107" spans="2:11" ht="12.75" hidden="1">
      <c r="B107" s="3" t="s">
        <v>58</v>
      </c>
      <c r="C107" s="5" t="s">
        <v>148</v>
      </c>
      <c r="K107" s="1"/>
    </row>
    <row r="108" spans="3:11" ht="25.5" hidden="1">
      <c r="C108" s="6" t="s">
        <v>149</v>
      </c>
      <c r="D108">
        <f>ROUND(21.85*1.5,2)</f>
        <v>32.78</v>
      </c>
      <c r="E108" s="12" t="s">
        <v>38</v>
      </c>
      <c r="K108" s="1"/>
    </row>
    <row r="109" spans="3:11" ht="25.5" hidden="1">
      <c r="C109" s="6" t="s">
        <v>150</v>
      </c>
      <c r="D109" s="55">
        <f>G6</f>
        <v>619834</v>
      </c>
      <c r="E109" t="s">
        <v>41</v>
      </c>
      <c r="K109" s="1"/>
    </row>
    <row r="110" spans="3:11" ht="12.75" hidden="1">
      <c r="C110" s="6" t="s">
        <v>33</v>
      </c>
      <c r="D110" s="55">
        <f>D101</f>
        <v>98334</v>
      </c>
      <c r="E110" t="s">
        <v>41</v>
      </c>
      <c r="K110" s="1"/>
    </row>
    <row r="111" spans="3:11" ht="25.5" hidden="1">
      <c r="C111" s="6" t="s">
        <v>151</v>
      </c>
      <c r="D111" s="19">
        <f>ROUND(D109/D110,2)</f>
        <v>6.3</v>
      </c>
      <c r="E111" t="s">
        <v>41</v>
      </c>
      <c r="K111" s="1"/>
    </row>
    <row r="112" spans="3:11" ht="12.75" hidden="1">
      <c r="C112" s="6" t="s">
        <v>152</v>
      </c>
      <c r="D112" s="19">
        <f>D108-D111</f>
        <v>26.48</v>
      </c>
      <c r="E112" t="s">
        <v>41</v>
      </c>
      <c r="K112" s="1"/>
    </row>
    <row r="113" spans="3:11" ht="12.75" hidden="1">
      <c r="C113" s="6"/>
      <c r="K113" s="1"/>
    </row>
    <row r="114" spans="3:11" ht="12.75" hidden="1">
      <c r="C114" s="6" t="s">
        <v>153</v>
      </c>
      <c r="D114" s="56">
        <f>D103+D112</f>
        <v>52.82</v>
      </c>
      <c r="E114" t="s">
        <v>41</v>
      </c>
      <c r="K114" s="1"/>
    </row>
    <row r="115" spans="3:11" ht="12.75" hidden="1">
      <c r="C115" s="6"/>
      <c r="K115" s="1"/>
    </row>
    <row r="116" spans="3:11" ht="12.75" hidden="1">
      <c r="C116" s="6" t="s">
        <v>154</v>
      </c>
      <c r="D116" s="33">
        <v>53</v>
      </c>
      <c r="K116" s="1"/>
    </row>
    <row r="117" spans="3:11" ht="12.75">
      <c r="C117" s="6"/>
      <c r="K117" s="1"/>
    </row>
    <row r="118" spans="2:11" ht="12.75">
      <c r="B118" s="3">
        <v>7</v>
      </c>
      <c r="C118" s="5" t="s">
        <v>35</v>
      </c>
      <c r="K118" s="1"/>
    </row>
    <row r="119" spans="2:12" ht="12.75">
      <c r="B119" s="3"/>
      <c r="C119" s="48" t="s">
        <v>165</v>
      </c>
      <c r="D119" s="61">
        <v>26882</v>
      </c>
      <c r="K119" s="1"/>
      <c r="L119" t="s">
        <v>155</v>
      </c>
    </row>
    <row r="120" spans="2:11" ht="12.75">
      <c r="B120" s="3"/>
      <c r="C120" s="48" t="s">
        <v>166</v>
      </c>
      <c r="D120" s="1">
        <f>Customers!D3</f>
        <v>114161</v>
      </c>
      <c r="E120" t="s">
        <v>41</v>
      </c>
      <c r="K120" s="1"/>
    </row>
    <row r="121" spans="2:11" ht="12.75">
      <c r="B121" s="3"/>
      <c r="C121" s="48" t="s">
        <v>167</v>
      </c>
      <c r="D121" s="60">
        <f>ROUND(D119/D120,3)</f>
        <v>0.235</v>
      </c>
      <c r="E121" t="s">
        <v>41</v>
      </c>
      <c r="K121" s="1"/>
    </row>
    <row r="122" spans="2:11" ht="12.75">
      <c r="B122" s="3"/>
      <c r="C122" s="48" t="s">
        <v>168</v>
      </c>
      <c r="D122" s="1">
        <f>Customers!D4</f>
        <v>119725</v>
      </c>
      <c r="E122" t="s">
        <v>41</v>
      </c>
      <c r="K122" s="1"/>
    </row>
    <row r="123" spans="2:11" ht="12.75">
      <c r="B123" s="3"/>
      <c r="C123" s="48" t="s">
        <v>169</v>
      </c>
      <c r="D123" s="1">
        <f>ROUND(D122*D121,0)</f>
        <v>28135</v>
      </c>
      <c r="E123" t="s">
        <v>41</v>
      </c>
      <c r="K123" s="1"/>
    </row>
    <row r="124" spans="3:11" ht="26.25" thickBot="1">
      <c r="C124" s="5" t="s">
        <v>156</v>
      </c>
      <c r="D124" s="29">
        <f>D123*D105</f>
        <v>731510</v>
      </c>
      <c r="E124" t="s">
        <v>41</v>
      </c>
      <c r="K124" s="1"/>
    </row>
    <row r="125" spans="3:11" ht="13.5" thickTop="1">
      <c r="C125" s="6"/>
      <c r="K125" s="1"/>
    </row>
    <row r="126" spans="2:11" ht="12.75">
      <c r="B126" s="3">
        <v>8</v>
      </c>
      <c r="C126" s="5" t="s">
        <v>59</v>
      </c>
      <c r="K126" s="1"/>
    </row>
    <row r="127" spans="3:12" ht="12.75">
      <c r="C127" s="48" t="s">
        <v>170</v>
      </c>
      <c r="D127" s="61">
        <v>8568</v>
      </c>
      <c r="K127" s="1"/>
      <c r="L127" t="s">
        <v>155</v>
      </c>
    </row>
    <row r="128" spans="3:11" ht="12.75">
      <c r="C128" s="48" t="s">
        <v>166</v>
      </c>
      <c r="D128" s="1">
        <f>D120</f>
        <v>114161</v>
      </c>
      <c r="E128" t="s">
        <v>41</v>
      </c>
      <c r="K128" s="1"/>
    </row>
    <row r="129" spans="3:11" ht="12.75">
      <c r="C129" s="48" t="s">
        <v>171</v>
      </c>
      <c r="D129" s="60">
        <f>ROUND(D127/D128,3)</f>
        <v>0.075</v>
      </c>
      <c r="E129" t="s">
        <v>41</v>
      </c>
      <c r="K129" s="1"/>
    </row>
    <row r="130" spans="3:11" ht="12.75">
      <c r="C130" s="48" t="s">
        <v>168</v>
      </c>
      <c r="D130" s="1">
        <f>D122</f>
        <v>119725</v>
      </c>
      <c r="E130" t="s">
        <v>41</v>
      </c>
      <c r="K130" s="1"/>
    </row>
    <row r="131" spans="3:11" ht="12.75">
      <c r="C131" s="48" t="s">
        <v>172</v>
      </c>
      <c r="D131" s="1">
        <f>ROUND(D130*D129,0)</f>
        <v>8979</v>
      </c>
      <c r="E131" t="s">
        <v>41</v>
      </c>
      <c r="K131" s="1"/>
    </row>
    <row r="132" spans="3:11" ht="26.25" thickBot="1">
      <c r="C132" s="5" t="s">
        <v>157</v>
      </c>
      <c r="D132" s="29">
        <f>D131*D105</f>
        <v>233454</v>
      </c>
      <c r="E132" t="s">
        <v>41</v>
      </c>
      <c r="K132" s="1"/>
    </row>
    <row r="133" spans="3:11" ht="13.5" thickTop="1">
      <c r="C133" s="6"/>
      <c r="K133" s="1"/>
    </row>
    <row r="134" spans="3:11" ht="12.75">
      <c r="C134" s="5"/>
      <c r="K134" s="1"/>
    </row>
    <row r="135" spans="3:11" ht="12.75">
      <c r="C135" s="5"/>
      <c r="K135" s="1"/>
    </row>
    <row r="136" spans="3:11" ht="12.75">
      <c r="C136" s="5"/>
      <c r="E136" s="12"/>
      <c r="K136" s="1"/>
    </row>
    <row r="137" spans="3:11" ht="12.75">
      <c r="C137" s="6"/>
      <c r="D137" s="55"/>
      <c r="K137" s="1"/>
    </row>
    <row r="138" spans="3:11" ht="12.75">
      <c r="C138" s="6"/>
      <c r="D138" s="55"/>
      <c r="K138" s="1"/>
    </row>
    <row r="139" spans="3:11" ht="12.75">
      <c r="C139" s="6"/>
      <c r="D139" s="19"/>
      <c r="K139" s="1"/>
    </row>
    <row r="140" spans="3:11" ht="12.75">
      <c r="C140" s="6"/>
      <c r="D140" s="19"/>
      <c r="K140" s="1"/>
    </row>
    <row r="141" spans="3:11" ht="12.75">
      <c r="C141" s="6"/>
      <c r="K141" s="1"/>
    </row>
    <row r="142" spans="3:11" ht="12.75">
      <c r="C142" s="6"/>
      <c r="D142" s="56"/>
      <c r="K142" s="1"/>
    </row>
    <row r="143" spans="3:11" ht="12.75">
      <c r="C143" s="6"/>
      <c r="K143" s="1"/>
    </row>
    <row r="144" spans="3:11" ht="12.75">
      <c r="C144" s="6"/>
      <c r="D144" s="59"/>
      <c r="K144" s="1"/>
    </row>
    <row r="145" spans="3:11" ht="12.75">
      <c r="C145" s="6"/>
      <c r="K145" s="1"/>
    </row>
    <row r="146" spans="3:11" ht="12.75">
      <c r="C146" s="6"/>
      <c r="K146" s="1"/>
    </row>
    <row r="147" spans="3:11" ht="12.75">
      <c r="C147" s="6"/>
      <c r="K147" s="1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</sheetData>
  <mergeCells count="2">
    <mergeCell ref="A1:D1"/>
    <mergeCell ref="A2:D2"/>
  </mergeCells>
  <printOptions gridLines="1"/>
  <pageMargins left="0.5" right="0.75" top="1" bottom="1" header="0.5" footer="0.5"/>
  <pageSetup fitToHeight="0" fitToWidth="1" horizontalDpi="600" verticalDpi="600" orientation="landscape" scale="76" r:id="rId1"/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75" zoomScaleNormal="75" workbookViewId="0" topLeftCell="A1">
      <selection activeCell="B10" sqref="B10"/>
    </sheetView>
  </sheetViews>
  <sheetFormatPr defaultColWidth="9.140625" defaultRowHeight="12.75"/>
  <cols>
    <col min="2" max="2" width="25.8515625" style="0" customWidth="1"/>
    <col min="3" max="3" width="18.00390625" style="0" customWidth="1"/>
    <col min="4" max="4" width="17.00390625" style="0" customWidth="1"/>
    <col min="5" max="5" width="12.28125" style="0" customWidth="1"/>
  </cols>
  <sheetData>
    <row r="1" ht="12.75">
      <c r="A1" s="9" t="s">
        <v>56</v>
      </c>
    </row>
    <row r="3" spans="1:2" ht="12.75">
      <c r="A3" s="10">
        <v>-1</v>
      </c>
      <c r="B3" t="s">
        <v>125</v>
      </c>
    </row>
    <row r="4" spans="4:5" ht="12.75">
      <c r="D4" s="32"/>
      <c r="E4" s="43">
        <v>93727</v>
      </c>
    </row>
    <row r="7" spans="2:6" ht="12.75">
      <c r="B7" t="s">
        <v>71</v>
      </c>
      <c r="E7" s="46" t="s">
        <v>118</v>
      </c>
      <c r="F7" t="s">
        <v>119</v>
      </c>
    </row>
    <row r="9" spans="1:5" ht="12.75">
      <c r="A9" s="13" t="s">
        <v>38</v>
      </c>
      <c r="B9" s="4" t="s">
        <v>161</v>
      </c>
      <c r="C9" s="4"/>
      <c r="D9" s="4"/>
      <c r="E9" s="4"/>
    </row>
    <row r="10" ht="12.75">
      <c r="A10" s="13"/>
    </row>
    <row r="11" spans="1:2" ht="12.75">
      <c r="A11" s="13" t="s">
        <v>39</v>
      </c>
      <c r="B11" t="s">
        <v>84</v>
      </c>
    </row>
    <row r="14" spans="1:6" ht="12.75">
      <c r="A14" s="13" t="s">
        <v>40</v>
      </c>
      <c r="B14" t="s">
        <v>102</v>
      </c>
      <c r="E14" s="18">
        <f>miles!I16</f>
        <v>223764</v>
      </c>
      <c r="F14" t="s">
        <v>41</v>
      </c>
    </row>
    <row r="15" ht="12.75">
      <c r="B15" t="s">
        <v>117</v>
      </c>
    </row>
    <row r="17" spans="1:2" ht="12.75">
      <c r="A17" s="13" t="s">
        <v>43</v>
      </c>
      <c r="B17" t="s">
        <v>127</v>
      </c>
    </row>
    <row r="19" spans="1:2" ht="12.75">
      <c r="A19" s="13" t="s">
        <v>126</v>
      </c>
      <c r="B19" t="s">
        <v>133</v>
      </c>
    </row>
  </sheetData>
  <printOptions gridLines="1"/>
  <pageMargins left="0" right="0" top="1" bottom="1" header="0.5" footer="0.5"/>
  <pageSetup fitToHeight="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13.28125" style="0" customWidth="1"/>
    <col min="2" max="2" width="15.8515625" style="0" customWidth="1"/>
    <col min="3" max="7" width="15.28125" style="0" customWidth="1"/>
    <col min="8" max="9" width="10.28125" style="0" customWidth="1"/>
  </cols>
  <sheetData>
    <row r="1" ht="12.75">
      <c r="B1" t="s">
        <v>44</v>
      </c>
    </row>
    <row r="2" ht="12.75">
      <c r="B2" t="s">
        <v>57</v>
      </c>
    </row>
    <row r="4" spans="1:9" ht="63.75">
      <c r="A4" s="8" t="s">
        <v>47</v>
      </c>
      <c r="B4" s="8" t="s">
        <v>46</v>
      </c>
      <c r="C4" s="8" t="s">
        <v>45</v>
      </c>
      <c r="D4" s="23" t="s">
        <v>162</v>
      </c>
      <c r="E4" s="23" t="s">
        <v>163</v>
      </c>
      <c r="F4" s="23" t="s">
        <v>50</v>
      </c>
      <c r="G4" s="23" t="s">
        <v>145</v>
      </c>
      <c r="H4" s="5" t="s">
        <v>146</v>
      </c>
      <c r="I4" s="5" t="s">
        <v>147</v>
      </c>
    </row>
    <row r="5" spans="1:10" ht="12.75">
      <c r="A5" s="47">
        <v>2006</v>
      </c>
      <c r="B5" s="50">
        <v>217251</v>
      </c>
      <c r="C5" s="49">
        <f>B5</f>
        <v>217251</v>
      </c>
      <c r="D5" s="62">
        <v>0.069</v>
      </c>
      <c r="E5" s="49">
        <f>ROUND(C5*(1-D5),0)</f>
        <v>202261</v>
      </c>
      <c r="F5" s="51">
        <v>115568</v>
      </c>
      <c r="G5" s="51">
        <v>114161</v>
      </c>
      <c r="H5" s="19">
        <f>ROUND(E5/F5,2)</f>
        <v>1.75</v>
      </c>
      <c r="I5" s="19">
        <f>ROUND(E5/G5,2)</f>
        <v>1.77</v>
      </c>
      <c r="J5" t="s">
        <v>128</v>
      </c>
    </row>
    <row r="6" spans="1:9" ht="12.75">
      <c r="A6" s="8"/>
      <c r="B6" s="8"/>
      <c r="C6" s="8"/>
      <c r="D6" s="8"/>
      <c r="E6" s="8"/>
      <c r="F6" s="23"/>
      <c r="G6" s="23"/>
      <c r="H6" s="5"/>
      <c r="I6" s="5"/>
    </row>
    <row r="7" spans="1:9" ht="12.75">
      <c r="A7" s="8"/>
      <c r="B7" s="8"/>
      <c r="C7" s="8"/>
      <c r="D7" s="8"/>
      <c r="E7" s="8"/>
      <c r="F7" s="23"/>
      <c r="G7" s="23"/>
      <c r="H7" s="5"/>
      <c r="I7" s="5"/>
    </row>
    <row r="8" spans="1:9" ht="12.75">
      <c r="A8" s="37" t="s">
        <v>48</v>
      </c>
      <c r="B8" s="1">
        <v>91773</v>
      </c>
      <c r="C8" s="1">
        <f>B8/7*12</f>
        <v>157325.14285714284</v>
      </c>
      <c r="D8" s="1"/>
      <c r="E8" s="1"/>
      <c r="F8" s="1">
        <v>105605</v>
      </c>
      <c r="G8" s="1"/>
      <c r="H8" s="19">
        <f>C8/F8</f>
        <v>1.489750891123932</v>
      </c>
      <c r="I8" s="19"/>
    </row>
    <row r="9" spans="1:9" ht="12.75">
      <c r="A9">
        <v>2002</v>
      </c>
      <c r="B9" s="1">
        <v>154944</v>
      </c>
      <c r="C9" s="1">
        <f>B9</f>
        <v>154944</v>
      </c>
      <c r="D9" s="1"/>
      <c r="E9" s="1"/>
      <c r="F9" s="1">
        <v>103659</v>
      </c>
      <c r="G9" s="1"/>
      <c r="H9" s="19">
        <f>C9/F9</f>
        <v>1.4947471999536943</v>
      </c>
      <c r="I9" s="19"/>
    </row>
    <row r="10" spans="1:9" ht="12.75">
      <c r="A10">
        <v>2001</v>
      </c>
      <c r="B10" s="1">
        <v>138519</v>
      </c>
      <c r="C10" s="1">
        <f>B10</f>
        <v>138519</v>
      </c>
      <c r="D10" s="1"/>
      <c r="E10" s="1"/>
      <c r="F10" s="1">
        <v>101580</v>
      </c>
      <c r="G10" s="1"/>
      <c r="H10" s="19">
        <f>C10/F10</f>
        <v>1.3636444181925576</v>
      </c>
      <c r="I10" s="19"/>
    </row>
    <row r="11" spans="2:9" ht="12.75">
      <c r="B11" s="1"/>
      <c r="C11" s="1"/>
      <c r="D11" s="1"/>
      <c r="E11" s="1"/>
      <c r="F11" s="1"/>
      <c r="G11" s="1"/>
      <c r="H11" s="19">
        <f>(SUM(H8:H10)/3)</f>
        <v>1.4493808364233949</v>
      </c>
      <c r="I11" s="19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</sheetData>
  <printOptions gridLines="1"/>
  <pageMargins left="0" right="0" top="1" bottom="1" header="0.5" footer="0.5"/>
  <pageSetup fitToHeight="0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workbookViewId="0" topLeftCell="A1">
      <selection activeCell="F10" sqref="F10"/>
    </sheetView>
  </sheetViews>
  <sheetFormatPr defaultColWidth="9.140625" defaultRowHeight="12.75"/>
  <cols>
    <col min="1" max="1" width="28.00390625" style="24" customWidth="1"/>
    <col min="2" max="2" width="9.57421875" style="24" customWidth="1"/>
    <col min="3" max="3" width="10.421875" style="24" customWidth="1"/>
    <col min="4" max="6" width="9.421875" style="24" customWidth="1"/>
    <col min="7" max="7" width="84.421875" style="24" customWidth="1"/>
    <col min="8" max="16384" width="14.57421875" style="24" customWidth="1"/>
  </cols>
  <sheetData>
    <row r="1" spans="1:15" ht="15">
      <c r="A1" t="s">
        <v>61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25.5">
      <c r="A2"/>
      <c r="B2" t="s">
        <v>63</v>
      </c>
      <c r="C2" t="s">
        <v>64</v>
      </c>
      <c r="D2" t="s">
        <v>116</v>
      </c>
      <c r="E2" s="6" t="s">
        <v>139</v>
      </c>
      <c r="F2" s="6" t="s">
        <v>140</v>
      </c>
      <c r="G2" t="s">
        <v>66</v>
      </c>
      <c r="H2"/>
      <c r="I2"/>
      <c r="J2"/>
      <c r="K2"/>
      <c r="L2"/>
      <c r="M2"/>
      <c r="N2"/>
      <c r="O2"/>
    </row>
    <row r="3" spans="1:15" ht="15">
      <c r="A3" t="s">
        <v>62</v>
      </c>
      <c r="B3" s="34">
        <v>110712</v>
      </c>
      <c r="C3" s="34">
        <v>3449</v>
      </c>
      <c r="D3" s="34">
        <f>SUM(B3:C3)</f>
        <v>114161</v>
      </c>
      <c r="E3" s="54">
        <f>ROUND(B3/D3,4)</f>
        <v>0.9698</v>
      </c>
      <c r="F3" s="54">
        <f>1-E3</f>
        <v>0.030200000000000005</v>
      </c>
      <c r="G3" t="s">
        <v>67</v>
      </c>
      <c r="H3"/>
      <c r="I3"/>
      <c r="J3"/>
      <c r="K3"/>
      <c r="L3"/>
      <c r="M3"/>
      <c r="N3"/>
      <c r="O3"/>
    </row>
    <row r="4" spans="1:16" ht="15">
      <c r="A4" t="s">
        <v>65</v>
      </c>
      <c r="B4" s="34">
        <v>116152</v>
      </c>
      <c r="C4" s="34">
        <v>3573</v>
      </c>
      <c r="D4" s="34">
        <f>SUM(B4:C4)</f>
        <v>119725</v>
      </c>
      <c r="E4" s="54">
        <f>ROUND(B4/D4,4)</f>
        <v>0.9702</v>
      </c>
      <c r="F4" s="54">
        <f>1-E4</f>
        <v>0.02980000000000005</v>
      </c>
      <c r="G4" t="s">
        <v>68</v>
      </c>
      <c r="H4"/>
      <c r="I4"/>
      <c r="J4"/>
      <c r="K4"/>
      <c r="L4"/>
      <c r="M4"/>
      <c r="N4"/>
      <c r="O4"/>
      <c r="P4" s="25"/>
    </row>
    <row r="5" spans="1:16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26"/>
    </row>
    <row r="6" spans="1:15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7" customFormat="1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printOptions gridLines="1"/>
  <pageMargins left="0" right="0" top="1" bottom="1" header="0.5" footer="0.5"/>
  <pageSetup fitToHeight="0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E22" sqref="E22"/>
    </sheetView>
  </sheetViews>
  <sheetFormatPr defaultColWidth="9.140625" defaultRowHeight="12.75"/>
  <cols>
    <col min="1" max="1" width="13.57421875" style="0" customWidth="1"/>
    <col min="3" max="8" width="9.28125" style="0" bestFit="1" customWidth="1"/>
    <col min="9" max="9" width="11.28125" style="0" bestFit="1" customWidth="1"/>
  </cols>
  <sheetData>
    <row r="1" ht="12.75">
      <c r="A1" t="s">
        <v>106</v>
      </c>
    </row>
    <row r="2" ht="12.75">
      <c r="A2" t="s">
        <v>109</v>
      </c>
    </row>
    <row r="3" spans="1:9" ht="25.5">
      <c r="A3" t="s">
        <v>107</v>
      </c>
      <c r="B3" s="6" t="s">
        <v>108</v>
      </c>
      <c r="C3" s="6" t="s">
        <v>110</v>
      </c>
      <c r="D3" s="6" t="s">
        <v>111</v>
      </c>
      <c r="E3" s="6" t="s">
        <v>112</v>
      </c>
      <c r="F3" s="6" t="s">
        <v>115</v>
      </c>
      <c r="G3" s="6" t="s">
        <v>113</v>
      </c>
      <c r="H3" s="6" t="s">
        <v>114</v>
      </c>
      <c r="I3" s="6" t="s">
        <v>116</v>
      </c>
    </row>
    <row r="4" spans="1:9" ht="12.75">
      <c r="A4" s="44">
        <v>38718</v>
      </c>
      <c r="B4" s="40">
        <v>15887</v>
      </c>
      <c r="C4" s="34"/>
      <c r="D4" s="34"/>
      <c r="E4" s="34"/>
      <c r="F4" s="34"/>
      <c r="G4" s="34">
        <v>1100</v>
      </c>
      <c r="H4" s="34">
        <v>2587</v>
      </c>
      <c r="I4" s="1">
        <f>SUM(B4:H4)</f>
        <v>19574</v>
      </c>
    </row>
    <row r="5" spans="1:9" ht="12.75">
      <c r="A5" s="44">
        <v>38749</v>
      </c>
      <c r="B5" s="40">
        <v>15723</v>
      </c>
      <c r="C5" s="34"/>
      <c r="D5" s="34"/>
      <c r="E5" s="34"/>
      <c r="F5" s="34"/>
      <c r="G5" s="34">
        <v>1100</v>
      </c>
      <c r="H5" s="34">
        <v>2587</v>
      </c>
      <c r="I5" s="1">
        <f aca="true" t="shared" si="0" ref="I5:I15">SUM(B5:H5)</f>
        <v>19410</v>
      </c>
    </row>
    <row r="6" spans="1:9" ht="12.75">
      <c r="A6" s="44">
        <v>38777</v>
      </c>
      <c r="B6" s="40">
        <v>17831</v>
      </c>
      <c r="C6" s="34"/>
      <c r="D6" s="34"/>
      <c r="E6" s="34"/>
      <c r="F6" s="34"/>
      <c r="G6" s="34"/>
      <c r="H6" s="34">
        <v>2587</v>
      </c>
      <c r="I6" s="1">
        <f t="shared" si="0"/>
        <v>20418</v>
      </c>
    </row>
    <row r="7" spans="1:9" ht="12.75">
      <c r="A7" s="44">
        <v>38808</v>
      </c>
      <c r="B7" s="40">
        <v>15363</v>
      </c>
      <c r="C7" s="34"/>
      <c r="D7" s="34"/>
      <c r="E7" s="34"/>
      <c r="F7" s="34"/>
      <c r="G7" s="34"/>
      <c r="H7" s="34">
        <v>2587</v>
      </c>
      <c r="I7" s="1">
        <f t="shared" si="0"/>
        <v>17950</v>
      </c>
    </row>
    <row r="8" spans="1:9" ht="12.75">
      <c r="A8" s="44">
        <v>38838</v>
      </c>
      <c r="B8" s="40">
        <v>14191</v>
      </c>
      <c r="C8" s="34"/>
      <c r="D8" s="34"/>
      <c r="E8" s="34">
        <v>1183</v>
      </c>
      <c r="F8" s="34">
        <v>2506</v>
      </c>
      <c r="G8" s="34"/>
      <c r="H8" s="34">
        <v>2587</v>
      </c>
      <c r="I8" s="1">
        <f t="shared" si="0"/>
        <v>20467</v>
      </c>
    </row>
    <row r="9" spans="1:9" ht="12.75">
      <c r="A9" s="44">
        <v>38869</v>
      </c>
      <c r="B9" s="40">
        <v>15902</v>
      </c>
      <c r="C9" s="34"/>
      <c r="D9" s="34"/>
      <c r="E9" s="34"/>
      <c r="F9" s="34"/>
      <c r="G9" s="34"/>
      <c r="H9" s="34">
        <v>2587</v>
      </c>
      <c r="I9" s="1">
        <f t="shared" si="0"/>
        <v>18489</v>
      </c>
    </row>
    <row r="10" spans="1:9" ht="12.75">
      <c r="A10" s="44">
        <v>38899</v>
      </c>
      <c r="B10" s="40">
        <v>9276</v>
      </c>
      <c r="C10" s="34">
        <v>1869</v>
      </c>
      <c r="D10" s="34"/>
      <c r="E10" s="34">
        <v>1183</v>
      </c>
      <c r="F10" s="34"/>
      <c r="G10" s="34">
        <v>1100</v>
      </c>
      <c r="H10" s="34">
        <v>2587</v>
      </c>
      <c r="I10" s="1">
        <f t="shared" si="0"/>
        <v>16015</v>
      </c>
    </row>
    <row r="11" spans="1:9" ht="12.75">
      <c r="A11" s="44">
        <v>38930</v>
      </c>
      <c r="B11" s="40">
        <v>17817</v>
      </c>
      <c r="C11" s="34"/>
      <c r="D11" s="34"/>
      <c r="E11" s="34"/>
      <c r="F11" s="34"/>
      <c r="G11" s="34"/>
      <c r="H11" s="34">
        <v>2587</v>
      </c>
      <c r="I11" s="1">
        <f t="shared" si="0"/>
        <v>20404</v>
      </c>
    </row>
    <row r="12" spans="1:9" ht="12.75">
      <c r="A12" s="44">
        <v>38961</v>
      </c>
      <c r="B12" s="40">
        <v>14834</v>
      </c>
      <c r="C12" s="34"/>
      <c r="D12" s="34"/>
      <c r="E12" s="34"/>
      <c r="F12" s="34"/>
      <c r="G12" s="34"/>
      <c r="H12" s="34">
        <v>2587</v>
      </c>
      <c r="I12" s="1">
        <f t="shared" si="0"/>
        <v>17421</v>
      </c>
    </row>
    <row r="13" spans="1:9" ht="12.75">
      <c r="A13" s="44">
        <v>38991</v>
      </c>
      <c r="B13" s="40">
        <v>16016</v>
      </c>
      <c r="C13" s="34"/>
      <c r="D13" s="34"/>
      <c r="E13" s="34"/>
      <c r="F13" s="34"/>
      <c r="G13" s="34"/>
      <c r="H13" s="34">
        <v>2587</v>
      </c>
      <c r="I13" s="1">
        <f t="shared" si="0"/>
        <v>18603</v>
      </c>
    </row>
    <row r="14" spans="1:9" ht="12.75">
      <c r="A14" s="44">
        <v>39022</v>
      </c>
      <c r="B14" s="40">
        <v>10903</v>
      </c>
      <c r="C14" s="34">
        <v>1869</v>
      </c>
      <c r="D14" s="34">
        <v>1963</v>
      </c>
      <c r="E14" s="34"/>
      <c r="F14" s="34"/>
      <c r="G14" s="34"/>
      <c r="H14" s="34">
        <v>2587</v>
      </c>
      <c r="I14" s="1">
        <f t="shared" si="0"/>
        <v>17322</v>
      </c>
    </row>
    <row r="15" spans="1:9" ht="12.75">
      <c r="A15" s="44">
        <v>39052</v>
      </c>
      <c r="B15" s="40">
        <v>17691</v>
      </c>
      <c r="C15" s="34"/>
      <c r="D15" s="34"/>
      <c r="E15" s="34"/>
      <c r="F15" s="34"/>
      <c r="G15" s="34"/>
      <c r="H15" s="34"/>
      <c r="I15" s="1">
        <f t="shared" si="0"/>
        <v>17691</v>
      </c>
    </row>
    <row r="16" spans="3:9" ht="12.75">
      <c r="C16" s="1"/>
      <c r="D16" s="1"/>
      <c r="E16" s="1"/>
      <c r="F16" s="1"/>
      <c r="G16" s="1"/>
      <c r="H16" s="1"/>
      <c r="I16" s="45">
        <f>SUM(I4:I15)</f>
        <v>223764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American Water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bushc</dc:creator>
  <cp:keywords/>
  <dc:description/>
  <cp:lastModifiedBy>Administrator</cp:lastModifiedBy>
  <cp:lastPrinted>2007-04-29T01:12:10Z</cp:lastPrinted>
  <dcterms:created xsi:type="dcterms:W3CDTF">2004-03-31T02:37:58Z</dcterms:created>
  <dcterms:modified xsi:type="dcterms:W3CDTF">2007-06-14T03:09:35Z</dcterms:modified>
  <cp:category/>
  <cp:version/>
  <cp:contentType/>
  <cp:contentStatus/>
</cp:coreProperties>
</file>