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<sst xmlns="http://schemas.openxmlformats.org/spreadsheetml/2006/main" count="99" uniqueCount="64">
  <si>
    <t>As Approved</t>
  </si>
  <si>
    <t>Case No.</t>
  </si>
  <si>
    <t>Group Insurance</t>
  </si>
  <si>
    <t>Pensions</t>
  </si>
  <si>
    <t>Attrition Yr.</t>
  </si>
  <si>
    <t>Total Labor &amp; Management Fees</t>
  </si>
  <si>
    <t>Budget</t>
  </si>
  <si>
    <t>Cost per Employee</t>
  </si>
  <si>
    <t xml:space="preserve">   Fully Loaded Cost per customer</t>
  </si>
  <si>
    <t xml:space="preserve">Inflated </t>
  </si>
  <si>
    <t>AVG. # Employees</t>
  </si>
  <si>
    <t>Inflated</t>
  </si>
  <si>
    <t>% Increase</t>
  </si>
  <si>
    <t>Attrition Year</t>
  </si>
  <si>
    <t xml:space="preserve">Request by </t>
  </si>
  <si>
    <t>Company</t>
  </si>
  <si>
    <t>Variance</t>
  </si>
  <si>
    <t xml:space="preserve">Attrition Yr. to </t>
  </si>
  <si>
    <t>Inflated Case</t>
  </si>
  <si>
    <t>No. 03-00118</t>
  </si>
  <si>
    <t>Costs prior</t>
  </si>
  <si>
    <t>to reorganization)</t>
  </si>
  <si>
    <t xml:space="preserve">(Reflective of </t>
  </si>
  <si>
    <t>Labor Cost</t>
  </si>
  <si>
    <t>Current Case</t>
  </si>
  <si>
    <t xml:space="preserve">   Fully Loaded Cost per employee</t>
  </si>
  <si>
    <t>Fully Loaded Labor Cost</t>
  </si>
  <si>
    <t xml:space="preserve">   Fully Loaded Cost</t>
  </si>
  <si>
    <t xml:space="preserve">CAPD to </t>
  </si>
  <si>
    <t>Request for</t>
  </si>
  <si>
    <t>Fully Loaded</t>
  </si>
  <si>
    <t>Labor&amp; Man. Fee</t>
  </si>
  <si>
    <t xml:space="preserve">Labor &amp; Management Fee Analysis That Demonstrates the Shift From </t>
  </si>
  <si>
    <t xml:space="preserve">   Fully Loaded Company Labor to Management Fees</t>
  </si>
  <si>
    <t>Footnotes:</t>
  </si>
  <si>
    <t>Page 1 of 2</t>
  </si>
  <si>
    <t>Kentucky American Water</t>
  </si>
  <si>
    <t>Exhibit MAM-7</t>
  </si>
  <si>
    <t>in KAWC</t>
  </si>
  <si>
    <t>2000-00120</t>
  </si>
  <si>
    <t>KAWC Actual Loaded Labor Costs</t>
  </si>
  <si>
    <t>Payroll Taxes</t>
  </si>
  <si>
    <t>Add emp.</t>
  </si>
  <si>
    <t xml:space="preserve">cost for </t>
  </si>
  <si>
    <t>14 employees</t>
  </si>
  <si>
    <t>Owenton</t>
  </si>
  <si>
    <t>from EL, TV &amp;</t>
  </si>
  <si>
    <t>Management Fees (Adjusted for 4.5% inflation)</t>
  </si>
  <si>
    <t>401(K)</t>
  </si>
  <si>
    <t>Note 2</t>
  </si>
  <si>
    <r>
      <t>Note 4:</t>
    </r>
    <r>
      <rPr>
        <b/>
        <sz val="10"/>
        <rFont val="Arial"/>
        <family val="2"/>
      </rPr>
      <t xml:space="preserve">  Added 1 utility person and one Admin to handle additional requirements for cross connections and 1 production tech for additional water treatment processes</t>
    </r>
  </si>
  <si>
    <t>Page 2 of 2</t>
  </si>
  <si>
    <r>
      <t xml:space="preserve">Note 1:  </t>
    </r>
    <r>
      <rPr>
        <b/>
        <sz val="10"/>
        <rFont val="Arial"/>
        <family val="2"/>
      </rPr>
      <t>The calculation of inflation factors used to determining the pro-forma 2008 costs shown in column 8 above are included on page 2 of this Exhibit.</t>
    </r>
  </si>
  <si>
    <t>plus actual 2001</t>
  </si>
  <si>
    <t>overhead costs</t>
  </si>
  <si>
    <t>&amp; Man. Fees</t>
  </si>
  <si>
    <t xml:space="preserve">Base </t>
  </si>
  <si>
    <t>Cost</t>
  </si>
  <si>
    <t>Labor (Adj.3.5% Avg. Pay Incr. 02-03 &amp; 4% for 04-08</t>
  </si>
  <si>
    <r>
      <t>Note 2:</t>
    </r>
    <r>
      <rPr>
        <b/>
        <sz val="10"/>
        <rFont val="Arial"/>
        <family val="2"/>
      </rPr>
      <t xml:space="preserve">  Added one meter reader in 2002 to handle increases in customers due to growth</t>
    </r>
  </si>
  <si>
    <r>
      <t>Note 3:</t>
    </r>
    <r>
      <rPr>
        <b/>
        <sz val="10"/>
        <rFont val="Arial"/>
        <family val="2"/>
      </rPr>
      <t xml:space="preserve">  Added 4 utility field employees to handle additional hydrant and valve maintenance work related to customer growth and one Administrative employee to handle sewer billing in 2006</t>
    </r>
  </si>
  <si>
    <t>Net Savings</t>
  </si>
  <si>
    <t xml:space="preserve">Column 8 to </t>
  </si>
  <si>
    <t>Column 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</si>
</sst>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_);\(0\)"/>
    <numFmt numFmtId="166" formatCode="_(* #,##0.0_);_(* \(#,##0.0\);_(* &quot;-&quot;??_);_(@_)"/>
    <numFmt numFmtId="167" formatCode="_(* #,##0_);_(* \(#,##0\);_(* &quot;-&quot;??_);_(@_)"/>
  </numFmts>
  <fonts count="8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7" fontId="5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37" fontId="1" fillId="0" borderId="0" xfId="0" applyNumberFormat="1" applyFont="1" applyFill="1" applyAlignment="1">
      <alignment/>
    </xf>
    <xf numFmtId="37" fontId="0" fillId="3" borderId="0" xfId="0" applyNumberFormat="1" applyFill="1" applyAlignment="1">
      <alignment/>
    </xf>
    <xf numFmtId="0" fontId="0" fillId="3" borderId="0" xfId="0" applyFill="1" applyAlignment="1">
      <alignment/>
    </xf>
    <xf numFmtId="37" fontId="1" fillId="3" borderId="0" xfId="0" applyNumberFormat="1" applyFont="1" applyFill="1" applyAlignment="1">
      <alignment/>
    </xf>
    <xf numFmtId="1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55.57421875" style="0" customWidth="1"/>
    <col min="2" max="2" width="15.28125" style="0" customWidth="1"/>
    <col min="3" max="3" width="13.421875" style="0" customWidth="1"/>
    <col min="4" max="4" width="3.421875" style="0" customWidth="1"/>
    <col min="5" max="5" width="12.140625" style="0" customWidth="1"/>
    <col min="6" max="6" width="12.7109375" style="0" customWidth="1"/>
    <col min="7" max="7" width="13.57421875" style="0" customWidth="1"/>
    <col min="8" max="8" width="11.7109375" style="0" customWidth="1"/>
    <col min="9" max="9" width="13.8515625" style="0" customWidth="1"/>
    <col min="10" max="11" width="11.7109375" style="0" customWidth="1"/>
    <col min="12" max="12" width="11.140625" style="0" customWidth="1"/>
    <col min="13" max="13" width="6.140625" style="0" customWidth="1"/>
    <col min="14" max="14" width="14.421875" style="0" bestFit="1" customWidth="1"/>
    <col min="15" max="15" width="16.140625" style="0" hidden="1" customWidth="1"/>
    <col min="16" max="16" width="4.421875" style="0" customWidth="1"/>
    <col min="17" max="17" width="12.7109375" style="0" customWidth="1"/>
    <col min="18" max="18" width="5.00390625" style="0" customWidth="1"/>
    <col min="19" max="19" width="15.421875" style="0" bestFit="1" customWidth="1"/>
    <col min="20" max="20" width="17.421875" style="0" hidden="1" customWidth="1"/>
    <col min="21" max="21" width="10.28125" style="0" bestFit="1" customWidth="1"/>
  </cols>
  <sheetData>
    <row r="1" spans="1:6" ht="15.75">
      <c r="A1" s="13" t="s">
        <v>36</v>
      </c>
      <c r="B1" s="13"/>
      <c r="C1" s="13"/>
      <c r="D1" s="13"/>
      <c r="E1" s="13"/>
      <c r="F1" s="13"/>
    </row>
    <row r="2" spans="1:6" ht="15.75">
      <c r="A2" s="13" t="s">
        <v>32</v>
      </c>
      <c r="B2" s="13"/>
      <c r="C2" s="13"/>
      <c r="D2" s="13"/>
      <c r="E2" s="13"/>
      <c r="F2" s="13"/>
    </row>
    <row r="3" spans="1:14" ht="15.75">
      <c r="A3" s="13" t="s">
        <v>33</v>
      </c>
      <c r="B3" s="13"/>
      <c r="C3" s="13"/>
      <c r="D3" s="13"/>
      <c r="E3" s="13"/>
      <c r="F3" s="13"/>
      <c r="N3" s="13" t="s">
        <v>37</v>
      </c>
    </row>
    <row r="4" spans="1:14" ht="15.75">
      <c r="A4" s="13"/>
      <c r="B4" s="13"/>
      <c r="C4" s="13"/>
      <c r="D4" s="13"/>
      <c r="E4" s="13"/>
      <c r="F4" s="13"/>
      <c r="N4" s="13" t="s">
        <v>35</v>
      </c>
    </row>
    <row r="5" spans="1:6" ht="15.75">
      <c r="A5" s="13"/>
      <c r="B5" s="13"/>
      <c r="C5" s="13"/>
      <c r="D5" s="13"/>
      <c r="E5" s="13"/>
      <c r="F5" s="13"/>
    </row>
    <row r="6" spans="1:6" ht="15.75">
      <c r="A6" s="13"/>
      <c r="B6" s="13"/>
      <c r="C6" s="13"/>
      <c r="D6" s="13"/>
      <c r="E6" s="13"/>
      <c r="F6" s="13"/>
    </row>
    <row r="7" spans="5:18" ht="12.75">
      <c r="E7" s="17">
        <v>-1</v>
      </c>
      <c r="F7" s="17">
        <v>-2</v>
      </c>
      <c r="G7" s="17">
        <v>-3</v>
      </c>
      <c r="H7" s="17">
        <v>-4</v>
      </c>
      <c r="I7" s="17">
        <v>-5</v>
      </c>
      <c r="J7" s="17">
        <v>-6</v>
      </c>
      <c r="K7" s="17">
        <v>-7</v>
      </c>
      <c r="L7" s="17">
        <v>-8</v>
      </c>
      <c r="M7" s="17"/>
      <c r="N7" s="17">
        <v>-9</v>
      </c>
      <c r="O7" s="17" t="s">
        <v>16</v>
      </c>
      <c r="P7" s="17"/>
      <c r="Q7" s="17">
        <v>-10</v>
      </c>
      <c r="R7" s="17"/>
    </row>
    <row r="8" spans="2:18" ht="12.75">
      <c r="B8" s="2" t="s">
        <v>23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18" ht="12.75">
      <c r="B9" s="2" t="s"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ht="12.75">
      <c r="B10" s="2" t="s">
        <v>38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9" ht="12.75">
      <c r="B11" s="2" t="s">
        <v>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2:20" ht="12.75">
      <c r="B12" s="2" t="s">
        <v>39</v>
      </c>
      <c r="C12" s="2"/>
      <c r="D12" s="2"/>
      <c r="E12" s="2"/>
      <c r="G12" s="2"/>
      <c r="O12" s="2" t="s">
        <v>17</v>
      </c>
      <c r="P12" s="2"/>
      <c r="Q12" s="2"/>
      <c r="T12" s="2" t="s">
        <v>16</v>
      </c>
    </row>
    <row r="13" spans="2:20" ht="12.75">
      <c r="B13" s="2" t="s">
        <v>4</v>
      </c>
      <c r="C13" s="2" t="s">
        <v>42</v>
      </c>
      <c r="D13" s="2"/>
      <c r="E13" s="2"/>
      <c r="G13" s="2"/>
      <c r="O13" s="2" t="s">
        <v>18</v>
      </c>
      <c r="P13" s="2"/>
      <c r="T13" s="2" t="s">
        <v>28</v>
      </c>
    </row>
    <row r="14" spans="2:20" ht="12.75">
      <c r="B14" s="32">
        <v>37225</v>
      </c>
      <c r="C14" s="2" t="s">
        <v>43</v>
      </c>
      <c r="D14" s="2"/>
      <c r="E14" s="2"/>
      <c r="G14" s="2"/>
      <c r="N14" s="2" t="s">
        <v>24</v>
      </c>
      <c r="O14" s="2" t="s">
        <v>19</v>
      </c>
      <c r="P14" s="2"/>
      <c r="Q14" s="2" t="s">
        <v>61</v>
      </c>
      <c r="T14" s="2" t="s">
        <v>15</v>
      </c>
    </row>
    <row r="15" spans="2:20" ht="12.75">
      <c r="B15" s="2" t="s">
        <v>53</v>
      </c>
      <c r="C15" s="2" t="s">
        <v>44</v>
      </c>
      <c r="D15" s="2"/>
      <c r="E15" s="2">
        <v>2001</v>
      </c>
      <c r="F15" s="2">
        <v>2002</v>
      </c>
      <c r="G15" s="2">
        <v>2003</v>
      </c>
      <c r="H15" s="2">
        <v>2004</v>
      </c>
      <c r="I15" s="2">
        <v>2005</v>
      </c>
      <c r="J15" s="2">
        <v>2006</v>
      </c>
      <c r="K15" s="2">
        <v>2007</v>
      </c>
      <c r="L15" s="2">
        <v>2008</v>
      </c>
      <c r="M15" s="2"/>
      <c r="N15" s="2" t="s">
        <v>13</v>
      </c>
      <c r="O15" s="2" t="s">
        <v>22</v>
      </c>
      <c r="P15" s="2"/>
      <c r="Q15" s="2" t="s">
        <v>16</v>
      </c>
      <c r="S15" s="2"/>
      <c r="T15" s="2" t="s">
        <v>29</v>
      </c>
    </row>
    <row r="16" spans="2:20" ht="12.75">
      <c r="B16" s="2" t="s">
        <v>54</v>
      </c>
      <c r="C16" s="2" t="s">
        <v>46</v>
      </c>
      <c r="D16" s="2"/>
      <c r="E16" s="2" t="s">
        <v>56</v>
      </c>
      <c r="F16" s="2" t="s">
        <v>23</v>
      </c>
      <c r="G16" s="2" t="s">
        <v>23</v>
      </c>
      <c r="H16" s="2" t="s">
        <v>23</v>
      </c>
      <c r="I16" s="2" t="s">
        <v>23</v>
      </c>
      <c r="J16" s="2" t="s">
        <v>23</v>
      </c>
      <c r="K16" s="2" t="s">
        <v>23</v>
      </c>
      <c r="L16" s="2" t="s">
        <v>23</v>
      </c>
      <c r="M16" s="2"/>
      <c r="N16" s="2" t="s">
        <v>14</v>
      </c>
      <c r="O16" s="2" t="s">
        <v>20</v>
      </c>
      <c r="P16" s="2"/>
      <c r="Q16" s="2" t="s">
        <v>62</v>
      </c>
      <c r="S16" s="2"/>
      <c r="T16" s="2" t="s">
        <v>30</v>
      </c>
    </row>
    <row r="17" spans="2:20" ht="12.75">
      <c r="B17" s="3" t="s">
        <v>55</v>
      </c>
      <c r="C17" s="4" t="s">
        <v>45</v>
      </c>
      <c r="D17" s="4"/>
      <c r="E17" s="4" t="s">
        <v>57</v>
      </c>
      <c r="F17" s="3" t="s">
        <v>9</v>
      </c>
      <c r="G17" s="3" t="s">
        <v>9</v>
      </c>
      <c r="H17" s="3" t="s">
        <v>9</v>
      </c>
      <c r="I17" s="3" t="s">
        <v>11</v>
      </c>
      <c r="J17" s="3" t="s">
        <v>11</v>
      </c>
      <c r="K17" s="3" t="s">
        <v>11</v>
      </c>
      <c r="L17" s="3" t="s">
        <v>11</v>
      </c>
      <c r="M17" s="3"/>
      <c r="N17" s="3" t="s">
        <v>15</v>
      </c>
      <c r="O17" s="3" t="s">
        <v>21</v>
      </c>
      <c r="P17" s="3"/>
      <c r="Q17" s="3" t="s">
        <v>63</v>
      </c>
      <c r="S17" s="3"/>
      <c r="T17" s="3" t="s">
        <v>31</v>
      </c>
    </row>
    <row r="18" spans="1:20" ht="12.75">
      <c r="A18" s="14"/>
      <c r="B18" s="14"/>
      <c r="C18" s="14"/>
      <c r="D18" s="14"/>
      <c r="E18" s="14"/>
      <c r="F18" s="14"/>
      <c r="G18" s="4"/>
      <c r="H18" s="3"/>
      <c r="I18" s="3"/>
      <c r="J18" s="3"/>
      <c r="K18" s="3"/>
      <c r="N18" s="3"/>
      <c r="O18" s="3"/>
      <c r="P18" s="3"/>
      <c r="Q18" s="3"/>
      <c r="S18" s="3"/>
      <c r="T18" s="3"/>
    </row>
    <row r="19" spans="1:20" ht="12.75">
      <c r="A19" s="14"/>
      <c r="B19" s="14"/>
      <c r="C19" s="14"/>
      <c r="D19" s="14"/>
      <c r="E19" s="14"/>
      <c r="F19" s="14" t="s">
        <v>49</v>
      </c>
      <c r="G19" s="4"/>
      <c r="H19" s="3"/>
      <c r="I19" s="3"/>
      <c r="J19" s="3"/>
      <c r="K19" s="3"/>
      <c r="N19" s="3"/>
      <c r="O19" s="3"/>
      <c r="P19" s="3"/>
      <c r="Q19" s="3"/>
      <c r="S19" s="3"/>
      <c r="T19" s="3"/>
    </row>
    <row r="21" spans="1:20" ht="12.75">
      <c r="A21" t="s">
        <v>58</v>
      </c>
      <c r="B21" s="7">
        <v>6004634</v>
      </c>
      <c r="C21" s="7">
        <f>(+B21/144)*14</f>
        <v>583783.861111111</v>
      </c>
      <c r="D21" s="7"/>
      <c r="E21" s="7">
        <f aca="true" t="shared" si="0" ref="E21:E26">+C21+B21</f>
        <v>6588417.861111111</v>
      </c>
      <c r="F21" s="7">
        <f>(+E21*1.035)+41091</f>
        <v>6860103.486249999</v>
      </c>
      <c r="G21" s="7">
        <f>+F21*1.035</f>
        <v>7100207.108268749</v>
      </c>
      <c r="H21" s="7">
        <f>+G21*1.04</f>
        <v>7384215.392599499</v>
      </c>
      <c r="I21" s="7">
        <f>+H21*1.04</f>
        <v>7679584.008303479</v>
      </c>
      <c r="J21" s="7">
        <f>(+I21*1.04)+(5*41450)</f>
        <v>8194017.368635619</v>
      </c>
      <c r="K21" s="7">
        <f>(+J21*1.04)+(3*42604)</f>
        <v>8649590.063381044</v>
      </c>
      <c r="L21" s="7">
        <f>+K21*1.04</f>
        <v>8995573.665916286</v>
      </c>
      <c r="N21" s="7">
        <v>6318580</v>
      </c>
      <c r="O21" s="7">
        <f>+N21-K21</f>
        <v>-2331010.063381044</v>
      </c>
      <c r="P21" s="7"/>
      <c r="Q21" s="29">
        <f aca="true" t="shared" si="1" ref="Q21:Q26">+N21-K21</f>
        <v>-2331010.063381044</v>
      </c>
      <c r="R21" s="7"/>
      <c r="S21" s="7"/>
      <c r="T21" s="7">
        <f>+S21-N21</f>
        <v>-6318580</v>
      </c>
    </row>
    <row r="22" spans="1:20" ht="12.75">
      <c r="A22" t="s">
        <v>2</v>
      </c>
      <c r="B22" s="7">
        <v>1303786</v>
      </c>
      <c r="C22" s="7">
        <f>(+B22/144)*14</f>
        <v>126756.97222222223</v>
      </c>
      <c r="D22" s="7"/>
      <c r="E22" s="7">
        <f t="shared" si="0"/>
        <v>1430542.9722222222</v>
      </c>
      <c r="F22" s="7">
        <f>(+E22*F66)+10249</f>
        <v>1641753.567015707</v>
      </c>
      <c r="G22" s="7">
        <f aca="true" t="shared" si="2" ref="G22:I25">+F22*G66</f>
        <v>1956087.4486260084</v>
      </c>
      <c r="H22" s="7">
        <f t="shared" si="2"/>
        <v>2106111.1042319494</v>
      </c>
      <c r="I22" s="7">
        <f t="shared" si="2"/>
        <v>2184810.776428244</v>
      </c>
      <c r="J22" s="7">
        <f>+(I22*J66)+(5*13181)</f>
        <v>2177268.995316142</v>
      </c>
      <c r="K22" s="7">
        <f>(+J22*K66)+(3*12072)</f>
        <v>2030315.7036859936</v>
      </c>
      <c r="L22" s="7">
        <f>+K22*L66</f>
        <v>2122314.176846971</v>
      </c>
      <c r="N22" s="7">
        <v>1887912</v>
      </c>
      <c r="O22" s="7">
        <f>+N22-K22</f>
        <v>-142403.70368599356</v>
      </c>
      <c r="P22" s="7"/>
      <c r="Q22" s="29">
        <f t="shared" si="1"/>
        <v>-142403.70368599356</v>
      </c>
      <c r="R22" s="7"/>
      <c r="S22" s="7"/>
      <c r="T22" s="7">
        <f>+S22-N22</f>
        <v>-1887912</v>
      </c>
    </row>
    <row r="23" spans="1:20" s="21" customFormat="1" ht="12.75">
      <c r="A23" s="21" t="s">
        <v>3</v>
      </c>
      <c r="B23" s="24">
        <v>356713</v>
      </c>
      <c r="C23" s="24">
        <f>(+B23/144)*14</f>
        <v>34680.43055555556</v>
      </c>
      <c r="D23" s="24"/>
      <c r="E23" s="24">
        <f t="shared" si="0"/>
        <v>391393.43055555556</v>
      </c>
      <c r="F23" s="24">
        <f>(+E23*F67)+2966</f>
        <v>475173.71748691105</v>
      </c>
      <c r="G23" s="24">
        <f t="shared" si="2"/>
        <v>990831.622490899</v>
      </c>
      <c r="H23" s="24">
        <f t="shared" si="2"/>
        <v>963920.3116132272</v>
      </c>
      <c r="I23" s="24">
        <f t="shared" si="2"/>
        <v>1062739.3510276158</v>
      </c>
      <c r="J23" s="24">
        <f>(+I23*J67)+(5*5998)</f>
        <v>990808.9793768094</v>
      </c>
      <c r="K23" s="24">
        <f>(+J23*K67)+(3*4045)</f>
        <v>680273.37258026</v>
      </c>
      <c r="L23" s="24">
        <f>+K23*L67</f>
        <v>612822.6515797678</v>
      </c>
      <c r="N23" s="7">
        <v>503733</v>
      </c>
      <c r="O23" s="28">
        <f>+N23-K23</f>
        <v>-176540.37258026004</v>
      </c>
      <c r="P23" s="28"/>
      <c r="Q23" s="29">
        <f t="shared" si="1"/>
        <v>-176540.37258026004</v>
      </c>
      <c r="R23" s="24"/>
      <c r="S23" s="28"/>
      <c r="T23" s="28">
        <f>+S23-N23</f>
        <v>-503733</v>
      </c>
    </row>
    <row r="24" spans="1:17" ht="12.75">
      <c r="A24" t="s">
        <v>41</v>
      </c>
      <c r="B24" s="7">
        <v>443276</v>
      </c>
      <c r="C24" s="19">
        <f>(+B24/144)*14</f>
        <v>43096.27777777778</v>
      </c>
      <c r="D24" s="8"/>
      <c r="E24" s="7">
        <f t="shared" si="0"/>
        <v>486372.27777777775</v>
      </c>
      <c r="F24" s="7">
        <f>(+E24*F68)+3079</f>
        <v>493194.3354624782</v>
      </c>
      <c r="G24" s="7">
        <f t="shared" si="2"/>
        <v>531381.8460004252</v>
      </c>
      <c r="H24" s="7">
        <f t="shared" si="2"/>
        <v>522065.6840388129</v>
      </c>
      <c r="I24" s="7">
        <f t="shared" si="2"/>
        <v>515780.3143827648</v>
      </c>
      <c r="J24" s="7">
        <f>(+I24*J68)+(5*3237)</f>
        <v>534687.57429833</v>
      </c>
      <c r="K24" s="7">
        <f>(+J24*K68)+(3*3838)</f>
        <v>645576.7453004855</v>
      </c>
      <c r="L24" s="7">
        <f>+K24*L68</f>
        <v>671402.3194701275</v>
      </c>
      <c r="N24" s="7">
        <v>487918</v>
      </c>
      <c r="Q24" s="29">
        <f t="shared" si="1"/>
        <v>-157658.74530048552</v>
      </c>
    </row>
    <row r="25" spans="1:17" ht="12.75">
      <c r="A25" t="s">
        <v>48</v>
      </c>
      <c r="B25" s="8">
        <v>85232</v>
      </c>
      <c r="C25" s="8">
        <f>(+B25/144)*14</f>
        <v>8286.444444444445</v>
      </c>
      <c r="D25" s="8"/>
      <c r="E25" s="8">
        <f t="shared" si="0"/>
        <v>93518.44444444444</v>
      </c>
      <c r="F25" s="8">
        <f>(+E25*F69)+649</f>
        <v>103964.23214659686</v>
      </c>
      <c r="G25" s="8">
        <f t="shared" si="2"/>
        <v>101972.78980790038</v>
      </c>
      <c r="H25" s="8">
        <f t="shared" si="2"/>
        <v>97432.11672161373</v>
      </c>
      <c r="I25" s="8">
        <f t="shared" si="2"/>
        <v>106053.25632684531</v>
      </c>
      <c r="J25" s="8">
        <f>109606+(5*879)</f>
        <v>114001</v>
      </c>
      <c r="K25" s="8">
        <f>113990+(3*693)</f>
        <v>116069</v>
      </c>
      <c r="L25" s="8">
        <v>118549</v>
      </c>
      <c r="N25" s="7">
        <v>98704</v>
      </c>
      <c r="Q25" s="31">
        <f t="shared" si="1"/>
        <v>-17365</v>
      </c>
    </row>
    <row r="26" spans="1:20" ht="12.75">
      <c r="A26" t="s">
        <v>26</v>
      </c>
      <c r="B26" s="7">
        <f>SUM(B21:B25)</f>
        <v>8193641</v>
      </c>
      <c r="C26" s="7">
        <f>SUM(C21:C25)</f>
        <v>796603.986111111</v>
      </c>
      <c r="D26" s="7"/>
      <c r="E26" s="7">
        <f t="shared" si="0"/>
        <v>8990244.986111112</v>
      </c>
      <c r="F26" s="7">
        <f aca="true" t="shared" si="3" ref="F26:L26">SUM(F21:F24)</f>
        <v>9470225.106215095</v>
      </c>
      <c r="G26" s="7">
        <f t="shared" si="3"/>
        <v>10578508.025386082</v>
      </c>
      <c r="H26" s="7">
        <f t="shared" si="3"/>
        <v>10976312.492483487</v>
      </c>
      <c r="I26" s="7">
        <f t="shared" si="3"/>
        <v>11442914.450142104</v>
      </c>
      <c r="J26" s="7">
        <f t="shared" si="3"/>
        <v>11896782.9176269</v>
      </c>
      <c r="K26" s="7">
        <f t="shared" si="3"/>
        <v>12005755.884947782</v>
      </c>
      <c r="L26" s="7">
        <f t="shared" si="3"/>
        <v>12402112.813813152</v>
      </c>
      <c r="N26" s="7">
        <f>SUM(N21:N25)</f>
        <v>9296847</v>
      </c>
      <c r="O26" s="7">
        <f>SUM(O21:O24)</f>
        <v>-2649954.1396472976</v>
      </c>
      <c r="P26" s="7"/>
      <c r="Q26" s="29">
        <f t="shared" si="1"/>
        <v>-2708908.8849477824</v>
      </c>
      <c r="S26" s="7"/>
      <c r="T26" s="7">
        <f>+S26-N26</f>
        <v>-9296847</v>
      </c>
    </row>
    <row r="27" spans="2:17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Q27" s="30"/>
    </row>
    <row r="28" spans="2:17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Q28" s="30"/>
    </row>
    <row r="29" spans="1:20" ht="12.75">
      <c r="A29" t="s">
        <v>47</v>
      </c>
      <c r="B29" s="8">
        <v>1321183</v>
      </c>
      <c r="C29" s="8">
        <v>0</v>
      </c>
      <c r="D29" s="8"/>
      <c r="E29" s="8">
        <f>+C29+B29</f>
        <v>1321183</v>
      </c>
      <c r="F29" s="8">
        <f>+E29*1.045</f>
        <v>1380636.2349999999</v>
      </c>
      <c r="G29" s="8">
        <f aca="true" t="shared" si="4" ref="G29:L29">+F29*1.045</f>
        <v>1442764.8655749997</v>
      </c>
      <c r="H29" s="8">
        <f t="shared" si="4"/>
        <v>1507689.2845258745</v>
      </c>
      <c r="I29" s="8">
        <f t="shared" si="4"/>
        <v>1575535.3023295389</v>
      </c>
      <c r="J29" s="8">
        <f t="shared" si="4"/>
        <v>1646434.390934368</v>
      </c>
      <c r="K29" s="8">
        <f t="shared" si="4"/>
        <v>1720523.9385264143</v>
      </c>
      <c r="L29" s="8">
        <f t="shared" si="4"/>
        <v>1797947.5157601028</v>
      </c>
      <c r="N29" s="8">
        <v>4064421</v>
      </c>
      <c r="O29" s="8">
        <f>+N29-K29</f>
        <v>2343897.0614735857</v>
      </c>
      <c r="P29" s="8"/>
      <c r="Q29" s="31">
        <f>+N29-K29</f>
        <v>2343897.0614735857</v>
      </c>
      <c r="S29" s="8"/>
      <c r="T29" s="8">
        <f>+S29-N29</f>
        <v>-4064421</v>
      </c>
    </row>
    <row r="30" spans="2:17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Q30" s="30"/>
    </row>
    <row r="31" spans="2:17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Q31" s="30"/>
    </row>
    <row r="32" spans="1:21" ht="12.75">
      <c r="A32" t="s">
        <v>5</v>
      </c>
      <c r="B32" s="7">
        <f>+B26+B29</f>
        <v>9514824</v>
      </c>
      <c r="C32" s="7">
        <f>+C26+C29</f>
        <v>796603.986111111</v>
      </c>
      <c r="D32" s="7"/>
      <c r="E32" s="7">
        <f>+C32+B32</f>
        <v>10311427.986111112</v>
      </c>
      <c r="F32" s="7">
        <f aca="true" t="shared" si="5" ref="F32:L32">+F26+F29</f>
        <v>10850861.341215095</v>
      </c>
      <c r="G32" s="7">
        <f t="shared" si="5"/>
        <v>12021272.89096108</v>
      </c>
      <c r="H32" s="7">
        <f t="shared" si="5"/>
        <v>12484001.777009362</v>
      </c>
      <c r="I32" s="7">
        <f t="shared" si="5"/>
        <v>13018449.752471643</v>
      </c>
      <c r="J32" s="7">
        <f t="shared" si="5"/>
        <v>13543217.30856127</v>
      </c>
      <c r="K32" s="7">
        <f t="shared" si="5"/>
        <v>13726279.823474197</v>
      </c>
      <c r="L32" s="7">
        <f t="shared" si="5"/>
        <v>14200060.329573255</v>
      </c>
      <c r="N32" s="7">
        <f>+N26+N29</f>
        <v>13361268</v>
      </c>
      <c r="O32" s="7">
        <f>SUM(O26:O29)</f>
        <v>-306057.0781737119</v>
      </c>
      <c r="P32" s="7"/>
      <c r="Q32" s="29">
        <f>SUM(Q26:Q29)</f>
        <v>-365011.8234741967</v>
      </c>
      <c r="S32" s="7"/>
      <c r="T32" s="7">
        <f>+S32-N32</f>
        <v>-13361268</v>
      </c>
      <c r="U32" s="7"/>
    </row>
    <row r="35" spans="1:6" ht="15">
      <c r="A35" s="15" t="s">
        <v>34</v>
      </c>
      <c r="B35" s="15"/>
      <c r="C35" s="15"/>
      <c r="D35" s="15"/>
      <c r="E35" s="15"/>
      <c r="F35" s="15"/>
    </row>
    <row r="36" spans="1:6" ht="12.75">
      <c r="A36" s="5" t="s">
        <v>52</v>
      </c>
      <c r="B36" s="5"/>
      <c r="C36" s="5"/>
      <c r="D36" s="5"/>
      <c r="E36" s="5"/>
      <c r="F36" s="5"/>
    </row>
    <row r="37" spans="1:6" ht="12.75">
      <c r="A37" s="5" t="s">
        <v>59</v>
      </c>
      <c r="B37" s="5"/>
      <c r="C37" s="5"/>
      <c r="D37" s="5"/>
      <c r="E37" s="5"/>
      <c r="F37" s="5"/>
    </row>
    <row r="38" spans="1:6" ht="12.75">
      <c r="A38" s="5" t="s">
        <v>60</v>
      </c>
      <c r="B38" s="5"/>
      <c r="C38" s="5"/>
      <c r="D38" s="5"/>
      <c r="E38" s="5"/>
      <c r="F38" s="5"/>
    </row>
    <row r="39" spans="1:6" ht="12.75">
      <c r="A39" s="5" t="s">
        <v>50</v>
      </c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14" ht="15.75">
      <c r="A41" s="5"/>
      <c r="B41" s="5"/>
      <c r="C41" s="5"/>
      <c r="D41" s="5"/>
      <c r="E41" s="5"/>
      <c r="F41" s="5"/>
      <c r="N41" s="13" t="s">
        <v>37</v>
      </c>
    </row>
    <row r="42" spans="1:14" ht="15.75">
      <c r="A42" s="5"/>
      <c r="B42" s="5"/>
      <c r="C42" s="5"/>
      <c r="D42" s="5"/>
      <c r="E42" s="5"/>
      <c r="F42" s="5"/>
      <c r="N42" s="13" t="s">
        <v>51</v>
      </c>
    </row>
    <row r="43" spans="1:6" ht="12.75">
      <c r="A43" s="5"/>
      <c r="B43" s="5"/>
      <c r="C43" s="5"/>
      <c r="D43" s="5"/>
      <c r="E43" s="5"/>
      <c r="F43" s="5"/>
    </row>
    <row r="44" spans="1:12" ht="12.75">
      <c r="A44" s="18"/>
      <c r="B44" s="18"/>
      <c r="C44" s="18"/>
      <c r="D44" s="18"/>
      <c r="E44" s="18"/>
      <c r="F44" s="18"/>
      <c r="K44" s="2" t="s">
        <v>6</v>
      </c>
      <c r="L44" s="2" t="s">
        <v>6</v>
      </c>
    </row>
    <row r="45" spans="3:14" ht="12.75">
      <c r="C45" s="2"/>
      <c r="D45" s="2"/>
      <c r="E45" s="2">
        <v>2001</v>
      </c>
      <c r="F45" s="2">
        <v>2002</v>
      </c>
      <c r="G45" s="2">
        <v>2003</v>
      </c>
      <c r="H45" s="2">
        <v>2004</v>
      </c>
      <c r="I45" s="2">
        <v>2005</v>
      </c>
      <c r="J45" s="2">
        <v>2006</v>
      </c>
      <c r="K45" s="2">
        <v>2007</v>
      </c>
      <c r="L45" s="2">
        <v>2008</v>
      </c>
      <c r="N45" s="2"/>
    </row>
    <row r="46" spans="1:6" ht="12.75">
      <c r="A46" s="5" t="s">
        <v>40</v>
      </c>
      <c r="C46" s="5"/>
      <c r="D46" s="5"/>
      <c r="E46" s="5"/>
      <c r="F46" s="5"/>
    </row>
    <row r="47" spans="1:12" ht="12.75">
      <c r="A47" t="s">
        <v>10</v>
      </c>
      <c r="E47" s="7">
        <v>145.08</v>
      </c>
      <c r="F47">
        <v>143.25</v>
      </c>
      <c r="G47" s="6">
        <v>129.42</v>
      </c>
      <c r="H47" s="6">
        <v>118.58</v>
      </c>
      <c r="I47" s="6">
        <v>117.92</v>
      </c>
      <c r="J47" s="6">
        <v>124.75</v>
      </c>
      <c r="K47" s="6">
        <v>137</v>
      </c>
      <c r="L47" s="6">
        <v>137</v>
      </c>
    </row>
    <row r="48" spans="1:12" ht="12.75">
      <c r="A48" t="s">
        <v>2</v>
      </c>
      <c r="E48" s="7">
        <v>1303786</v>
      </c>
      <c r="F48">
        <v>1468185</v>
      </c>
      <c r="G48" s="7">
        <v>1580403</v>
      </c>
      <c r="H48" s="7">
        <v>1559089</v>
      </c>
      <c r="I48" s="7">
        <v>1608346</v>
      </c>
      <c r="J48" s="7">
        <v>1644303</v>
      </c>
      <c r="K48" s="7">
        <v>1653852</v>
      </c>
      <c r="L48" s="7">
        <v>1728792</v>
      </c>
    </row>
    <row r="49" spans="1:14" ht="12.75">
      <c r="A49" t="s">
        <v>3</v>
      </c>
      <c r="E49" s="24">
        <v>356713</v>
      </c>
      <c r="F49" s="21">
        <v>424938</v>
      </c>
      <c r="G49" s="25">
        <v>800534</v>
      </c>
      <c r="H49" s="25">
        <v>713561</v>
      </c>
      <c r="I49" s="25">
        <v>782335</v>
      </c>
      <c r="J49" s="25">
        <v>748274</v>
      </c>
      <c r="K49" s="25">
        <v>554137</v>
      </c>
      <c r="L49" s="25">
        <v>499193</v>
      </c>
      <c r="N49" s="1"/>
    </row>
    <row r="50" spans="1:14" ht="12.75">
      <c r="A50" t="s">
        <v>41</v>
      </c>
      <c r="C50" s="1"/>
      <c r="D50" s="1"/>
      <c r="E50" s="19">
        <v>443276</v>
      </c>
      <c r="F50" s="27">
        <v>441053</v>
      </c>
      <c r="G50" s="19">
        <v>429325</v>
      </c>
      <c r="H50" s="19">
        <v>386469</v>
      </c>
      <c r="I50" s="19">
        <v>379691</v>
      </c>
      <c r="J50" s="19">
        <v>403803</v>
      </c>
      <c r="K50" s="19">
        <v>525874</v>
      </c>
      <c r="L50" s="19">
        <v>546911</v>
      </c>
      <c r="N50" s="1"/>
    </row>
    <row r="51" spans="1:14" ht="12.75">
      <c r="A51" t="s">
        <v>48</v>
      </c>
      <c r="C51" s="1"/>
      <c r="D51" s="1"/>
      <c r="E51" s="8">
        <v>85232</v>
      </c>
      <c r="F51" s="8">
        <v>92973</v>
      </c>
      <c r="G51" s="8">
        <v>82388</v>
      </c>
      <c r="H51" s="8">
        <v>72126</v>
      </c>
      <c r="I51" s="8">
        <v>78071</v>
      </c>
      <c r="J51" s="8">
        <v>109606</v>
      </c>
      <c r="K51" s="8">
        <v>94990</v>
      </c>
      <c r="L51" s="8">
        <v>99928</v>
      </c>
      <c r="N51" s="1"/>
    </row>
    <row r="52" spans="1:14" ht="12.75">
      <c r="A52" t="s">
        <v>27</v>
      </c>
      <c r="C52" s="7"/>
      <c r="D52" s="7"/>
      <c r="E52" s="7">
        <f>SUM(E47:E50)</f>
        <v>2103920.08</v>
      </c>
      <c r="F52" s="7">
        <f aca="true" t="shared" si="6" ref="F52:L52">SUM(F48:F49)</f>
        <v>1893123</v>
      </c>
      <c r="G52" s="7">
        <f t="shared" si="6"/>
        <v>2380937</v>
      </c>
      <c r="H52" s="7">
        <f t="shared" si="6"/>
        <v>2272650</v>
      </c>
      <c r="I52" s="7">
        <f t="shared" si="6"/>
        <v>2390681</v>
      </c>
      <c r="J52" s="7">
        <f t="shared" si="6"/>
        <v>2392577</v>
      </c>
      <c r="K52" s="7">
        <f t="shared" si="6"/>
        <v>2207989</v>
      </c>
      <c r="L52" s="7">
        <f t="shared" si="6"/>
        <v>2227985</v>
      </c>
      <c r="N52" s="7"/>
    </row>
    <row r="53" spans="7:11" ht="12.75">
      <c r="G53" s="7"/>
      <c r="H53" s="7"/>
      <c r="I53" s="7"/>
      <c r="J53" s="7"/>
      <c r="K53" s="7"/>
    </row>
    <row r="54" spans="7:10" ht="12.75">
      <c r="G54" s="7"/>
      <c r="H54" s="7"/>
      <c r="I54" s="7"/>
      <c r="J54" s="7"/>
    </row>
    <row r="55" ht="12.75">
      <c r="I55" s="12"/>
    </row>
    <row r="56" spans="1:6" ht="12.75">
      <c r="A56" s="5" t="s">
        <v>7</v>
      </c>
      <c r="C56" s="5"/>
      <c r="D56" s="5"/>
      <c r="E56" s="5"/>
      <c r="F56" s="5"/>
    </row>
    <row r="57" spans="1:12" ht="12.75">
      <c r="A57" t="s">
        <v>2</v>
      </c>
      <c r="C57" s="7"/>
      <c r="D57" s="7"/>
      <c r="E57" s="7">
        <f aca="true" t="shared" si="7" ref="E57:L57">+E48/E47</f>
        <v>8986.669423766198</v>
      </c>
      <c r="F57" s="7">
        <f t="shared" si="7"/>
        <v>10249.10994764398</v>
      </c>
      <c r="G57" s="7">
        <f t="shared" si="7"/>
        <v>12211.427909133057</v>
      </c>
      <c r="H57" s="7">
        <f t="shared" si="7"/>
        <v>13147.992916174735</v>
      </c>
      <c r="I57" s="7">
        <f t="shared" si="7"/>
        <v>13639.297829036635</v>
      </c>
      <c r="J57" s="7">
        <f t="shared" si="7"/>
        <v>13180.785571142285</v>
      </c>
      <c r="K57" s="7">
        <f t="shared" si="7"/>
        <v>12071.912408759124</v>
      </c>
      <c r="L57" s="7">
        <f t="shared" si="7"/>
        <v>12618.919708029198</v>
      </c>
    </row>
    <row r="58" spans="1:12" ht="12.75">
      <c r="A58" t="s">
        <v>3</v>
      </c>
      <c r="C58" s="19"/>
      <c r="D58" s="19"/>
      <c r="E58" s="19">
        <f aca="true" t="shared" si="8" ref="E58:L58">+E49/E47</f>
        <v>2458.7331127653706</v>
      </c>
      <c r="F58" s="19">
        <f t="shared" si="8"/>
        <v>2966.4083769633507</v>
      </c>
      <c r="G58" s="19">
        <f t="shared" si="8"/>
        <v>6185.550919486942</v>
      </c>
      <c r="H58" s="19">
        <f t="shared" si="8"/>
        <v>6017.5493337831</v>
      </c>
      <c r="I58" s="19">
        <f t="shared" si="8"/>
        <v>6634.455563093623</v>
      </c>
      <c r="J58" s="19">
        <f t="shared" si="8"/>
        <v>5998.188376753507</v>
      </c>
      <c r="K58" s="19">
        <f t="shared" si="8"/>
        <v>4044.795620437956</v>
      </c>
      <c r="L58" s="19">
        <f t="shared" si="8"/>
        <v>3643.7445255474454</v>
      </c>
    </row>
    <row r="59" spans="1:12" ht="12.75">
      <c r="A59" t="s">
        <v>41</v>
      </c>
      <c r="C59" s="8"/>
      <c r="D59" s="8"/>
      <c r="E59" s="19">
        <f aca="true" t="shared" si="9" ref="E59:L59">+E50/E47</f>
        <v>3055.3901295836777</v>
      </c>
      <c r="F59" s="19">
        <f t="shared" si="9"/>
        <v>3078.9040139616054</v>
      </c>
      <c r="G59" s="19">
        <f t="shared" si="9"/>
        <v>3317.300262710555</v>
      </c>
      <c r="H59" s="19">
        <f t="shared" si="9"/>
        <v>3259.1415078428067</v>
      </c>
      <c r="I59" s="19">
        <f t="shared" si="9"/>
        <v>3219.9033242876526</v>
      </c>
      <c r="J59" s="19">
        <f t="shared" si="9"/>
        <v>3236.8977955911823</v>
      </c>
      <c r="K59" s="19">
        <f t="shared" si="9"/>
        <v>3838.4963503649633</v>
      </c>
      <c r="L59" s="19">
        <f t="shared" si="9"/>
        <v>3992.0510948905107</v>
      </c>
    </row>
    <row r="60" spans="1:12" ht="12.75">
      <c r="A60" t="s">
        <v>48</v>
      </c>
      <c r="C60" s="8"/>
      <c r="D60" s="8"/>
      <c r="E60" s="8">
        <f aca="true" t="shared" si="10" ref="E60:L60">+E51/E47</f>
        <v>587.4827681279294</v>
      </c>
      <c r="F60" s="8">
        <f t="shared" si="10"/>
        <v>649.0261780104712</v>
      </c>
      <c r="G60" s="8">
        <f t="shared" si="10"/>
        <v>636.5940349250503</v>
      </c>
      <c r="H60" s="8">
        <f t="shared" si="10"/>
        <v>608.2475965592848</v>
      </c>
      <c r="I60" s="8">
        <f t="shared" si="10"/>
        <v>662.0675033921302</v>
      </c>
      <c r="J60" s="8">
        <f t="shared" si="10"/>
        <v>878.6052104208417</v>
      </c>
      <c r="K60" s="8">
        <f t="shared" si="10"/>
        <v>693.3576642335767</v>
      </c>
      <c r="L60" s="8">
        <f t="shared" si="10"/>
        <v>729.4014598540145</v>
      </c>
    </row>
    <row r="61" spans="1:12" ht="12.75">
      <c r="A61" t="s">
        <v>25</v>
      </c>
      <c r="C61" s="7"/>
      <c r="D61" s="7"/>
      <c r="E61" s="7">
        <f aca="true" t="shared" si="11" ref="E61:L61">SUM(E57:E59)</f>
        <v>14500.792666115245</v>
      </c>
      <c r="F61" s="7">
        <f t="shared" si="11"/>
        <v>16294.422338568937</v>
      </c>
      <c r="G61" s="7">
        <f t="shared" si="11"/>
        <v>21714.279091330554</v>
      </c>
      <c r="H61" s="7">
        <f t="shared" si="11"/>
        <v>22424.68375780064</v>
      </c>
      <c r="I61" s="7">
        <f t="shared" si="11"/>
        <v>23493.656716417914</v>
      </c>
      <c r="J61" s="7">
        <f t="shared" si="11"/>
        <v>22415.871743486976</v>
      </c>
      <c r="K61" s="7">
        <f t="shared" si="11"/>
        <v>19955.204379562045</v>
      </c>
      <c r="L61" s="7">
        <f t="shared" si="11"/>
        <v>20254.715328467155</v>
      </c>
    </row>
    <row r="64" spans="5:12" ht="12.75">
      <c r="E64" s="20"/>
      <c r="F64" s="9" t="s">
        <v>12</v>
      </c>
      <c r="G64" s="9" t="s">
        <v>12</v>
      </c>
      <c r="H64" s="9" t="s">
        <v>12</v>
      </c>
      <c r="I64" s="9" t="s">
        <v>12</v>
      </c>
      <c r="J64" s="9" t="s">
        <v>12</v>
      </c>
      <c r="K64" s="9" t="s">
        <v>12</v>
      </c>
      <c r="L64" s="9" t="s">
        <v>12</v>
      </c>
    </row>
    <row r="65" spans="5:12" ht="12.75">
      <c r="E65" s="21"/>
      <c r="F65" s="10"/>
      <c r="G65" s="10"/>
      <c r="H65" s="10"/>
      <c r="I65" s="10"/>
      <c r="J65" s="10"/>
      <c r="K65" s="10"/>
      <c r="L65" s="10"/>
    </row>
    <row r="66" spans="1:12" ht="12.75">
      <c r="A66" t="s">
        <v>2</v>
      </c>
      <c r="E66" s="22"/>
      <c r="F66" s="11">
        <f aca="true" t="shared" si="12" ref="F66:L66">+F57/E57</f>
        <v>1.1404792436827735</v>
      </c>
      <c r="G66" s="11">
        <f t="shared" si="12"/>
        <v>1.1914622802870962</v>
      </c>
      <c r="H66" s="11">
        <f t="shared" si="12"/>
        <v>1.076695781526189</v>
      </c>
      <c r="I66" s="11">
        <f t="shared" si="12"/>
        <v>1.0373672936998235</v>
      </c>
      <c r="J66" s="11">
        <f t="shared" si="12"/>
        <v>0.966383001262849</v>
      </c>
      <c r="K66" s="11">
        <f t="shared" si="12"/>
        <v>0.9158719974315566</v>
      </c>
      <c r="L66" s="11">
        <f t="shared" si="12"/>
        <v>1.045312397965477</v>
      </c>
    </row>
    <row r="67" spans="1:12" ht="12.75">
      <c r="A67" t="s">
        <v>3</v>
      </c>
      <c r="E67" s="22"/>
      <c r="F67" s="11">
        <f>+F58/E58</f>
        <v>1.2064783939184807</v>
      </c>
      <c r="G67" s="11">
        <f aca="true" t="shared" si="13" ref="G67:L67">+G58/F58</f>
        <v>2.0851987094976314</v>
      </c>
      <c r="H67" s="11">
        <f t="shared" si="13"/>
        <v>0.9728396729910395</v>
      </c>
      <c r="I67" s="11">
        <f t="shared" si="13"/>
        <v>1.1025178515524836</v>
      </c>
      <c r="J67" s="11">
        <f t="shared" si="13"/>
        <v>0.9040965486483074</v>
      </c>
      <c r="K67" s="11">
        <f t="shared" si="13"/>
        <v>0.6743362105988381</v>
      </c>
      <c r="L67" s="11">
        <f t="shared" si="13"/>
        <v>0.9008476243239488</v>
      </c>
    </row>
    <row r="68" spans="1:12" ht="12.75">
      <c r="A68" t="s">
        <v>41</v>
      </c>
      <c r="E68" s="23"/>
      <c r="F68" s="26">
        <f>+F59/E59</f>
        <v>1.0076958697189782</v>
      </c>
      <c r="G68" s="26">
        <f aca="true" t="shared" si="14" ref="G68:L68">+G59/F59</f>
        <v>1.0774289317458152</v>
      </c>
      <c r="H68" s="26">
        <f t="shared" si="14"/>
        <v>0.9824680462237605</v>
      </c>
      <c r="I68" s="26">
        <f t="shared" si="14"/>
        <v>0.9879605769001649</v>
      </c>
      <c r="J68" s="26">
        <f t="shared" si="14"/>
        <v>1.0052779445815472</v>
      </c>
      <c r="K68" s="26">
        <f t="shared" si="14"/>
        <v>1.1858565184211836</v>
      </c>
      <c r="L68" s="26">
        <f t="shared" si="14"/>
        <v>1.0400038792562476</v>
      </c>
    </row>
    <row r="69" spans="1:12" ht="12.75">
      <c r="A69" t="s">
        <v>48</v>
      </c>
      <c r="E69" s="23"/>
      <c r="F69" s="26">
        <f>+F60/E60</f>
        <v>1.1047578128608875</v>
      </c>
      <c r="G69" s="26">
        <f aca="true" t="shared" si="15" ref="G69:L70">+G60/F60</f>
        <v>0.9808449281298168</v>
      </c>
      <c r="H69" s="26">
        <f t="shared" si="15"/>
        <v>0.9554717185354983</v>
      </c>
      <c r="I69" s="26">
        <f t="shared" si="15"/>
        <v>1.0884835503457673</v>
      </c>
      <c r="J69" s="26">
        <f t="shared" si="15"/>
        <v>1.3270628839495544</v>
      </c>
      <c r="K69" s="26">
        <f t="shared" si="15"/>
        <v>0.7891572415117666</v>
      </c>
      <c r="L69" s="26">
        <f t="shared" si="15"/>
        <v>1.0519844194125696</v>
      </c>
    </row>
    <row r="70" spans="1:12" ht="12.75">
      <c r="A70" t="s">
        <v>8</v>
      </c>
      <c r="E70" s="22"/>
      <c r="F70" s="11">
        <f>+F61/E61</f>
        <v>1.123691836284575</v>
      </c>
      <c r="G70" s="11">
        <f t="shared" si="15"/>
        <v>1.332620367887041</v>
      </c>
      <c r="H70" s="11">
        <f t="shared" si="15"/>
        <v>1.032716014355444</v>
      </c>
      <c r="I70" s="11">
        <f t="shared" si="15"/>
        <v>1.047669477534791</v>
      </c>
      <c r="J70" s="11">
        <f t="shared" si="15"/>
        <v>0.9541244266084064</v>
      </c>
      <c r="K70" s="11">
        <f t="shared" si="15"/>
        <v>0.8902265594627214</v>
      </c>
      <c r="L70" s="11">
        <f t="shared" si="15"/>
        <v>1.015009164687477</v>
      </c>
    </row>
  </sheetData>
  <printOptions horizontalCentered="1"/>
  <pageMargins left="0.25" right="0.25" top="0.5" bottom="0.5" header="0" footer="0"/>
  <pageSetup fitToHeight="2" horizontalDpi="600" verticalDpi="600" orientation="landscape" scale="59" r:id="rId1"/>
  <rowBreaks count="1" manualBreakCount="1">
    <brk id="4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2007-04-24T18:53:18Z</cp:lastPrinted>
  <dcterms:created xsi:type="dcterms:W3CDTF">2007-03-18T18:02:37Z</dcterms:created>
  <dcterms:modified xsi:type="dcterms:W3CDTF">2007-06-14T03:08:09Z</dcterms:modified>
  <cp:category/>
  <cp:version/>
  <cp:contentType/>
  <cp:contentStatus/>
</cp:coreProperties>
</file>