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190" activeTab="0"/>
  </bookViews>
  <sheets>
    <sheet name="Exhibit MAM-2" sheetId="1" r:id="rId1"/>
    <sheet name="COS elements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'Exhibit MAM-2'!$A$1:$J$52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<sst xmlns="http://schemas.openxmlformats.org/spreadsheetml/2006/main" count="50" uniqueCount="48">
  <si>
    <t>Tennessee American Water Company</t>
  </si>
  <si>
    <t>Increase Cost of Service Elements</t>
  </si>
  <si>
    <t xml:space="preserve">  Depreciation expense on add'l rate base</t>
  </si>
  <si>
    <t xml:space="preserve">    Total increase attibutable to rate base and related items</t>
  </si>
  <si>
    <t xml:space="preserve">  O &amp; M Expense</t>
  </si>
  <si>
    <t>Items Offsetting Increased Cost of Service:</t>
  </si>
  <si>
    <t xml:space="preserve">  Increased going level revenue</t>
  </si>
  <si>
    <t>Rate Base and Related Items (in million dollars):</t>
  </si>
  <si>
    <t>O &amp; M Expenses</t>
  </si>
  <si>
    <t>Growth Revenues</t>
  </si>
  <si>
    <t>Cost of Capital</t>
  </si>
  <si>
    <t xml:space="preserve">Rate Base Related </t>
  </si>
  <si>
    <t xml:space="preserve">   Increase in cost of capital</t>
  </si>
  <si>
    <t>TOTAL INCREASE</t>
  </si>
  <si>
    <t xml:space="preserve">  Add'l Property Taxes</t>
  </si>
  <si>
    <t>rate base</t>
  </si>
  <si>
    <t>prior cost of capital</t>
  </si>
  <si>
    <t>rev converion factor</t>
  </si>
  <si>
    <t>state income tax</t>
  </si>
  <si>
    <t>Change in cost of capital</t>
  </si>
  <si>
    <t>O &amp; M Exp</t>
  </si>
  <si>
    <t>uncoll</t>
  </si>
  <si>
    <t>gross rec</t>
  </si>
  <si>
    <t>RB</t>
  </si>
  <si>
    <t>current COC</t>
  </si>
  <si>
    <t>Prior COC</t>
  </si>
  <si>
    <t>Var</t>
  </si>
  <si>
    <t>Conv factor</t>
  </si>
  <si>
    <t>Depr</t>
  </si>
  <si>
    <t>chg in revenues</t>
  </si>
  <si>
    <t>property taxes</t>
  </si>
  <si>
    <t>income taxes</t>
  </si>
  <si>
    <t>depr</t>
  </si>
  <si>
    <t>prop taxes</t>
  </si>
  <si>
    <t>O &amp;M</t>
  </si>
  <si>
    <t>COC</t>
  </si>
  <si>
    <t>Rev</t>
  </si>
  <si>
    <t>Exhibit MAM-2</t>
  </si>
  <si>
    <t>Increase %</t>
  </si>
  <si>
    <t>Kentucky-American Water Company</t>
  </si>
  <si>
    <t xml:space="preserve">  Increase in rate base of $51.310 million</t>
  </si>
  <si>
    <t>56% of total increase</t>
  </si>
  <si>
    <t>52% of total increase</t>
  </si>
  <si>
    <t>17% of total increase</t>
  </si>
  <si>
    <t>(25) of total increase</t>
  </si>
  <si>
    <t>Impact of</t>
  </si>
  <si>
    <t>Owenton</t>
  </si>
  <si>
    <t>Acquisition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</si>
</sst>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* #,##0.000_);_(* \(#,##0.000\);_(* &quot;-&quot;???_);_(@_)"/>
    <numFmt numFmtId="170" formatCode="#,##0.0_);\(#,##0.0\)"/>
    <numFmt numFmtId="171" formatCode="#,##0.000_);\(#,##0.000\)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_(&quot;$&quot;* #,##0_);_(&quot;$&quot;* \(#,##0\);_(&quot;$&quot;* &quot;-&quot;??_);_(@_)"/>
    <numFmt numFmtId="176" formatCode="0.0"/>
    <numFmt numFmtId="177" formatCode="0.0%"/>
    <numFmt numFmtId="178" formatCode="_(&quot;$&quot;* #,##0.0000_);_(&quot;$&quot;* \(#,##0.0000\);_(&quot;$&quot;* &quot;-&quot;??_);_(@_)"/>
  </numFmts>
  <fonts count="13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6.5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14"/>
      <color indexed="48"/>
      <name val="Arial"/>
      <family val="0"/>
    </font>
    <font>
      <b/>
      <sz val="14"/>
      <color indexed="48"/>
      <name val="Arial"/>
      <family val="2"/>
    </font>
    <font>
      <b/>
      <sz val="14"/>
      <name val="Arial"/>
      <family val="0"/>
    </font>
    <font>
      <b/>
      <u val="single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7" fillId="0" borderId="0" xfId="15" applyNumberFormat="1" applyFont="1" applyAlignment="1">
      <alignment/>
    </xf>
    <xf numFmtId="167" fontId="7" fillId="0" borderId="0" xfId="17" applyNumberFormat="1" applyFont="1" applyAlignment="1">
      <alignment/>
    </xf>
    <xf numFmtId="167" fontId="7" fillId="0" borderId="1" xfId="17" applyNumberFormat="1" applyFont="1" applyBorder="1" applyAlignment="1">
      <alignment/>
    </xf>
    <xf numFmtId="167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0" fillId="0" borderId="0" xfId="0" applyFont="1" applyAlignment="1">
      <alignment/>
    </xf>
    <xf numFmtId="172" fontId="7" fillId="0" borderId="0" xfId="15" applyNumberFormat="1" applyFont="1" applyAlignment="1">
      <alignment/>
    </xf>
    <xf numFmtId="172" fontId="7" fillId="0" borderId="2" xfId="0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65" fontId="0" fillId="0" borderId="0" xfId="15" applyNumberFormat="1" applyAlignment="1">
      <alignment/>
    </xf>
    <xf numFmtId="174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74" fontId="0" fillId="0" borderId="1" xfId="0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0" xfId="15" applyNumberFormat="1" applyBorder="1" applyAlignment="1">
      <alignment/>
    </xf>
    <xf numFmtId="166" fontId="7" fillId="0" borderId="0" xfId="0" applyNumberFormat="1" applyFont="1" applyAlignment="1">
      <alignment/>
    </xf>
    <xf numFmtId="10" fontId="0" fillId="0" borderId="0" xfId="19" applyNumberForma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7" fontId="7" fillId="2" borderId="0" xfId="17" applyNumberFormat="1" applyFont="1" applyFill="1" applyAlignment="1">
      <alignment/>
    </xf>
    <xf numFmtId="9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Kentucky-American Water Company 
Increase Cost of Service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80008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cat>
            <c:strRef>
              <c:f>'COS elements'!$A$5:$A$8</c:f>
              <c:strCache>
                <c:ptCount val="4"/>
                <c:pt idx="0">
                  <c:v>Rate Base Related </c:v>
                </c:pt>
                <c:pt idx="1">
                  <c:v>O &amp; M Expenses</c:v>
                </c:pt>
                <c:pt idx="2">
                  <c:v>Cost of Capital</c:v>
                </c:pt>
                <c:pt idx="3">
                  <c:v>Growth Revenues</c:v>
                </c:pt>
              </c:strCache>
            </c:strRef>
          </c:cat>
          <c:val>
            <c:numRef>
              <c:f>'COS elements'!$E$5:$E$8</c:f>
              <c:numCache>
                <c:ptCount val="4"/>
                <c:pt idx="0">
                  <c:v>7404.999999999999</c:v>
                </c:pt>
                <c:pt idx="1">
                  <c:v>6850</c:v>
                </c:pt>
                <c:pt idx="2">
                  <c:v>2219</c:v>
                </c:pt>
                <c:pt idx="3">
                  <c:v>-3285</c:v>
                </c:pt>
              </c:numCache>
            </c:numRef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8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Tennessee American Water Company 
Increase Cost of Service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80008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cat>
            <c:strRef>
              <c:f>'COS elements'!$A$5:$A$8</c:f>
              <c:strCache/>
            </c:strRef>
          </c:cat>
          <c:val>
            <c:numRef>
              <c:f>'COS elements'!$E$5:$E$8</c:f>
              <c:numCache>
                <c:ptCount val="4"/>
                <c:pt idx="0">
                  <c:v>7404.999999999999</c:v>
                </c:pt>
                <c:pt idx="1">
                  <c:v>6850</c:v>
                </c:pt>
                <c:pt idx="2">
                  <c:v>2219</c:v>
                </c:pt>
                <c:pt idx="3">
                  <c:v>-3285</c:v>
                </c:pt>
              </c:numCache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077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85725</xdr:rowOff>
    </xdr:from>
    <xdr:to>
      <xdr:col>8</xdr:col>
      <xdr:colOff>285750</xdr:colOff>
      <xdr:row>47</xdr:row>
      <xdr:rowOff>0</xdr:rowOff>
    </xdr:to>
    <xdr:graphicFrame>
      <xdr:nvGraphicFramePr>
        <xdr:cNvPr id="1" name="Chart 9"/>
        <xdr:cNvGraphicFramePr/>
      </xdr:nvGraphicFramePr>
      <xdr:xfrm>
        <a:off x="104775" y="3790950"/>
        <a:ext cx="65817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11</xdr:row>
      <xdr:rowOff>123825</xdr:rowOff>
    </xdr:from>
    <xdr:to>
      <xdr:col>7</xdr:col>
      <xdr:colOff>361950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47650" y="1905000"/>
        <a:ext cx="4676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essee\Tennessee\2006%20Rate%20Case\RRD\RRD%20FINAL%202006%20CASE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nnessee\Tennessee\2006%20Rate%20Case\Exhibits\Income%20Statement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RD 1"/>
      <sheetName val="RRD 2"/>
      <sheetName val="RRD 3"/>
    </sheetNames>
    <sheetDataSet>
      <sheetData sheetId="0">
        <row r="15">
          <cell r="E15">
            <v>33057417</v>
          </cell>
          <cell r="G15">
            <v>33432287.009800002</v>
          </cell>
        </row>
        <row r="21">
          <cell r="E21">
            <v>16264900</v>
          </cell>
          <cell r="G21">
            <v>18584498.744165495</v>
          </cell>
        </row>
        <row r="22">
          <cell r="E22">
            <v>4558016</v>
          </cell>
          <cell r="G22">
            <v>4851150</v>
          </cell>
        </row>
        <row r="23">
          <cell r="E23">
            <v>3314870</v>
          </cell>
          <cell r="G23">
            <v>3928089</v>
          </cell>
        </row>
        <row r="24">
          <cell r="E24">
            <v>2451773</v>
          </cell>
          <cell r="G24">
            <v>3933064</v>
          </cell>
        </row>
        <row r="39">
          <cell r="E39">
            <v>87611392</v>
          </cell>
          <cell r="G39">
            <v>100583192.7326437</v>
          </cell>
        </row>
        <row r="53">
          <cell r="G53">
            <v>0.0789</v>
          </cell>
        </row>
        <row r="65">
          <cell r="G65">
            <v>0.08460000000000001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-in"/>
      <sheetName val="Link-out"/>
      <sheetName val="Adjustment Summary"/>
      <sheetName val="Dates"/>
      <sheetName val="Income Statement"/>
      <sheetName val="Operating Revenues"/>
      <sheetName val="Operation &amp; Maintenance"/>
      <sheetName val="Depreciation"/>
      <sheetName val="General Taxes"/>
      <sheetName val="Income Taxes"/>
      <sheetName val="Rev Conv Factor"/>
    </sheetNames>
    <sheetDataSet>
      <sheetData sheetId="10">
        <row r="13">
          <cell r="C13">
            <v>1</v>
          </cell>
        </row>
        <row r="23">
          <cell r="C23">
            <v>1.71513466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I11" sqref="I11"/>
    </sheetView>
  </sheetViews>
  <sheetFormatPr defaultColWidth="9.140625" defaultRowHeight="12.75"/>
  <cols>
    <col min="3" max="3" width="10.7109375" style="0" customWidth="1"/>
    <col min="4" max="4" width="11.140625" style="0" bestFit="1" customWidth="1"/>
    <col min="5" max="5" width="14.00390625" style="0" customWidth="1"/>
    <col min="6" max="7" width="15.00390625" style="0" bestFit="1" customWidth="1"/>
    <col min="8" max="8" width="11.8515625" style="0" bestFit="1" customWidth="1"/>
    <col min="9" max="9" width="10.140625" style="0" customWidth="1"/>
    <col min="11" max="12" width="0" style="0" hidden="1" customWidth="1"/>
  </cols>
  <sheetData>
    <row r="1" spans="1:10" ht="18">
      <c r="A1" s="38" t="s">
        <v>39</v>
      </c>
      <c r="B1" s="8"/>
      <c r="C1" s="8"/>
      <c r="D1" s="8"/>
      <c r="E1" s="8"/>
      <c r="F1" s="8"/>
      <c r="G1" s="8"/>
      <c r="H1" s="9"/>
      <c r="I1" s="39" t="s">
        <v>37</v>
      </c>
      <c r="J1" s="1"/>
    </row>
    <row r="2" spans="1:10" ht="18">
      <c r="A2" s="38" t="s">
        <v>1</v>
      </c>
      <c r="B2" s="8"/>
      <c r="C2" s="8"/>
      <c r="D2" s="8"/>
      <c r="E2" s="8"/>
      <c r="F2" s="8"/>
      <c r="G2" s="8"/>
      <c r="H2" s="9"/>
      <c r="I2" s="1"/>
      <c r="J2" s="1"/>
    </row>
    <row r="3" spans="1:10" ht="12.75">
      <c r="A3" s="9"/>
      <c r="B3" s="9"/>
      <c r="C3" s="9"/>
      <c r="D3" s="9"/>
      <c r="E3" s="9"/>
      <c r="F3" s="9"/>
      <c r="G3" s="9"/>
      <c r="H3" s="9"/>
      <c r="I3" s="1"/>
      <c r="J3" s="1"/>
    </row>
    <row r="4" spans="1:10" ht="12.75">
      <c r="A4" s="9"/>
      <c r="B4" s="9"/>
      <c r="C4" s="9"/>
      <c r="D4" s="9"/>
      <c r="E4" s="9"/>
      <c r="F4" s="9"/>
      <c r="G4" s="9"/>
      <c r="H4" s="9"/>
      <c r="I4" s="1"/>
      <c r="J4" s="1"/>
    </row>
    <row r="5" spans="1:10" ht="12.75">
      <c r="A5" s="9"/>
      <c r="B5" s="9"/>
      <c r="C5" s="9"/>
      <c r="D5" s="9"/>
      <c r="E5" s="9"/>
      <c r="F5" s="9"/>
      <c r="G5" s="9"/>
      <c r="H5" s="9"/>
      <c r="I5" s="40" t="s">
        <v>45</v>
      </c>
      <c r="J5" s="1"/>
    </row>
    <row r="6" spans="1:10" ht="12.75">
      <c r="A6" s="9"/>
      <c r="B6" s="9"/>
      <c r="C6" s="9"/>
      <c r="D6" s="9"/>
      <c r="E6" s="9"/>
      <c r="F6" s="9"/>
      <c r="G6" s="9"/>
      <c r="H6" s="9"/>
      <c r="I6" s="40" t="s">
        <v>46</v>
      </c>
      <c r="J6" s="1"/>
    </row>
    <row r="7" spans="1:10" ht="12.75">
      <c r="A7" s="10" t="s">
        <v>7</v>
      </c>
      <c r="B7" s="9"/>
      <c r="C7" s="9"/>
      <c r="D7" s="11"/>
      <c r="E7" s="9"/>
      <c r="F7" s="9"/>
      <c r="G7" s="9"/>
      <c r="H7" s="9"/>
      <c r="I7" s="41" t="s">
        <v>47</v>
      </c>
      <c r="J7" s="1"/>
    </row>
    <row r="8" spans="1:10" ht="12.75">
      <c r="A8" s="9" t="s">
        <v>40</v>
      </c>
      <c r="B8" s="9"/>
      <c r="C8" s="9"/>
      <c r="D8" s="11"/>
      <c r="E8" s="9"/>
      <c r="F8" s="12">
        <v>5.71</v>
      </c>
      <c r="G8" s="31"/>
      <c r="H8" s="14"/>
      <c r="I8" s="42"/>
      <c r="J8" s="1"/>
    </row>
    <row r="9" spans="1:10" ht="12.75">
      <c r="A9" s="9" t="s">
        <v>2</v>
      </c>
      <c r="B9" s="9"/>
      <c r="C9" s="9"/>
      <c r="D9" s="11"/>
      <c r="E9" s="9"/>
      <c r="F9" s="12">
        <v>0.746</v>
      </c>
      <c r="G9" s="31"/>
      <c r="H9" s="9"/>
      <c r="I9" s="42"/>
      <c r="J9" s="1"/>
    </row>
    <row r="10" spans="1:10" ht="12.75">
      <c r="A10" s="9" t="s">
        <v>14</v>
      </c>
      <c r="B10" s="9"/>
      <c r="C10" s="9"/>
      <c r="D10" s="11"/>
      <c r="E10" s="9"/>
      <c r="F10" s="13">
        <v>0.949</v>
      </c>
      <c r="G10" s="9"/>
      <c r="H10" s="9"/>
      <c r="I10" s="42"/>
      <c r="J10" s="1"/>
    </row>
    <row r="11" spans="1:16" ht="12.75">
      <c r="A11" s="9" t="s">
        <v>3</v>
      </c>
      <c r="B11" s="9"/>
      <c r="C11" s="9"/>
      <c r="D11" s="9"/>
      <c r="E11" s="9"/>
      <c r="F11" s="12">
        <f>+F8+F9+F10</f>
        <v>7.404999999999999</v>
      </c>
      <c r="G11" s="9" t="s">
        <v>41</v>
      </c>
      <c r="I11" s="43">
        <v>0.363</v>
      </c>
      <c r="J11" s="33"/>
      <c r="K11" s="19">
        <f>+F11/F22</f>
        <v>0.561452725756312</v>
      </c>
      <c r="L11">
        <v>49</v>
      </c>
      <c r="M11" s="19"/>
      <c r="P11">
        <f>+F11/F22</f>
        <v>0.561452725756312</v>
      </c>
    </row>
    <row r="12" spans="1:10" ht="12.75">
      <c r="A12" s="9"/>
      <c r="B12" s="9"/>
      <c r="C12" s="9"/>
      <c r="D12" s="9"/>
      <c r="E12" s="9"/>
      <c r="F12" s="9"/>
      <c r="G12" s="9"/>
      <c r="I12" s="43"/>
      <c r="J12" s="1"/>
    </row>
    <row r="13" spans="1:16" ht="12.75">
      <c r="A13" s="9" t="s">
        <v>4</v>
      </c>
      <c r="B13" s="9"/>
      <c r="C13" s="9"/>
      <c r="D13" s="9"/>
      <c r="E13" s="9"/>
      <c r="F13" s="12">
        <v>6.85</v>
      </c>
      <c r="G13" s="9" t="s">
        <v>42</v>
      </c>
      <c r="I13" s="43">
        <v>0.475</v>
      </c>
      <c r="J13" s="34"/>
      <c r="K13" s="19">
        <f>+F13/F22</f>
        <v>0.5193722041094851</v>
      </c>
      <c r="L13">
        <v>39</v>
      </c>
      <c r="P13">
        <f>+F13/F22</f>
        <v>0.5193722041094851</v>
      </c>
    </row>
    <row r="14" spans="1:10" ht="12.75">
      <c r="A14" s="9"/>
      <c r="B14" s="9"/>
      <c r="C14" s="9"/>
      <c r="D14" s="9"/>
      <c r="E14" s="9"/>
      <c r="F14" s="12"/>
      <c r="G14" s="9"/>
      <c r="I14" s="43"/>
      <c r="J14" s="1"/>
    </row>
    <row r="15" spans="1:12" ht="12.75">
      <c r="A15" s="9" t="s">
        <v>12</v>
      </c>
      <c r="B15" s="9"/>
      <c r="C15" s="9"/>
      <c r="D15" s="9"/>
      <c r="E15" s="9"/>
      <c r="F15" s="13">
        <v>2.219</v>
      </c>
      <c r="G15" s="9" t="s">
        <v>43</v>
      </c>
      <c r="I15" s="43"/>
      <c r="J15" s="1"/>
      <c r="K15">
        <f>+F15/F22</f>
        <v>0.1682462658275836</v>
      </c>
      <c r="L15">
        <v>18</v>
      </c>
    </row>
    <row r="16" spans="1:16" ht="12.75">
      <c r="A16" s="9"/>
      <c r="B16" s="9"/>
      <c r="C16" s="9"/>
      <c r="D16" s="9"/>
      <c r="E16" s="9"/>
      <c r="F16" s="16"/>
      <c r="G16" s="16"/>
      <c r="I16" s="43"/>
      <c r="J16" s="1"/>
      <c r="P16">
        <f>+F15/F22</f>
        <v>0.1682462658275836</v>
      </c>
    </row>
    <row r="17" spans="1:10" ht="12.75">
      <c r="A17" s="10" t="s">
        <v>5</v>
      </c>
      <c r="B17" s="9"/>
      <c r="C17" s="9"/>
      <c r="D17" s="9"/>
      <c r="E17" s="9"/>
      <c r="F17" s="9"/>
      <c r="G17" s="9"/>
      <c r="I17" s="43"/>
      <c r="J17" s="1"/>
    </row>
    <row r="18" spans="1:16" ht="12.75">
      <c r="A18" s="9" t="s">
        <v>6</v>
      </c>
      <c r="B18" s="9"/>
      <c r="C18" s="9"/>
      <c r="D18" s="9"/>
      <c r="E18" s="9"/>
      <c r="F18" s="12">
        <v>-3.285</v>
      </c>
      <c r="G18" s="9" t="s">
        <v>44</v>
      </c>
      <c r="I18" s="43">
        <v>-0.528</v>
      </c>
      <c r="J18" s="34"/>
      <c r="K18">
        <f>+F18/F22</f>
        <v>-0.24907119569338085</v>
      </c>
      <c r="L18">
        <v>-6</v>
      </c>
      <c r="P18">
        <f>+F18/F22</f>
        <v>-0.24907119569338085</v>
      </c>
    </row>
    <row r="19" spans="1:10" ht="12.75">
      <c r="A19" s="9"/>
      <c r="B19" s="9"/>
      <c r="C19" s="9"/>
      <c r="D19" s="9"/>
      <c r="E19" s="9"/>
      <c r="F19" s="13"/>
      <c r="G19" s="9"/>
      <c r="H19" s="9"/>
      <c r="I19" s="1"/>
      <c r="J19" s="1"/>
    </row>
    <row r="20" spans="1:16" ht="12.75">
      <c r="A20" s="9"/>
      <c r="B20" s="9"/>
      <c r="C20" s="9"/>
      <c r="D20" s="9"/>
      <c r="E20" s="9"/>
      <c r="F20" s="15">
        <f>+F18+F19</f>
        <v>-3.285</v>
      </c>
      <c r="G20" s="17"/>
      <c r="H20" s="9"/>
      <c r="I20" s="1"/>
      <c r="J20" s="1"/>
      <c r="P20">
        <f>SUM(P11:P18)</f>
        <v>0.9999999999999998</v>
      </c>
    </row>
    <row r="21" spans="1:10" ht="12.75">
      <c r="A21" s="9"/>
      <c r="B21" s="9"/>
      <c r="C21" s="9"/>
      <c r="D21" s="9"/>
      <c r="E21" s="9"/>
      <c r="F21" s="15"/>
      <c r="G21" s="17"/>
      <c r="H21" s="9"/>
      <c r="I21" s="1"/>
      <c r="J21" s="1"/>
    </row>
    <row r="22" spans="1:10" ht="13.5" thickBot="1">
      <c r="A22" s="9"/>
      <c r="B22" s="9"/>
      <c r="C22" s="9" t="s">
        <v>13</v>
      </c>
      <c r="D22" s="9"/>
      <c r="E22" s="9"/>
      <c r="F22" s="18">
        <f>+F11+F13+F15+F20</f>
        <v>13.189</v>
      </c>
      <c r="G22" s="17"/>
      <c r="H22" s="9"/>
      <c r="I22" s="1"/>
      <c r="J22" s="1"/>
    </row>
    <row r="23" spans="1:10" ht="13.5" thickTop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49" spans="1:9" ht="18">
      <c r="A49" s="36" t="s">
        <v>38</v>
      </c>
      <c r="C49" s="44">
        <v>0.45</v>
      </c>
      <c r="D49" s="44"/>
      <c r="E49" s="37">
        <v>0.42</v>
      </c>
      <c r="F49" s="44">
        <v>0.13</v>
      </c>
      <c r="G49" s="44"/>
      <c r="H49" s="37">
        <v>1</v>
      </c>
      <c r="I49" s="35"/>
    </row>
  </sheetData>
  <mergeCells count="2">
    <mergeCell ref="F49:G49"/>
    <mergeCell ref="C49:D49"/>
  </mergeCells>
  <printOptions/>
  <pageMargins left="0.75" right="0.75" top="1" bottom="1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6" sqref="E6"/>
    </sheetView>
  </sheetViews>
  <sheetFormatPr defaultColWidth="9.140625" defaultRowHeight="12.75"/>
  <cols>
    <col min="5" max="5" width="13.57421875" style="0" bestFit="1" customWidth="1"/>
  </cols>
  <sheetData>
    <row r="1" ht="12.75">
      <c r="A1" s="2" t="s">
        <v>0</v>
      </c>
    </row>
    <row r="2" ht="12.75">
      <c r="A2" s="2" t="s">
        <v>1</v>
      </c>
    </row>
    <row r="5" spans="1:5" ht="12.75">
      <c r="A5" s="4" t="s">
        <v>11</v>
      </c>
      <c r="E5" s="5">
        <f>+'Exhibit MAM-2'!F11*1000</f>
        <v>7404.999999999999</v>
      </c>
    </row>
    <row r="6" spans="1:8" ht="12.75">
      <c r="A6" s="4" t="s">
        <v>8</v>
      </c>
      <c r="E6" s="5">
        <f>+'Exhibit MAM-2'!F13*1000</f>
        <v>6850</v>
      </c>
      <c r="H6" s="3"/>
    </row>
    <row r="7" spans="1:5" ht="12.75">
      <c r="A7" s="4" t="s">
        <v>10</v>
      </c>
      <c r="E7" s="6">
        <f>+'Exhibit MAM-2'!F15*1000</f>
        <v>2219</v>
      </c>
    </row>
    <row r="8" spans="1:5" ht="12.75">
      <c r="A8" s="4" t="s">
        <v>9</v>
      </c>
      <c r="E8" s="5">
        <f>+'Exhibit MAM-2'!F18*1000</f>
        <v>-3285</v>
      </c>
    </row>
    <row r="10" ht="12.75">
      <c r="E10" s="7">
        <f>SUM(E5:E8)</f>
        <v>13189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55"/>
  <sheetViews>
    <sheetView workbookViewId="0" topLeftCell="A1">
      <selection activeCell="L16" sqref="L16"/>
    </sheetView>
  </sheetViews>
  <sheetFormatPr defaultColWidth="9.140625" defaultRowHeight="12.75"/>
  <cols>
    <col min="1" max="1" width="15.00390625" style="0" bestFit="1" customWidth="1"/>
    <col min="2" max="2" width="12.8515625" style="0" bestFit="1" customWidth="1"/>
    <col min="3" max="3" width="12.57421875" style="0" customWidth="1"/>
    <col min="4" max="4" width="9.57421875" style="0" bestFit="1" customWidth="1"/>
    <col min="5" max="5" width="11.28125" style="0" bestFit="1" customWidth="1"/>
    <col min="11" max="11" width="10.28125" style="0" bestFit="1" customWidth="1"/>
    <col min="12" max="12" width="9.28125" style="0" bestFit="1" customWidth="1"/>
  </cols>
  <sheetData>
    <row r="5" ht="12.75">
      <c r="A5" t="s">
        <v>15</v>
      </c>
    </row>
    <row r="6" ht="12.75">
      <c r="A6" s="23">
        <f>'[1]RRD 1'!$G$39</f>
        <v>100583192.7326437</v>
      </c>
    </row>
    <row r="7" ht="12.75">
      <c r="A7" s="25">
        <f>'[1]RRD 1'!$E$39</f>
        <v>87611392</v>
      </c>
    </row>
    <row r="8" ht="12.75">
      <c r="A8" s="23">
        <f>+A6-A7</f>
        <v>12971800.732643694</v>
      </c>
    </row>
    <row r="9" spans="1:2" ht="12.75">
      <c r="A9" s="22">
        <f>+'[1]RRD 1'!$G$53</f>
        <v>0.0789</v>
      </c>
      <c r="B9" t="s">
        <v>16</v>
      </c>
    </row>
    <row r="10" ht="12.75">
      <c r="A10" s="23">
        <f>+A8*A9</f>
        <v>1023475.0778055874</v>
      </c>
    </row>
    <row r="11" spans="1:11" ht="12.75">
      <c r="A11" s="20">
        <f>+'[2]Rev Conv Factor'!$C$23</f>
        <v>1.71513466</v>
      </c>
      <c r="B11" t="s">
        <v>17</v>
      </c>
      <c r="J11" t="s">
        <v>15</v>
      </c>
      <c r="K11" s="28">
        <f>+A12+E52</f>
        <v>2333552.982652663</v>
      </c>
    </row>
    <row r="12" spans="1:11" ht="13.5" thickBot="1">
      <c r="A12" s="27">
        <f>+A10*A11</f>
        <v>1755397.5795905597</v>
      </c>
      <c r="J12" t="s">
        <v>32</v>
      </c>
      <c r="K12" s="28">
        <v>307000</v>
      </c>
    </row>
    <row r="13" spans="10:13" ht="13.5" thickTop="1">
      <c r="J13" t="s">
        <v>33</v>
      </c>
      <c r="K13" s="28">
        <v>456000</v>
      </c>
      <c r="M13" s="28"/>
    </row>
    <row r="14" spans="1:12" ht="13.5" thickBot="1">
      <c r="A14" t="s">
        <v>20</v>
      </c>
      <c r="K14" s="29">
        <f>+K11+K12+K13</f>
        <v>3096552.982652663</v>
      </c>
      <c r="L14" s="23">
        <f>+K14/1000</f>
        <v>3096.5529826526626</v>
      </c>
    </row>
    <row r="15" spans="1:12" ht="13.5" thickTop="1">
      <c r="A15" s="23">
        <f>'[1]RRD 1'!$G$21</f>
        <v>18584498.744165495</v>
      </c>
      <c r="C15">
        <v>1.277</v>
      </c>
      <c r="D15" t="s">
        <v>21</v>
      </c>
      <c r="L15" s="23"/>
    </row>
    <row r="16" spans="1:12" ht="12.75">
      <c r="A16" s="25">
        <f>'[1]RRD 1'!$E$21</f>
        <v>16264900</v>
      </c>
      <c r="C16">
        <v>2.85</v>
      </c>
      <c r="D16" t="s">
        <v>22</v>
      </c>
      <c r="J16" t="s">
        <v>34</v>
      </c>
      <c r="K16" s="28">
        <f>+A19-12000</f>
        <v>2403328.5843372047</v>
      </c>
      <c r="L16" s="23">
        <f>+K16/1000</f>
        <v>2403.3285843372046</v>
      </c>
    </row>
    <row r="17" spans="1:12" ht="12.75">
      <c r="A17" s="23">
        <f>+A15-A16</f>
        <v>2319598.744165495</v>
      </c>
      <c r="C17">
        <f>+C15+C16</f>
        <v>4.127</v>
      </c>
      <c r="L17" s="23"/>
    </row>
    <row r="18" spans="1:12" ht="12.75">
      <c r="A18" s="20">
        <v>1.04127</v>
      </c>
      <c r="J18" t="s">
        <v>35</v>
      </c>
      <c r="K18" s="28">
        <f>+A31+E53</f>
        <v>1253722.3550010559</v>
      </c>
      <c r="L18" s="23">
        <f>+K18/1000</f>
        <v>1253.7223550010558</v>
      </c>
    </row>
    <row r="19" spans="1:12" ht="13.5" thickBot="1">
      <c r="A19" s="27">
        <f>+A17*A18</f>
        <v>2415328.5843372047</v>
      </c>
      <c r="L19" s="23"/>
    </row>
    <row r="20" spans="10:12" ht="13.5" thickTop="1">
      <c r="J20" t="s">
        <v>36</v>
      </c>
      <c r="K20" s="28">
        <f>-A43</f>
        <v>-374870.009800002</v>
      </c>
      <c r="L20" s="23">
        <f>+K20/1000</f>
        <v>-374.870009800002</v>
      </c>
    </row>
    <row r="21" ht="12.75">
      <c r="L21" s="23"/>
    </row>
    <row r="22" spans="12:14" ht="12.75">
      <c r="L22" s="28">
        <f>SUM(L14:L20)</f>
        <v>6378.733912190921</v>
      </c>
      <c r="M22">
        <v>6379</v>
      </c>
      <c r="N22" s="28">
        <f>+L22-M22</f>
        <v>-0.26608780907918117</v>
      </c>
    </row>
    <row r="24" ht="12.75">
      <c r="A24" t="s">
        <v>19</v>
      </c>
    </row>
    <row r="25" spans="1:3" ht="12.75">
      <c r="A25" s="21">
        <f>+'[1]RRD 1'!$G$65</f>
        <v>0.08460000000000001</v>
      </c>
      <c r="B25" t="s">
        <v>24</v>
      </c>
      <c r="C25">
        <f>+'[2]Rev Conv Factor'!$C$13</f>
        <v>1</v>
      </c>
    </row>
    <row r="26" spans="1:9" ht="12.75">
      <c r="A26" s="22">
        <f>+'[1]RRD 1'!$G$53</f>
        <v>0.0789</v>
      </c>
      <c r="B26" t="s">
        <v>25</v>
      </c>
      <c r="C26">
        <f>+C25*0.06475</f>
        <v>0.06475</v>
      </c>
      <c r="D26" t="s">
        <v>18</v>
      </c>
      <c r="F26">
        <v>0.06475</v>
      </c>
      <c r="G26">
        <f>0.065*0.95</f>
        <v>0.06175</v>
      </c>
      <c r="H26">
        <f>0.06*0.05</f>
        <v>0.003</v>
      </c>
      <c r="I26">
        <f>+G26+H26</f>
        <v>0.06475</v>
      </c>
    </row>
    <row r="27" spans="1:3" ht="12.75">
      <c r="A27" s="21">
        <f>+A25-A26</f>
        <v>0.005700000000000011</v>
      </c>
      <c r="B27" t="s">
        <v>26</v>
      </c>
      <c r="C27">
        <f>+C25-C26</f>
        <v>0.93525</v>
      </c>
    </row>
    <row r="28" spans="1:3" ht="12.75">
      <c r="A28" s="25">
        <f>+A6</f>
        <v>100583192.7326437</v>
      </c>
      <c r="B28" t="s">
        <v>23</v>
      </c>
      <c r="C28">
        <f>+C27*0.35</f>
        <v>0.3273375</v>
      </c>
    </row>
    <row r="29" spans="1:3" ht="12.75">
      <c r="A29" s="23">
        <f>+A27*A28</f>
        <v>573324.1985760701</v>
      </c>
      <c r="C29">
        <f>+C27-C28</f>
        <v>0.6079125000000001</v>
      </c>
    </row>
    <row r="30" spans="1:3" ht="12.75">
      <c r="A30" s="26">
        <f>+C30</f>
        <v>1.6449735776119094</v>
      </c>
      <c r="B30" t="s">
        <v>27</v>
      </c>
      <c r="C30" s="24">
        <f>+C25/C29</f>
        <v>1.6449735776119094</v>
      </c>
    </row>
    <row r="31" ht="13.5" thickBot="1">
      <c r="A31" s="27">
        <f>+A29*A30</f>
        <v>943103.1580631589</v>
      </c>
    </row>
    <row r="32" ht="13.5" thickTop="1"/>
    <row r="34" ht="12.75">
      <c r="A34" t="s">
        <v>28</v>
      </c>
    </row>
    <row r="35" spans="1:2" ht="12.75">
      <c r="A35" s="23">
        <f>'[1]RRD 1'!$G$22</f>
        <v>4851150</v>
      </c>
      <c r="B35" s="30">
        <f>4908193-163076</f>
        <v>4745117</v>
      </c>
    </row>
    <row r="36" spans="1:2" ht="12.75">
      <c r="A36" s="25">
        <f>'[1]RRD 1'!$E$22</f>
        <v>4558016</v>
      </c>
      <c r="B36" s="30">
        <v>4437415</v>
      </c>
    </row>
    <row r="37" spans="1:2" ht="13.5" thickBot="1">
      <c r="A37" s="27">
        <f>+A35-A36</f>
        <v>293134</v>
      </c>
      <c r="B37" s="27">
        <f>+B35-B36</f>
        <v>307702</v>
      </c>
    </row>
    <row r="38" ht="13.5" thickTop="1"/>
    <row r="40" ht="12.75">
      <c r="A40" t="s">
        <v>29</v>
      </c>
    </row>
    <row r="41" ht="12.75">
      <c r="A41" s="23">
        <f>'[1]RRD 1'!$G$15</f>
        <v>33432287.009800002</v>
      </c>
    </row>
    <row r="42" ht="12.75">
      <c r="A42" s="23">
        <f>'[1]RRD 1'!$E$15</f>
        <v>33057417</v>
      </c>
    </row>
    <row r="43" ht="13.5" thickBot="1">
      <c r="A43" s="27">
        <f>+A41-A42</f>
        <v>374870.009800002</v>
      </c>
    </row>
    <row r="44" ht="13.5" thickTop="1"/>
    <row r="46" ht="12.75">
      <c r="A46" t="s">
        <v>30</v>
      </c>
    </row>
    <row r="47" spans="1:2" ht="12.75">
      <c r="A47" s="23">
        <f>'[1]RRD 1'!$G$23</f>
        <v>3928089</v>
      </c>
      <c r="B47" s="23">
        <v>2635018</v>
      </c>
    </row>
    <row r="48" spans="1:2" ht="12.75">
      <c r="A48" s="23">
        <f>'[1]RRD 1'!$E$23</f>
        <v>3314870</v>
      </c>
      <c r="B48" s="23">
        <v>2356746</v>
      </c>
    </row>
    <row r="49" spans="1:2" ht="13.5" thickBot="1">
      <c r="A49" s="27">
        <f>+A47-A48</f>
        <v>613219</v>
      </c>
      <c r="B49" s="27">
        <f>+B47-B48</f>
        <v>278272</v>
      </c>
    </row>
    <row r="50" ht="13.5" thickTop="1"/>
    <row r="51" ht="12.75">
      <c r="A51" t="s">
        <v>31</v>
      </c>
    </row>
    <row r="52" spans="1:5" ht="12.75">
      <c r="A52" s="23">
        <f>'[1]RRD 1'!$G$24</f>
        <v>3933064</v>
      </c>
      <c r="C52" s="28">
        <f>+A12</f>
        <v>1755397.5795905597</v>
      </c>
      <c r="D52">
        <f>+C52/C54</f>
        <v>0.6505084675710838</v>
      </c>
      <c r="E52" s="23">
        <f>+D52*A55</f>
        <v>578155.403062103</v>
      </c>
    </row>
    <row r="53" spans="1:5" ht="12.75">
      <c r="A53" s="23">
        <f>'[1]RRD 1'!$E$24</f>
        <v>2451773</v>
      </c>
      <c r="C53" s="28">
        <f>+A31</f>
        <v>943103.1580631589</v>
      </c>
      <c r="D53">
        <f>+C53/C54</f>
        <v>0.34949153242891623</v>
      </c>
      <c r="E53" s="23">
        <f>+D53*A55</f>
        <v>310619.19693789707</v>
      </c>
    </row>
    <row r="54" spans="1:4" ht="13.5" thickBot="1">
      <c r="A54" s="27">
        <f>+A52-A53</f>
        <v>1481291</v>
      </c>
      <c r="B54">
        <f>297+597</f>
        <v>894</v>
      </c>
      <c r="C54" s="28">
        <f>+C52+C53</f>
        <v>2698500.7376537183</v>
      </c>
      <c r="D54">
        <f>+D52+D53</f>
        <v>1</v>
      </c>
    </row>
    <row r="55" spans="1:2" ht="13.5" thickTop="1">
      <c r="A55" s="23">
        <f>+A54*0.6</f>
        <v>888774.6</v>
      </c>
      <c r="B55" s="32">
        <v>0.6036461850101283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Valentine</dc:creator>
  <cp:keywords/>
  <dc:description/>
  <cp:lastModifiedBy>Administrator</cp:lastModifiedBy>
  <cp:lastPrinted>2007-04-28T16:38:26Z</cp:lastPrinted>
  <dcterms:created xsi:type="dcterms:W3CDTF">2003-01-17T16:43:49Z</dcterms:created>
  <dcterms:modified xsi:type="dcterms:W3CDTF">2007-06-14T03:06:16Z</dcterms:modified>
  <cp:category/>
  <cp:version/>
  <cp:contentType/>
  <cp:contentStatus/>
</cp:coreProperties>
</file>