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4770" windowHeight="5145" tabRatio="602" activeTab="0"/>
  </bookViews>
  <sheets>
    <sheet name="Sch J" sheetId="1" r:id="rId1"/>
    <sheet name="Cap Struct WPs" sheetId="2" r:id="rId2"/>
  </sheets>
  <definedNames>
    <definedName name="_xlnm.Print_Area" localSheetId="1">'Cap Struct WPs'!$A$1:$AA$507</definedName>
    <definedName name="_xlnm.Print_Area" localSheetId="0">'Sch J'!$A$1:$O$559</definedName>
    <definedName name="_xlnm.Print_Titles" localSheetId="1">'Cap Struct WPs'!$A:$C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hidden="1">{"Wkp ComEquity",#N/A,FALSE,"Cap Struct WPs"}</definedName>
    <definedName name="wrn.Wkp._.JDITC." hidden="1">{"Wkp JDITC",#N/A,FALSE,"Cap Struct WPs"}</definedName>
    <definedName name="wrn.Wkp._.LTerm._.Debt." hidden="1">{"Wkp LTerm Debt",#N/A,FALSE,"Cap Struct WPs"}</definedName>
    <definedName name="wrn.Wkp._.LTerm._.Debt._.13Mo._.Avg." hidden="1">{"Wkp LTerm Debt 13MoAvg",#N/A,FALSE,"Cap Struct WPs"}</definedName>
    <definedName name="wrn.Wkp._.LTerm._.Debt._.Amort." hidden="1">{"Wkp Lterm Debt Amort",#N/A,FALSE,"Cap Struct WPs"}</definedName>
    <definedName name="wrn.Wkp._.LTerm._.Debt._.Int." hidden="1">{"Wkp LTerm Debt Int",#N/A,FALSE,"Cap Struct WPs"}</definedName>
    <definedName name="wrn.Wkp._.PreStock." hidden="1">{"Wkp PreStock",#N/A,FALSE,"Cap Struct WPs"}</definedName>
    <definedName name="wrn.Wkp._.PreStock._.13MoAvg." hidden="1">{"Wkp PreStock 13MoAvg",#N/A,FALSE,"Cap Struct WPs"}</definedName>
    <definedName name="wrn.Wkp._.PreStock._.Amort." hidden="1">{"Wkp PreStock Amort",#N/A,FALSE,"Cap Struct WPs"}</definedName>
    <definedName name="wrn.Wkp._.PreStock._.Dividend." hidden="1">{"Wkp PreStock Dividend",#N/A,FALSE,"Cap Struct WPs"}</definedName>
    <definedName name="wrn.Wkp._.STerm._.Debt." hidden="1">{"Wkp STerm Debt",#N/A,FALSE,"Cap Struct WPs"}</definedName>
    <definedName name="wrn.Wkp._.Unamort._.Debt._.Exp." hidden="1">{"Wkp Unamort Debt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1" hidden="1">'Cap Struct WPs'!$A$50:$AA$97</definedName>
    <definedName name="Z_3504B94A_F634_11D2_9451_0008C780B76A_.wvu.PrintArea" localSheetId="0" hidden="1">'Sch J'!$A$435:$P$558</definedName>
    <definedName name="Z_3504B94A_F634_11D2_9451_0008C780B76A_.wvu.PrintTitles" localSheetId="1" hidden="1">'Cap Struct WPs'!$A:$C</definedName>
    <definedName name="Z_3504B94B_F634_11D2_9451_0008C780B76A_.wvu.PrintArea" localSheetId="1" hidden="1">'Cap Struct WPs'!$A$1:$AA$48</definedName>
    <definedName name="Z_3504B94B_F634_11D2_9451_0008C780B76A_.wvu.PrintArea" localSheetId="0" hidden="1">'Sch J'!$A$435:$P$558</definedName>
    <definedName name="Z_3504B94B_F634_11D2_9451_0008C780B76A_.wvu.PrintTitles" localSheetId="1" hidden="1">'Cap Struct WPs'!$A:$C</definedName>
    <definedName name="Z_3504B94C_F634_11D2_9451_0008C780B76A_.wvu.PrintArea" localSheetId="1" hidden="1">'Cap Struct WPs'!$A$99:$AA$146</definedName>
    <definedName name="Z_3504B94C_F634_11D2_9451_0008C780B76A_.wvu.PrintArea" localSheetId="0" hidden="1">'Sch J'!$A$435:$P$558</definedName>
    <definedName name="Z_3504B94C_F634_11D2_9451_0008C780B76A_.wvu.PrintTitles" localSheetId="1" hidden="1">'Cap Struct WPs'!$A:$C</definedName>
    <definedName name="Z_3504B94D_F634_11D2_9451_0008C780B76A_.wvu.PrintArea" localSheetId="1" hidden="1">'Cap Struct WPs'!$A$148:$AA$195</definedName>
    <definedName name="Z_3504B94D_F634_11D2_9451_0008C780B76A_.wvu.PrintArea" localSheetId="0" hidden="1">'Sch J'!$A$435:$P$558</definedName>
    <definedName name="Z_3504B94D_F634_11D2_9451_0008C780B76A_.wvu.PrintTitles" localSheetId="1" hidden="1">'Cap Struct WPs'!$A:$C</definedName>
    <definedName name="Z_3504B94E_F634_11D2_9451_0008C780B76A_.wvu.PrintArea" localSheetId="1" hidden="1">'Cap Struct WPs'!$A$197:$AA$244</definedName>
    <definedName name="Z_3504B94E_F634_11D2_9451_0008C780B76A_.wvu.PrintArea" localSheetId="0" hidden="1">'Sch J'!$A$435:$P$558</definedName>
    <definedName name="Z_3504B94E_F634_11D2_9451_0008C780B76A_.wvu.PrintTitles" localSheetId="1" hidden="1">'Cap Struct WPs'!$A:$C</definedName>
    <definedName name="Z_3504B950_F634_11D2_9451_0008C780B76A_.wvu.PrintArea" localSheetId="1" hidden="1">'Cap Struct WPs'!$A$295:$AA$342</definedName>
    <definedName name="Z_3504B950_F634_11D2_9451_0008C780B76A_.wvu.PrintArea" localSheetId="0" hidden="1">'Sch J'!$A$435:$P$558</definedName>
    <definedName name="Z_3504B950_F634_11D2_9451_0008C780B76A_.wvu.PrintTitles" localSheetId="1" hidden="1">'Cap Struct WPs'!$A:$C</definedName>
    <definedName name="Z_3504B951_F634_11D2_9451_0008C780B76A_.wvu.PrintArea" localSheetId="1" hidden="1">'Cap Struct WPs'!$A$344:$AA$391</definedName>
    <definedName name="Z_3504B951_F634_11D2_9451_0008C780B76A_.wvu.PrintArea" localSheetId="0" hidden="1">'Sch J'!$A$435:$P$558</definedName>
    <definedName name="Z_3504B951_F634_11D2_9451_0008C780B76A_.wvu.PrintTitles" localSheetId="1" hidden="1">'Cap Struct WPs'!$A:$C</definedName>
    <definedName name="Z_3504B952_F634_11D2_9451_0008C780B76A_.wvu.PrintArea" localSheetId="1" hidden="1">'Cap Struct WPs'!$A$393:$AA$436</definedName>
    <definedName name="Z_3504B952_F634_11D2_9451_0008C780B76A_.wvu.PrintArea" localSheetId="0" hidden="1">'Sch J'!$A$435:$P$558</definedName>
    <definedName name="Z_3504B952_F634_11D2_9451_0008C780B76A_.wvu.PrintTitles" localSheetId="1" hidden="1">'Cap Struct WPs'!$A:$C</definedName>
    <definedName name="Z_3504B953_F634_11D2_9451_0008C780B76A_.wvu.PrintArea" localSheetId="1" hidden="1">'Cap Struct WPs'!$A$438:$AA$481</definedName>
    <definedName name="Z_3504B953_F634_11D2_9451_0008C780B76A_.wvu.PrintArea" localSheetId="0" hidden="1">'Sch J'!$A$435:$P$558</definedName>
    <definedName name="Z_3504B953_F634_11D2_9451_0008C780B76A_.wvu.PrintTitles" localSheetId="1" hidden="1">'Cap Struct WPs'!$A:$C</definedName>
    <definedName name="Z_3504B954_F634_11D2_9451_0008C780B76A_.wvu.PrintArea" localSheetId="1" hidden="1">'Cap Struct WPs'!$A$483:$AA$510</definedName>
    <definedName name="Z_3504B954_F634_11D2_9451_0008C780B76A_.wvu.PrintArea" localSheetId="0" hidden="1">'Sch J'!$A$435:$P$558</definedName>
    <definedName name="Z_3504B954_F634_11D2_9451_0008C780B76A_.wvu.PrintTitles" localSheetId="1" hidden="1">'Cap Struct WPs'!$A:$C</definedName>
    <definedName name="Z_3504B955_F634_11D2_9451_0008C780B76A_.wvu.PrintArea" localSheetId="1" hidden="1">'Cap Struct WPs'!$AC$1:$AK$37</definedName>
    <definedName name="Z_3504B955_F634_11D2_9451_0008C780B76A_.wvu.PrintArea" localSheetId="0" hidden="1">'Sch J'!$A$435:$P$558</definedName>
    <definedName name="Z_3504B956_F634_11D2_9451_0008C780B76A_.wvu.PrintArea" localSheetId="1" hidden="1">'Cap Struct WPs'!$AN$1:$AV$28</definedName>
    <definedName name="Z_3504B956_F634_11D2_9451_0008C780B76A_.wvu.PrintArea" localSheetId="0" hidden="1">'Sch J'!$A$435:$P$558</definedName>
    <definedName name="Z_3504B966_F634_11D2_9451_0008C780B76A_.wvu.PrintArea" localSheetId="1" hidden="1">'Cap Struct WPs'!$A$246:$AA$293</definedName>
    <definedName name="Z_3504B966_F634_11D2_9451_0008C780B76A_.wvu.PrintArea" localSheetId="0" hidden="1">'Sch J'!$A$435:$P$558</definedName>
    <definedName name="Z_3504B966_F634_11D2_9451_0008C780B76A_.wvu.PrintTitles" localSheetId="1" hidden="1">'Cap Struct WPs'!$A:$C</definedName>
    <definedName name="Z_42E2132E_130A_11D4_8702_444553540000_.wvu.PrintArea" localSheetId="1" hidden="1">'Cap Struct WPs'!$AN$1:$AV$31</definedName>
    <definedName name="Z_42E2132E_130A_11D4_8702_444553540000_.wvu.PrintArea" localSheetId="0" hidden="1">'Sch J'!$A$1:$O$558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<sst xmlns="http://schemas.openxmlformats.org/spreadsheetml/2006/main" count="2277" uniqueCount="150">
  <si>
    <t>Common Equity</t>
  </si>
  <si>
    <t>Preferred Stock</t>
  </si>
  <si>
    <t>KENTUCKY-AMERICAN WATER COMPANY</t>
  </si>
  <si>
    <t>|</t>
  </si>
  <si>
    <t>OVERALL FINANCIAL SUMMARY</t>
  </si>
  <si>
    <t>DO NOT ERASE?:</t>
  </si>
  <si>
    <t>DATA: ___ BASE PERIOD _X_ FORECASTED PERIOD</t>
  </si>
  <si>
    <t>SCHEDULE J-1</t>
  </si>
  <si>
    <t>PAGE 1 of 2</t>
  </si>
  <si>
    <t>RETURN ON RATE BASE</t>
  </si>
  <si>
    <t>TYPE OF FILING: _X_ ORIGINAL ___ UPDATED __ REVISED</t>
  </si>
  <si>
    <t>WORKPAPER REFERENCE NO(S).:  W/P-7</t>
  </si>
  <si>
    <t>DEBT COST</t>
  </si>
  <si>
    <t>Net</t>
  </si>
  <si>
    <t>13 Month</t>
  </si>
  <si>
    <t>Line</t>
  </si>
  <si>
    <t>Class of</t>
  </si>
  <si>
    <t>Carrying</t>
  </si>
  <si>
    <t>Adjusted</t>
  </si>
  <si>
    <t>Weighted</t>
  </si>
  <si>
    <t>Average</t>
  </si>
  <si>
    <t>No.</t>
  </si>
  <si>
    <t>Capital</t>
  </si>
  <si>
    <t>Reference</t>
  </si>
  <si>
    <t>Amount</t>
  </si>
  <si>
    <t>% of Total</t>
  </si>
  <si>
    <t>Add (1)</t>
  </si>
  <si>
    <t>Cost Rate</t>
  </si>
  <si>
    <t>Cost</t>
  </si>
  <si>
    <t>Weighted Cost</t>
  </si>
  <si>
    <t>Short-Term Debt</t>
  </si>
  <si>
    <t>J-2, Page 1</t>
  </si>
  <si>
    <t>Long-Term Debt</t>
  </si>
  <si>
    <t>J-3, Page 1</t>
  </si>
  <si>
    <t>J-4, Page 1</t>
  </si>
  <si>
    <t xml:space="preserve">    Total Capital</t>
  </si>
  <si>
    <t>(1) JDITC</t>
  </si>
  <si>
    <t>COST OF CAPITAL SUMMARY</t>
  </si>
  <si>
    <t>DATA: _X_ BASE PERIOD ___ FORECASTED PERIOD</t>
  </si>
  <si>
    <t>PAGE 2 of 2</t>
  </si>
  <si>
    <t>J-2, Page 2</t>
  </si>
  <si>
    <t>J-3, Page 2</t>
  </si>
  <si>
    <t>J-4, Page 2</t>
  </si>
  <si>
    <t>(1) JDITC:</t>
  </si>
  <si>
    <t>COST OF CAPITAL SUMMARY AT CURRENT AND PROPOSED RATES</t>
  </si>
  <si>
    <t>13 MONTH AVERAGE</t>
  </si>
  <si>
    <t>SCHEDULE J-1.1/J-1.2</t>
  </si>
  <si>
    <t>DATE OF CAPITAL STRUCTURE: AVERAGE FOR FORECASTED PERIOD</t>
  </si>
  <si>
    <t>PAGE 1 of 1</t>
  </si>
  <si>
    <t>EMBEDDED COST OF SHORT-TERM DEBT</t>
  </si>
  <si>
    <t>SCHEDULE J-2</t>
  </si>
  <si>
    <t>Interest</t>
  </si>
  <si>
    <t>Issue</t>
  </si>
  <si>
    <t>Outstanding</t>
  </si>
  <si>
    <t>Rate</t>
  </si>
  <si>
    <t>Requirement</t>
  </si>
  <si>
    <t>Promissory  Note</t>
  </si>
  <si>
    <t>Weighted Cost of Short-Term Debt</t>
  </si>
  <si>
    <t>EMBEDDED COST OF LONG-TERM DEBT</t>
  </si>
  <si>
    <t>SCHEDULE J-3</t>
  </si>
  <si>
    <t>Annual Amort.</t>
  </si>
  <si>
    <t>Unamortized</t>
  </si>
  <si>
    <t xml:space="preserve">  </t>
  </si>
  <si>
    <t>Debt Issue</t>
  </si>
  <si>
    <t>Maturity</t>
  </si>
  <si>
    <t>Bond Rating</t>
  </si>
  <si>
    <t>Annualized</t>
  </si>
  <si>
    <t>Principal</t>
  </si>
  <si>
    <t>of Issue</t>
  </si>
  <si>
    <t>Discount or</t>
  </si>
  <si>
    <t>Type &amp; Rate</t>
  </si>
  <si>
    <t>Date</t>
  </si>
  <si>
    <t>at Issue</t>
  </si>
  <si>
    <t>at Maturity</t>
  </si>
  <si>
    <t>Expense</t>
  </si>
  <si>
    <t>Premium</t>
  </si>
  <si>
    <t>Debt Expense</t>
  </si>
  <si>
    <t>Gain/Loss</t>
  </si>
  <si>
    <t>Value</t>
  </si>
  <si>
    <t>General Mortgage Bonds:</t>
  </si>
  <si>
    <t>N/A</t>
  </si>
  <si>
    <t>Total Long-Term Debt and Annualized Cost</t>
  </si>
  <si>
    <t>Annualized Cost Rate</t>
  </si>
  <si>
    <t>EMBEDDED COST OF PREFERRED STOCK</t>
  </si>
  <si>
    <t>SCHEDULE J-4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</si>
  <si>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</si>
  <si>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</si>
  <si>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</si>
  <si>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</si>
  <si>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</si>
  <si>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</si>
  <si>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</si>
  <si>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</si>
  <si>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</si>
  <si>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Dividends</t>
  </si>
  <si>
    <t>Series B, 5 3/4%, $100 Par</t>
  </si>
  <si>
    <t>Series C, 5 1/2%, $100 Par</t>
  </si>
  <si>
    <t>Series D, 5%, $100 Par</t>
  </si>
  <si>
    <t>8.47% Series, $100 Par</t>
  </si>
  <si>
    <t>Total</t>
  </si>
  <si>
    <t>TOTAL</t>
  </si>
  <si>
    <t>*</t>
  </si>
  <si>
    <t>LONG TERM DEBT</t>
  </si>
  <si>
    <t>LONG-TERM DEBT AVERAGING FOR FORECASTED PERIOD</t>
  </si>
  <si>
    <t>PREFERRED STOCK AVERAGING FOR FORECASTED PERIOD</t>
  </si>
  <si>
    <t>use coc_2.al3 to print</t>
  </si>
  <si>
    <t>Forecasted</t>
  </si>
  <si>
    <t>Type &amp;</t>
  </si>
  <si>
    <t>Balance @</t>
  </si>
  <si>
    <t xml:space="preserve">Amort of </t>
  </si>
  <si>
    <t>At Issue</t>
  </si>
  <si>
    <t>@ Maturity</t>
  </si>
  <si>
    <t>Issuance Exp</t>
  </si>
  <si>
    <t>Issue Exp</t>
  </si>
  <si>
    <t>GENERAL MORTGAGE BONDS</t>
  </si>
  <si>
    <t xml:space="preserve">    Series 6.96%</t>
  </si>
  <si>
    <t xml:space="preserve">  TOTAL</t>
  </si>
  <si>
    <t>13 MONTH AVERAGE COST RATE</t>
  </si>
  <si>
    <t>UNAMORTIZED DEBT EXPENSE</t>
  </si>
  <si>
    <t>LONG TERM DEBT EXPENSE AMORTIZATION</t>
  </si>
  <si>
    <t>Amount @</t>
  </si>
  <si>
    <t>Test Period</t>
  </si>
  <si>
    <t>INTEREST ON LONG TERM DEBT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</si>
  <si>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</si>
  <si>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</si>
  <si>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</si>
  <si>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</si>
  <si>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</si>
  <si>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PROMISSORY NOTE</t>
  </si>
  <si>
    <t>COMMON EQUITY</t>
  </si>
  <si>
    <t>BALANCE</t>
  </si>
  <si>
    <t>ADD: EQUITY INFUSION</t>
  </si>
  <si>
    <t>ADD: NET INCOME TO COMMON EQUITY</t>
  </si>
  <si>
    <t>LESS: DIVIDENDS ON COMMON EQUITY</t>
  </si>
  <si>
    <t>JDITC</t>
  </si>
  <si>
    <t>DEFERRED ITC (JDITC - 4% AND 10%)</t>
  </si>
  <si>
    <t>DEFERRED ITC - 3%</t>
  </si>
  <si>
    <t xml:space="preserve">    Series 7.15%</t>
  </si>
  <si>
    <t xml:space="preserve">    Series 6.99%</t>
  </si>
  <si>
    <t>Terminal</t>
  </si>
  <si>
    <t>ANNUAL AMORTIZATION OF 3% ITC</t>
  </si>
  <si>
    <t>ANNUAL AMORTIZATION OF 4% ITC</t>
  </si>
  <si>
    <t>ANNUAL AMORTIZATION OF 10% ITC</t>
  </si>
  <si>
    <t>DATE OF CAPITAL STRUCTURE:  END OF FORECASTED TEST YEAR</t>
  </si>
  <si>
    <t>DATE OF CAPITAL STRUCTURE:  AS OF END OF BASE PERIOD</t>
  </si>
  <si>
    <t>Series 6.87%</t>
  </si>
  <si>
    <t xml:space="preserve">    Series 5.65%</t>
  </si>
  <si>
    <t xml:space="preserve">    Series 4.75%</t>
  </si>
  <si>
    <t xml:space="preserve">    Series 8.5% w/o over life of 6.96% issue</t>
  </si>
  <si>
    <t xml:space="preserve">    Proposed 5.81%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</si>
</sst>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m/dd/yy"/>
    <numFmt numFmtId="167" formatCode="&quot;$&quot;#,##0.00"/>
    <numFmt numFmtId="168" formatCode="0.00000%"/>
    <numFmt numFmtId="169" formatCode="mmm\-d\-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  <numFmt numFmtId="173" formatCode="#,##0.000"/>
    <numFmt numFmtId="174" formatCode="0.0%"/>
    <numFmt numFmtId="175" formatCode="mmm\-yyyy"/>
    <numFmt numFmtId="176" formatCode="00000"/>
    <numFmt numFmtId="177" formatCode="mmmm\ d\,\ yyyy"/>
    <numFmt numFmtId="178" formatCode="[$-409]mmmm\ d\,\ yyyy;@"/>
    <numFmt numFmtId="179" formatCode="[$-409]dddd\,\ mmmm\ dd\,\ yyyy"/>
    <numFmt numFmtId="180" formatCode="0.0000%"/>
    <numFmt numFmtId="181" formatCode="#,##0.0_);\(#,##0.0\)"/>
    <numFmt numFmtId="182" formatCode="#,##0.000_);\(#,##0.0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0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42" fontId="3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 indent="1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42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42" fontId="3" fillId="0" borderId="0" xfId="0" applyNumberFormat="1" applyFont="1" applyBorder="1" applyAlignment="1">
      <alignment/>
    </xf>
    <xf numFmtId="4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10" fontId="11" fillId="0" borderId="0" xfId="0" applyNumberFormat="1" applyFont="1" applyAlignment="1">
      <alignment/>
    </xf>
    <xf numFmtId="3" fontId="11" fillId="0" borderId="3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42" fontId="11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11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37" fontId="11" fillId="0" borderId="4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42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0" fontId="11" fillId="0" borderId="4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Continuous"/>
    </xf>
    <xf numFmtId="165" fontId="9" fillId="0" borderId="5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Continuous"/>
    </xf>
    <xf numFmtId="3" fontId="12" fillId="0" borderId="0" xfId="0" applyNumberFormat="1" applyFont="1" applyAlignment="1">
      <alignment/>
    </xf>
    <xf numFmtId="166" fontId="9" fillId="0" borderId="0" xfId="0" applyNumberFormat="1" applyFont="1" applyAlignment="1">
      <alignment horizontal="center"/>
    </xf>
    <xf numFmtId="42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1" fillId="0" borderId="4" xfId="0" applyNumberFormat="1" applyFont="1" applyBorder="1" applyAlignment="1">
      <alignment/>
    </xf>
    <xf numFmtId="37" fontId="9" fillId="0" borderId="4" xfId="0" applyNumberFormat="1" applyFont="1" applyBorder="1" applyAlignment="1">
      <alignment/>
    </xf>
    <xf numFmtId="3" fontId="9" fillId="0" borderId="0" xfId="0" applyNumberFormat="1" applyFont="1" applyAlignment="1">
      <alignment horizontal="centerContinuous"/>
    </xf>
    <xf numFmtId="166" fontId="9" fillId="0" borderId="0" xfId="0" applyNumberFormat="1" applyFont="1" applyAlignment="1">
      <alignment/>
    </xf>
    <xf numFmtId="166" fontId="11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center"/>
    </xf>
    <xf numFmtId="5" fontId="11" fillId="0" borderId="5" xfId="0" applyNumberFormat="1" applyFont="1" applyBorder="1" applyAlignment="1">
      <alignment/>
    </xf>
    <xf numFmtId="5" fontId="11" fillId="0" borderId="0" xfId="0" applyNumberFormat="1" applyFont="1" applyAlignment="1">
      <alignment/>
    </xf>
    <xf numFmtId="5" fontId="9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17" fontId="0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175" fontId="0" fillId="0" borderId="4" xfId="0" applyNumberFormat="1" applyFont="1" applyBorder="1" applyAlignment="1">
      <alignment horizontal="center"/>
    </xf>
    <xf numFmtId="42" fontId="3" fillId="0" borderId="5" xfId="0" applyNumberFormat="1" applyFont="1" applyBorder="1" applyAlignment="1">
      <alignment/>
    </xf>
    <xf numFmtId="42" fontId="0" fillId="0" borderId="5" xfId="0" applyNumberFormat="1" applyFont="1" applyBorder="1" applyAlignment="1">
      <alignment/>
    </xf>
    <xf numFmtId="37" fontId="13" fillId="0" borderId="0" xfId="0" applyNumberFormat="1" applyFont="1" applyAlignment="1">
      <alignment/>
    </xf>
    <xf numFmtId="0" fontId="13" fillId="0" borderId="0" xfId="0" applyFont="1" applyAlignment="1">
      <alignment/>
    </xf>
    <xf numFmtId="3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Continuous"/>
    </xf>
    <xf numFmtId="42" fontId="3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42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14" fontId="9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right"/>
    </xf>
    <xf numFmtId="5" fontId="11" fillId="0" borderId="0" xfId="0" applyNumberFormat="1" applyFont="1" applyAlignment="1">
      <alignment/>
    </xf>
    <xf numFmtId="18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H1043"/>
  <sheetViews>
    <sheetView tabSelected="1" view="pageBreakPreview" zoomScale="60" zoomScaleNormal="87" workbookViewId="0" topLeftCell="A1">
      <selection activeCell="E17" sqref="E17"/>
    </sheetView>
  </sheetViews>
  <sheetFormatPr defaultColWidth="16.7109375" defaultRowHeight="12.75"/>
  <cols>
    <col min="1" max="1" width="4.7109375" style="59" customWidth="1"/>
    <col min="2" max="2" width="21.00390625" style="59" customWidth="1"/>
    <col min="3" max="15" width="15.7109375" style="59" customWidth="1"/>
    <col min="16" max="21" width="16.7109375" style="59" customWidth="1"/>
    <col min="22" max="22" width="6.8515625" style="59" customWidth="1"/>
    <col min="23" max="16384" width="16.7109375" style="59" customWidth="1"/>
  </cols>
  <sheetData>
    <row r="1" spans="1:17" ht="15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 t="s">
        <v>3</v>
      </c>
    </row>
    <row r="2" spans="1:17" ht="15">
      <c r="A2" s="55" t="e">
        <f>#REF!</f>
        <v>#REF!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58" t="s">
        <v>3</v>
      </c>
    </row>
    <row r="3" spans="1:17" ht="15">
      <c r="A3" s="55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7"/>
      <c r="Q3" s="58" t="s">
        <v>3</v>
      </c>
    </row>
    <row r="4" spans="1:18" ht="15">
      <c r="A4" s="120" t="e">
        <f>#REF!</f>
        <v>#REF!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  <c r="Q4" s="58" t="s">
        <v>3</v>
      </c>
      <c r="R4" s="59" t="s">
        <v>5</v>
      </c>
    </row>
    <row r="5" spans="1:17" ht="15">
      <c r="A5" s="60" t="s">
        <v>6</v>
      </c>
      <c r="O5" s="61" t="s">
        <v>7</v>
      </c>
      <c r="P5" s="57"/>
      <c r="Q5" s="58" t="s">
        <v>3</v>
      </c>
    </row>
    <row r="6" spans="1:20" ht="15">
      <c r="A6" s="62" t="s">
        <v>143</v>
      </c>
      <c r="O6" s="61" t="s">
        <v>8</v>
      </c>
      <c r="P6" s="63"/>
      <c r="Q6" s="64" t="s">
        <v>3</v>
      </c>
      <c r="R6" s="65" t="s">
        <v>9</v>
      </c>
      <c r="T6" s="66">
        <f>N22</f>
        <v>0.0864</v>
      </c>
    </row>
    <row r="7" spans="1:17" ht="15">
      <c r="A7" s="60" t="s">
        <v>10</v>
      </c>
      <c r="O7" s="61" t="e">
        <f>#REF!</f>
        <v>#REF!</v>
      </c>
      <c r="P7" s="57"/>
      <c r="Q7" s="58" t="s">
        <v>3</v>
      </c>
    </row>
    <row r="8" spans="1:20" ht="15">
      <c r="A8" s="60" t="s">
        <v>11</v>
      </c>
      <c r="O8" s="61" t="e">
        <f>#REF!</f>
        <v>#REF!</v>
      </c>
      <c r="P8" s="63"/>
      <c r="Q8" s="64" t="s">
        <v>3</v>
      </c>
      <c r="R8" s="65" t="s">
        <v>12</v>
      </c>
      <c r="T8" s="66">
        <f>N14+N16</f>
        <v>0.0349</v>
      </c>
    </row>
    <row r="9" spans="1:17" ht="14.25">
      <c r="A9" s="57"/>
      <c r="P9" s="57"/>
      <c r="Q9" s="58" t="s">
        <v>3</v>
      </c>
    </row>
    <row r="10" spans="1:18" ht="14.25">
      <c r="A10" s="65"/>
      <c r="B10" s="65"/>
      <c r="C10" s="65"/>
      <c r="D10" s="65"/>
      <c r="E10" s="65"/>
      <c r="F10" s="65"/>
      <c r="G10" s="64" t="s">
        <v>13</v>
      </c>
      <c r="H10" s="65"/>
      <c r="I10" s="65"/>
      <c r="J10" s="65"/>
      <c r="K10" s="65"/>
      <c r="L10" s="65"/>
      <c r="M10" s="65"/>
      <c r="N10" s="64" t="s">
        <v>14</v>
      </c>
      <c r="O10" s="65"/>
      <c r="P10" s="57"/>
      <c r="Q10" s="58" t="s">
        <v>3</v>
      </c>
      <c r="R10" s="59">
        <f>T8</f>
        <v>0.0349</v>
      </c>
    </row>
    <row r="11" spans="1:17" ht="14.25">
      <c r="A11" s="58" t="s">
        <v>15</v>
      </c>
      <c r="C11" s="58" t="s">
        <v>16</v>
      </c>
      <c r="G11" s="58" t="s">
        <v>17</v>
      </c>
      <c r="J11" s="58" t="s">
        <v>18</v>
      </c>
      <c r="L11" s="58" t="s">
        <v>139</v>
      </c>
      <c r="N11" s="58" t="s">
        <v>20</v>
      </c>
      <c r="P11" s="57"/>
      <c r="Q11" s="58" t="s">
        <v>3</v>
      </c>
    </row>
    <row r="12" spans="1:17" ht="15" thickBot="1">
      <c r="A12" s="67" t="s">
        <v>21</v>
      </c>
      <c r="B12" s="68"/>
      <c r="C12" s="67" t="s">
        <v>22</v>
      </c>
      <c r="D12" s="68"/>
      <c r="E12" s="67" t="s">
        <v>23</v>
      </c>
      <c r="F12" s="68"/>
      <c r="G12" s="67" t="s">
        <v>24</v>
      </c>
      <c r="H12" s="67" t="s">
        <v>25</v>
      </c>
      <c r="I12" s="67" t="s">
        <v>26</v>
      </c>
      <c r="J12" s="67" t="s">
        <v>22</v>
      </c>
      <c r="K12" s="67" t="s">
        <v>27</v>
      </c>
      <c r="L12" s="67" t="s">
        <v>29</v>
      </c>
      <c r="M12" s="68"/>
      <c r="N12" s="67" t="s">
        <v>29</v>
      </c>
      <c r="O12" s="68"/>
      <c r="P12" s="57"/>
      <c r="Q12" s="58" t="s">
        <v>3</v>
      </c>
    </row>
    <row r="13" spans="1:17" ht="14.25">
      <c r="A13" s="64">
        <v>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8" t="s">
        <v>3</v>
      </c>
    </row>
    <row r="14" spans="1:17" ht="14.25">
      <c r="A14" s="64">
        <v>2</v>
      </c>
      <c r="C14" s="54" t="s">
        <v>30</v>
      </c>
      <c r="E14" s="69" t="s">
        <v>31</v>
      </c>
      <c r="G14" s="107">
        <f>G202</f>
        <v>1439023</v>
      </c>
      <c r="H14" s="71">
        <f>ROUND(G14/$G$22,3)</f>
        <v>0.006</v>
      </c>
      <c r="I14" s="107">
        <f>ROUND(H14*$E$28,0)</f>
        <v>6272</v>
      </c>
      <c r="J14" s="107">
        <f>G14+I14</f>
        <v>1445295</v>
      </c>
      <c r="K14" s="71">
        <f>G205</f>
        <v>0.0525</v>
      </c>
      <c r="L14" s="71">
        <f>ROUND(K14*H14,4)</f>
        <v>0.0003</v>
      </c>
      <c r="N14" s="71">
        <f>L138</f>
        <v>0.002</v>
      </c>
      <c r="P14" s="57"/>
      <c r="Q14" s="58" t="s">
        <v>3</v>
      </c>
    </row>
    <row r="15" spans="1:17" ht="14.25">
      <c r="A15" s="64">
        <v>3</v>
      </c>
      <c r="C15" s="72"/>
      <c r="E15" s="72"/>
      <c r="H15" s="73"/>
      <c r="K15" s="73"/>
      <c r="L15" s="73"/>
      <c r="N15" s="73"/>
      <c r="P15" s="57"/>
      <c r="Q15" s="58" t="s">
        <v>3</v>
      </c>
    </row>
    <row r="16" spans="1:17" ht="14.25">
      <c r="A16" s="64">
        <v>4</v>
      </c>
      <c r="C16" s="54" t="s">
        <v>32</v>
      </c>
      <c r="E16" s="69" t="s">
        <v>33</v>
      </c>
      <c r="G16" s="74">
        <f>O348</f>
        <v>119899986</v>
      </c>
      <c r="H16" s="71">
        <f>ROUND(G16/$G$22,3)</f>
        <v>0.532</v>
      </c>
      <c r="I16" s="75">
        <f>ROUND(H16*$E$28,0)</f>
        <v>556112</v>
      </c>
      <c r="J16" s="74">
        <f>G16+I16</f>
        <v>120456098</v>
      </c>
      <c r="K16" s="71">
        <f>E351</f>
        <v>0.0646</v>
      </c>
      <c r="L16" s="71">
        <f>ROUND(K16*H16,4)</f>
        <v>0.0344</v>
      </c>
      <c r="N16" s="71">
        <f>L140</f>
        <v>0.0329</v>
      </c>
      <c r="P16" s="57"/>
      <c r="Q16" s="58" t="s">
        <v>3</v>
      </c>
    </row>
    <row r="17" spans="1:17" ht="14.25">
      <c r="A17" s="64">
        <v>5</v>
      </c>
      <c r="C17" s="72"/>
      <c r="E17" s="72"/>
      <c r="H17" s="73"/>
      <c r="K17" s="73"/>
      <c r="L17" s="73"/>
      <c r="N17" s="73"/>
      <c r="P17" s="57"/>
      <c r="Q17" s="58" t="s">
        <v>3</v>
      </c>
    </row>
    <row r="18" spans="1:17" ht="14.25">
      <c r="A18" s="64">
        <v>6</v>
      </c>
      <c r="C18" s="54" t="s">
        <v>1</v>
      </c>
      <c r="E18" s="69" t="s">
        <v>34</v>
      </c>
      <c r="G18" s="74">
        <f>J464</f>
        <v>5945110</v>
      </c>
      <c r="H18" s="71">
        <f>ROUND(G18/$G$22,3)</f>
        <v>0.026</v>
      </c>
      <c r="I18" s="75">
        <f>ROUND(H18*$E$28,0)</f>
        <v>27178</v>
      </c>
      <c r="J18" s="74">
        <f>G18+I18</f>
        <v>5972288</v>
      </c>
      <c r="K18" s="71">
        <f>F467</f>
        <v>0.0775</v>
      </c>
      <c r="L18" s="71">
        <f>ROUND(K18*H18,4)</f>
        <v>0.002</v>
      </c>
      <c r="N18" s="71">
        <f>L142</f>
        <v>0.0022</v>
      </c>
      <c r="P18" s="57"/>
      <c r="Q18" s="58" t="s">
        <v>3</v>
      </c>
    </row>
    <row r="19" spans="1:17" ht="14.25">
      <c r="A19" s="64">
        <v>7</v>
      </c>
      <c r="C19" s="72"/>
      <c r="H19" s="73"/>
      <c r="K19" s="73"/>
      <c r="L19" s="73"/>
      <c r="N19" s="73"/>
      <c r="P19" s="57"/>
      <c r="Q19" s="58" t="s">
        <v>3</v>
      </c>
    </row>
    <row r="20" spans="1:17" ht="14.25">
      <c r="A20" s="64">
        <v>8</v>
      </c>
      <c r="C20" s="54" t="s">
        <v>0</v>
      </c>
      <c r="G20" s="76">
        <f>'Cap Struct WPs'!Z458</f>
        <v>98257453</v>
      </c>
      <c r="H20" s="77">
        <f>ROUND(G20/$G$22,3)</f>
        <v>0.436</v>
      </c>
      <c r="I20" s="76">
        <f>E28-SUM(I14:I18)</f>
        <v>455762</v>
      </c>
      <c r="J20" s="76">
        <f>G20+I20</f>
        <v>98713215</v>
      </c>
      <c r="K20" s="78">
        <f>K82</f>
        <v>0.114</v>
      </c>
      <c r="L20" s="77">
        <f>ROUND(K20*H20,4)</f>
        <v>0.0497</v>
      </c>
      <c r="N20" s="77">
        <f>L144</f>
        <v>0.0493</v>
      </c>
      <c r="P20" s="57"/>
      <c r="Q20" s="58" t="s">
        <v>3</v>
      </c>
    </row>
    <row r="21" spans="1:17" ht="14.25">
      <c r="A21" s="64">
        <v>9</v>
      </c>
      <c r="C21" s="72"/>
      <c r="G21" s="57"/>
      <c r="H21" s="71"/>
      <c r="I21" s="57"/>
      <c r="J21" s="57"/>
      <c r="K21" s="79"/>
      <c r="L21" s="71"/>
      <c r="N21" s="71"/>
      <c r="P21" s="57"/>
      <c r="Q21" s="58" t="s">
        <v>3</v>
      </c>
    </row>
    <row r="22" spans="1:85" ht="15" thickBot="1">
      <c r="A22" s="64">
        <v>10</v>
      </c>
      <c r="C22" s="54" t="s">
        <v>35</v>
      </c>
      <c r="G22" s="106">
        <f>SUM(G14:G20)</f>
        <v>225541572</v>
      </c>
      <c r="H22" s="81">
        <f>SUM(H14:H20)</f>
        <v>1</v>
      </c>
      <c r="I22" s="80">
        <f>SUM(I14:I20)</f>
        <v>1045324</v>
      </c>
      <c r="J22" s="106">
        <f>SUM(J14:J20)</f>
        <v>226586896</v>
      </c>
      <c r="K22" s="73"/>
      <c r="L22" s="81">
        <f>SUM(L14:L20)</f>
        <v>0.0864</v>
      </c>
      <c r="N22" s="81">
        <f>SUM(N14:N20)</f>
        <v>0.0864</v>
      </c>
      <c r="P22" s="57"/>
      <c r="Q22" s="58" t="s">
        <v>3</v>
      </c>
      <c r="CF22" s="59" t="e">
        <f>#REF!</f>
        <v>#REF!</v>
      </c>
      <c r="CG22" s="59" t="e">
        <f>CF22-#REF!</f>
        <v>#REF!</v>
      </c>
    </row>
    <row r="23" spans="1:85" ht="15" thickTop="1">
      <c r="A23" s="64">
        <v>11</v>
      </c>
      <c r="G23" s="57"/>
      <c r="H23" s="57"/>
      <c r="I23" s="57"/>
      <c r="J23" s="57"/>
      <c r="L23" s="57"/>
      <c r="N23" s="57"/>
      <c r="P23" s="57"/>
      <c r="Q23" s="58" t="s">
        <v>3</v>
      </c>
      <c r="CF23" s="59" t="e">
        <f>#REF!</f>
        <v>#REF!</v>
      </c>
      <c r="CG23" s="59" t="e">
        <f>CF23-#REF!</f>
        <v>#REF!</v>
      </c>
    </row>
    <row r="24" spans="1:85" ht="14.25">
      <c r="A24" s="64">
        <v>12</v>
      </c>
      <c r="P24" s="57"/>
      <c r="Q24" s="58" t="s">
        <v>3</v>
      </c>
      <c r="CF24" s="59" t="e">
        <f>#REF!</f>
        <v>#REF!</v>
      </c>
      <c r="CG24" s="59" t="e">
        <f>CF24-#REF!</f>
        <v>#REF!</v>
      </c>
    </row>
    <row r="25" spans="1:85" ht="14.25">
      <c r="A25" s="64">
        <v>13</v>
      </c>
      <c r="P25" s="57"/>
      <c r="Q25" s="58" t="s">
        <v>3</v>
      </c>
      <c r="CF25" s="59" t="e">
        <f>#REF!</f>
        <v>#REF!</v>
      </c>
      <c r="CG25" s="59" t="e">
        <f>CF25-#REF!</f>
        <v>#REF!</v>
      </c>
    </row>
    <row r="26" spans="1:85" ht="14.25">
      <c r="A26" s="64">
        <v>14</v>
      </c>
      <c r="P26" s="57"/>
      <c r="Q26" s="58" t="s">
        <v>3</v>
      </c>
      <c r="CF26" s="59" t="e">
        <f>#REF!</f>
        <v>#REF!</v>
      </c>
      <c r="CG26" s="59" t="e">
        <f>CF26-#REF!</f>
        <v>#REF!</v>
      </c>
    </row>
    <row r="27" spans="1:85" ht="14.25">
      <c r="A27" s="64">
        <v>15</v>
      </c>
      <c r="P27" s="57"/>
      <c r="Q27" s="58" t="s">
        <v>3</v>
      </c>
      <c r="CF27" s="59" t="e">
        <f>#REF!</f>
        <v>#REF!</v>
      </c>
      <c r="CG27" s="59" t="e">
        <f>CF27-#REF!</f>
        <v>#REF!</v>
      </c>
    </row>
    <row r="28" spans="1:85" ht="15" thickBot="1">
      <c r="A28" s="64">
        <v>16</v>
      </c>
      <c r="C28" s="54" t="s">
        <v>36</v>
      </c>
      <c r="E28" s="80">
        <f>'Cap Struct WPs'!Z498</f>
        <v>1045324</v>
      </c>
      <c r="P28" s="57"/>
      <c r="Q28" s="58" t="s">
        <v>3</v>
      </c>
      <c r="CF28" s="59" t="e">
        <f>#REF!</f>
        <v>#REF!</v>
      </c>
      <c r="CG28" s="59" t="e">
        <f>CF28-#REF!</f>
        <v>#REF!</v>
      </c>
    </row>
    <row r="29" spans="1:85" ht="15" thickTop="1">
      <c r="A29" s="64">
        <v>17</v>
      </c>
      <c r="P29" s="57"/>
      <c r="Q29" s="58" t="s">
        <v>3</v>
      </c>
      <c r="CF29" s="59" t="e">
        <f>#REF!</f>
        <v>#REF!</v>
      </c>
      <c r="CG29" s="59" t="e">
        <f>CF29-#REF!</f>
        <v>#REF!</v>
      </c>
    </row>
    <row r="30" spans="1:85" ht="14.25">
      <c r="A30" s="64">
        <v>18</v>
      </c>
      <c r="P30" s="57"/>
      <c r="Q30" s="58" t="s">
        <v>3</v>
      </c>
      <c r="CF30" s="59" t="e">
        <f>#REF!</f>
        <v>#REF!</v>
      </c>
      <c r="CG30" s="59" t="e">
        <f>CF30-#REF!</f>
        <v>#REF!</v>
      </c>
    </row>
    <row r="31" spans="1:85" ht="14.25">
      <c r="A31" s="64">
        <v>19</v>
      </c>
      <c r="P31" s="57"/>
      <c r="Q31" s="58" t="s">
        <v>3</v>
      </c>
      <c r="CG31" s="59" t="e">
        <f>CF31-#REF!</f>
        <v>#REF!</v>
      </c>
    </row>
    <row r="32" spans="1:85" ht="14.25">
      <c r="A32" s="64">
        <v>20</v>
      </c>
      <c r="P32" s="57"/>
      <c r="Q32" s="58" t="s">
        <v>3</v>
      </c>
      <c r="CF32" s="59" t="e">
        <f>#REF!</f>
        <v>#REF!</v>
      </c>
      <c r="CG32" s="59" t="e">
        <f>CF32-#REF!</f>
        <v>#REF!</v>
      </c>
    </row>
    <row r="33" spans="1:85" ht="14.25">
      <c r="A33" s="64">
        <v>21</v>
      </c>
      <c r="P33" s="57"/>
      <c r="Q33" s="58" t="s">
        <v>3</v>
      </c>
      <c r="CF33" s="59" t="e">
        <f>#REF!</f>
        <v>#REF!</v>
      </c>
      <c r="CG33" s="59" t="e">
        <f>CF33-#REF!</f>
        <v>#REF!</v>
      </c>
    </row>
    <row r="34" spans="1:85" ht="14.25">
      <c r="A34" s="64">
        <v>22</v>
      </c>
      <c r="P34" s="57"/>
      <c r="Q34" s="58" t="s">
        <v>3</v>
      </c>
      <c r="CF34" s="59" t="e">
        <f>#REF!</f>
        <v>#REF!</v>
      </c>
      <c r="CG34" s="59" t="e">
        <f>CF34-#REF!</f>
        <v>#REF!</v>
      </c>
    </row>
    <row r="35" spans="1:85" ht="14.25">
      <c r="A35" s="64">
        <v>23</v>
      </c>
      <c r="P35" s="57"/>
      <c r="Q35" s="58" t="s">
        <v>3</v>
      </c>
      <c r="CF35" s="59" t="e">
        <f>#REF!</f>
        <v>#REF!</v>
      </c>
      <c r="CG35" s="59" t="e">
        <f>CF35-#REF!</f>
        <v>#REF!</v>
      </c>
    </row>
    <row r="36" spans="1:85" ht="14.25">
      <c r="A36" s="64">
        <v>24</v>
      </c>
      <c r="P36" s="57"/>
      <c r="Q36" s="58" t="s">
        <v>3</v>
      </c>
      <c r="CG36" s="59" t="e">
        <f>CF36-#REF!</f>
        <v>#REF!</v>
      </c>
    </row>
    <row r="37" spans="1:85" ht="14.25">
      <c r="A37" s="64">
        <v>25</v>
      </c>
      <c r="P37" s="57"/>
      <c r="Q37" s="58" t="s">
        <v>3</v>
      </c>
      <c r="CG37" s="59" t="e">
        <f>CF37-#REF!</f>
        <v>#REF!</v>
      </c>
    </row>
    <row r="38" spans="1:86" ht="14.25">
      <c r="A38" s="64">
        <v>26</v>
      </c>
      <c r="P38" s="57"/>
      <c r="Q38" s="58" t="s">
        <v>3</v>
      </c>
      <c r="CG38" s="59" t="e">
        <f>CF38-#REF!</f>
        <v>#REF!</v>
      </c>
      <c r="CH38" s="59" t="e">
        <f>CG38+CG37</f>
        <v>#REF!</v>
      </c>
    </row>
    <row r="39" spans="1:85" ht="14.25">
      <c r="A39" s="64">
        <v>27</v>
      </c>
      <c r="P39" s="57"/>
      <c r="Q39" s="58" t="s">
        <v>3</v>
      </c>
      <c r="CG39" s="59" t="e">
        <f>CF39-#REF!</f>
        <v>#REF!</v>
      </c>
    </row>
    <row r="40" spans="1:85" ht="14.25">
      <c r="A40" s="64">
        <v>28</v>
      </c>
      <c r="P40" s="57"/>
      <c r="Q40" s="58" t="s">
        <v>3</v>
      </c>
      <c r="CF40" s="59" t="e">
        <f>SUM(CF22:CF38)</f>
        <v>#REF!</v>
      </c>
      <c r="CG40" s="59" t="e">
        <f>CF40-#REF!</f>
        <v>#REF!</v>
      </c>
    </row>
    <row r="41" spans="1:17" ht="14.25">
      <c r="A41" s="64">
        <v>29</v>
      </c>
      <c r="P41" s="57"/>
      <c r="Q41" s="58" t="s">
        <v>3</v>
      </c>
    </row>
    <row r="42" spans="1:84" ht="14.25">
      <c r="A42" s="64">
        <v>30</v>
      </c>
      <c r="P42" s="57"/>
      <c r="Q42" s="58" t="s">
        <v>3</v>
      </c>
      <c r="CF42" s="59" t="e">
        <f>#REF!-CF40</f>
        <v>#REF!</v>
      </c>
    </row>
    <row r="43" spans="1:17" ht="14.25">
      <c r="A43" s="64">
        <v>31</v>
      </c>
      <c r="P43" s="57"/>
      <c r="Q43" s="58" t="s">
        <v>3</v>
      </c>
    </row>
    <row r="44" spans="1:17" ht="14.25">
      <c r="A44" s="64">
        <v>32</v>
      </c>
      <c r="P44" s="57"/>
      <c r="Q44" s="58" t="s">
        <v>3</v>
      </c>
    </row>
    <row r="45" spans="1:17" ht="14.25">
      <c r="A45" s="64">
        <v>33</v>
      </c>
      <c r="P45" s="57"/>
      <c r="Q45" s="58" t="s">
        <v>3</v>
      </c>
    </row>
    <row r="46" spans="1:17" ht="14.25">
      <c r="A46" s="64">
        <v>34</v>
      </c>
      <c r="P46" s="57"/>
      <c r="Q46" s="58" t="s">
        <v>3</v>
      </c>
    </row>
    <row r="47" spans="1:17" ht="14.25">
      <c r="A47" s="64">
        <v>35</v>
      </c>
      <c r="P47" s="57"/>
      <c r="Q47" s="58" t="s">
        <v>3</v>
      </c>
    </row>
    <row r="48" spans="1:17" ht="14.25">
      <c r="A48" s="64">
        <v>36</v>
      </c>
      <c r="P48" s="57"/>
      <c r="Q48" s="58" t="s">
        <v>3</v>
      </c>
    </row>
    <row r="49" spans="1:17" ht="14.25">
      <c r="A49" s="64">
        <v>37</v>
      </c>
      <c r="P49" s="57"/>
      <c r="Q49" s="58" t="s">
        <v>3</v>
      </c>
    </row>
    <row r="50" spans="1:17" ht="14.25">
      <c r="A50" s="64">
        <v>38</v>
      </c>
      <c r="P50" s="57"/>
      <c r="Q50" s="58" t="s">
        <v>3</v>
      </c>
    </row>
    <row r="51" spans="1:17" ht="14.25">
      <c r="A51" s="64">
        <v>39</v>
      </c>
      <c r="P51" s="57"/>
      <c r="Q51" s="58" t="s">
        <v>3</v>
      </c>
    </row>
    <row r="52" spans="1:17" ht="14.25">
      <c r="A52" s="64">
        <v>40</v>
      </c>
      <c r="P52" s="57"/>
      <c r="Q52" s="58" t="s">
        <v>3</v>
      </c>
    </row>
    <row r="53" spans="1:17" ht="14.25">
      <c r="A53" s="64">
        <v>41</v>
      </c>
      <c r="P53" s="57"/>
      <c r="Q53" s="58" t="s">
        <v>3</v>
      </c>
    </row>
    <row r="54" spans="1:17" ht="14.25">
      <c r="A54" s="64">
        <v>42</v>
      </c>
      <c r="P54" s="57"/>
      <c r="Q54" s="58" t="s">
        <v>3</v>
      </c>
    </row>
    <row r="55" spans="1:17" ht="14.25">
      <c r="A55" s="64">
        <v>43</v>
      </c>
      <c r="P55" s="57"/>
      <c r="Q55" s="58" t="s">
        <v>3</v>
      </c>
    </row>
    <row r="56" spans="1:17" ht="14.25">
      <c r="A56" s="64">
        <v>44</v>
      </c>
      <c r="P56" s="57"/>
      <c r="Q56" s="58" t="s">
        <v>3</v>
      </c>
    </row>
    <row r="57" spans="1:17" ht="14.25">
      <c r="A57" s="64">
        <v>45</v>
      </c>
      <c r="P57" s="57"/>
      <c r="Q57" s="58" t="s">
        <v>3</v>
      </c>
    </row>
    <row r="58" spans="1:17" ht="14.25">
      <c r="A58" s="64">
        <v>46</v>
      </c>
      <c r="P58" s="57"/>
      <c r="Q58" s="58" t="s">
        <v>3</v>
      </c>
    </row>
    <row r="59" spans="1:17" ht="14.25">
      <c r="A59" s="64">
        <v>47</v>
      </c>
      <c r="P59" s="57"/>
      <c r="Q59" s="58" t="s">
        <v>3</v>
      </c>
    </row>
    <row r="60" spans="1:17" ht="14.25">
      <c r="A60" s="64">
        <v>48</v>
      </c>
      <c r="P60" s="57"/>
      <c r="Q60" s="58" t="s">
        <v>3</v>
      </c>
    </row>
    <row r="61" spans="1:17" ht="14.25">
      <c r="A61" s="64">
        <v>49</v>
      </c>
      <c r="P61" s="57"/>
      <c r="Q61" s="58" t="s">
        <v>3</v>
      </c>
    </row>
    <row r="62" spans="1:17" ht="14.25">
      <c r="A62" s="64">
        <v>50</v>
      </c>
      <c r="P62" s="57"/>
      <c r="Q62" s="58" t="s">
        <v>3</v>
      </c>
    </row>
    <row r="63" spans="1:86" ht="15">
      <c r="A63" s="55" t="str">
        <f>A1</f>
        <v>KENTUCKY-AMERICAN WATER COMPANY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7"/>
      <c r="Q63" s="58" t="s">
        <v>3</v>
      </c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</row>
    <row r="64" spans="1:17" ht="15">
      <c r="A64" s="55" t="e">
        <f>$A$2</f>
        <v>#REF!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7"/>
      <c r="Q64" s="58" t="s">
        <v>3</v>
      </c>
    </row>
    <row r="65" spans="1:17" ht="15">
      <c r="A65" s="55" t="s">
        <v>37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7"/>
      <c r="Q65" s="58" t="s">
        <v>3</v>
      </c>
    </row>
    <row r="66" spans="1:17" ht="15">
      <c r="A66" s="55" t="e">
        <f>#REF!</f>
        <v>#REF!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7"/>
      <c r="Q66" s="58" t="s">
        <v>3</v>
      </c>
    </row>
    <row r="67" spans="1:17" ht="15">
      <c r="A67" s="60" t="s">
        <v>38</v>
      </c>
      <c r="O67" s="61" t="s">
        <v>7</v>
      </c>
      <c r="P67" s="57"/>
      <c r="Q67" s="58" t="s">
        <v>3</v>
      </c>
    </row>
    <row r="68" spans="1:17" ht="15">
      <c r="A68" s="62" t="s">
        <v>144</v>
      </c>
      <c r="O68" s="61" t="s">
        <v>39</v>
      </c>
      <c r="P68" s="57"/>
      <c r="Q68" s="58" t="s">
        <v>3</v>
      </c>
    </row>
    <row r="69" spans="1:17" ht="15">
      <c r="A69" s="60" t="str">
        <f>A7</f>
        <v>TYPE OF FILING: _X_ ORIGINAL ___ UPDATED __ REVISED</v>
      </c>
      <c r="O69" s="61" t="e">
        <f>#REF!</f>
        <v>#REF!</v>
      </c>
      <c r="P69" s="57"/>
      <c r="Q69" s="58" t="s">
        <v>3</v>
      </c>
    </row>
    <row r="70" spans="1:17" ht="15">
      <c r="A70" s="60" t="str">
        <f>A8</f>
        <v>WORKPAPER REFERENCE NO(S).:  W/P-7</v>
      </c>
      <c r="O70" s="61" t="e">
        <f>#REF!</f>
        <v>#REF!</v>
      </c>
      <c r="P70" s="57"/>
      <c r="Q70" s="58" t="s">
        <v>3</v>
      </c>
    </row>
    <row r="71" spans="1:17" ht="14.25">
      <c r="A71" s="57"/>
      <c r="P71" s="57"/>
      <c r="Q71" s="58" t="s">
        <v>3</v>
      </c>
    </row>
    <row r="72" spans="1:17" ht="14.25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57"/>
      <c r="Q72" s="58" t="s">
        <v>3</v>
      </c>
    </row>
    <row r="73" spans="1:17" ht="14.25">
      <c r="A73" s="58" t="s">
        <v>15</v>
      </c>
      <c r="C73" s="58" t="s">
        <v>16</v>
      </c>
      <c r="J73" s="58" t="s">
        <v>18</v>
      </c>
      <c r="L73" s="58" t="s">
        <v>139</v>
      </c>
      <c r="P73" s="57"/>
      <c r="Q73" s="58" t="s">
        <v>3</v>
      </c>
    </row>
    <row r="74" spans="1:17" ht="15" thickBot="1">
      <c r="A74" s="67" t="s">
        <v>21</v>
      </c>
      <c r="B74" s="68"/>
      <c r="C74" s="67" t="s">
        <v>22</v>
      </c>
      <c r="D74" s="68"/>
      <c r="E74" s="67" t="s">
        <v>23</v>
      </c>
      <c r="F74" s="68"/>
      <c r="G74" s="67" t="s">
        <v>24</v>
      </c>
      <c r="H74" s="67" t="s">
        <v>25</v>
      </c>
      <c r="I74" s="67" t="s">
        <v>26</v>
      </c>
      <c r="J74" s="67" t="s">
        <v>22</v>
      </c>
      <c r="K74" s="67" t="s">
        <v>27</v>
      </c>
      <c r="L74" s="67" t="s">
        <v>29</v>
      </c>
      <c r="M74" s="68"/>
      <c r="N74" s="67"/>
      <c r="O74" s="68"/>
      <c r="P74" s="57"/>
      <c r="Q74" s="58" t="s">
        <v>3</v>
      </c>
    </row>
    <row r="75" spans="1:17" ht="14.25">
      <c r="A75" s="64">
        <v>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8" t="s">
        <v>3</v>
      </c>
    </row>
    <row r="76" spans="1:17" ht="14.25">
      <c r="A76" s="64">
        <v>2</v>
      </c>
      <c r="C76" s="54" t="s">
        <v>30</v>
      </c>
      <c r="E76" s="69" t="s">
        <v>40</v>
      </c>
      <c r="G76" s="107">
        <f>G264</f>
        <v>51725825</v>
      </c>
      <c r="H76" s="71">
        <f>ROUND(G76/$G$84,5)</f>
        <v>0.28652</v>
      </c>
      <c r="I76" s="70">
        <f>ROUND(H76*$E$90,0)</f>
        <v>328974</v>
      </c>
      <c r="J76" s="107">
        <f>G76+I76</f>
        <v>52054799</v>
      </c>
      <c r="K76" s="71">
        <f>I202</f>
        <v>0.0525</v>
      </c>
      <c r="L76" s="71">
        <f>ROUND(K76*H76,4)</f>
        <v>0.015</v>
      </c>
      <c r="P76" s="57"/>
      <c r="Q76" s="58" t="s">
        <v>3</v>
      </c>
    </row>
    <row r="77" spans="1:17" ht="14.25">
      <c r="A77" s="64">
        <v>3</v>
      </c>
      <c r="C77" s="72"/>
      <c r="E77" s="72"/>
      <c r="H77" s="73"/>
      <c r="K77" s="73"/>
      <c r="L77" s="73"/>
      <c r="P77" s="57"/>
      <c r="Q77" s="58" t="s">
        <v>3</v>
      </c>
    </row>
    <row r="78" spans="1:17" ht="14.25">
      <c r="A78" s="64">
        <v>4</v>
      </c>
      <c r="C78" s="54" t="s">
        <v>32</v>
      </c>
      <c r="E78" s="69" t="s">
        <v>41</v>
      </c>
      <c r="G78" s="74">
        <f>O410</f>
        <v>49502222</v>
      </c>
      <c r="H78" s="71">
        <f>ROUND(G78/$G$84,5)</f>
        <v>0.27421</v>
      </c>
      <c r="I78" s="75">
        <f>ROUND(H78*$E$90,0)</f>
        <v>314840</v>
      </c>
      <c r="J78" s="74">
        <f>G78+I78</f>
        <v>49817062</v>
      </c>
      <c r="K78" s="71">
        <f>E413</f>
        <v>0.0655</v>
      </c>
      <c r="L78" s="71">
        <f>ROUND(K78*H78,4)</f>
        <v>0.018</v>
      </c>
      <c r="P78" s="57"/>
      <c r="Q78" s="58" t="s">
        <v>3</v>
      </c>
    </row>
    <row r="79" spans="1:17" ht="14.25">
      <c r="A79" s="64">
        <v>5</v>
      </c>
      <c r="C79" s="72"/>
      <c r="E79" s="72"/>
      <c r="H79" s="73"/>
      <c r="K79" s="73"/>
      <c r="L79" s="73"/>
      <c r="P79" s="57"/>
      <c r="Q79" s="58" t="s">
        <v>3</v>
      </c>
    </row>
    <row r="80" spans="1:17" ht="14.25">
      <c r="A80" s="64">
        <v>6</v>
      </c>
      <c r="C80" s="54" t="s">
        <v>1</v>
      </c>
      <c r="E80" s="69" t="s">
        <v>42</v>
      </c>
      <c r="G80" s="74">
        <f>J526</f>
        <v>5944086</v>
      </c>
      <c r="H80" s="71">
        <f>ROUND(G80/$G$84,5)</f>
        <v>0.03293</v>
      </c>
      <c r="I80" s="75">
        <f>ROUND(H80*$E$90,0)</f>
        <v>37809</v>
      </c>
      <c r="J80" s="74">
        <f>G80+I80</f>
        <v>5981895</v>
      </c>
      <c r="K80" s="71">
        <f>F529</f>
        <v>0.0775</v>
      </c>
      <c r="L80" s="71">
        <f>ROUND(K80*H80,4)</f>
        <v>0.0026</v>
      </c>
      <c r="P80" s="57"/>
      <c r="Q80" s="58" t="s">
        <v>3</v>
      </c>
    </row>
    <row r="81" spans="1:17" ht="14.25">
      <c r="A81" s="64">
        <v>7</v>
      </c>
      <c r="C81" s="72"/>
      <c r="H81" s="73"/>
      <c r="K81" s="73"/>
      <c r="L81" s="73"/>
      <c r="P81" s="57"/>
      <c r="Q81" s="58" t="s">
        <v>3</v>
      </c>
    </row>
    <row r="82" spans="1:17" ht="14.25">
      <c r="A82" s="64">
        <v>8</v>
      </c>
      <c r="C82" s="54" t="s">
        <v>0</v>
      </c>
      <c r="G82" s="76">
        <f>'Cap Struct WPs'!J458</f>
        <v>73357159</v>
      </c>
      <c r="H82" s="77">
        <f>ROUND(G82/$G$84,5)</f>
        <v>0.40634</v>
      </c>
      <c r="I82" s="76">
        <f>E90-SUM(I76:I80)</f>
        <v>466549</v>
      </c>
      <c r="J82" s="76">
        <f>G82+I82</f>
        <v>73823708</v>
      </c>
      <c r="K82" s="71">
        <f>K144</f>
        <v>0.114</v>
      </c>
      <c r="L82" s="77">
        <f>ROUND(K82*H82,4)</f>
        <v>0.0463</v>
      </c>
      <c r="P82" s="57"/>
      <c r="Q82" s="58" t="s">
        <v>3</v>
      </c>
    </row>
    <row r="83" spans="1:17" ht="14.25">
      <c r="A83" s="64">
        <v>9</v>
      </c>
      <c r="C83" s="72"/>
      <c r="G83" s="57"/>
      <c r="H83" s="71"/>
      <c r="I83" s="57"/>
      <c r="J83" s="57"/>
      <c r="K83" s="73"/>
      <c r="L83" s="71"/>
      <c r="P83" s="57"/>
      <c r="Q83" s="58" t="s">
        <v>3</v>
      </c>
    </row>
    <row r="84" spans="1:17" ht="15" thickBot="1">
      <c r="A84" s="64">
        <v>10</v>
      </c>
      <c r="C84" s="54" t="s">
        <v>35</v>
      </c>
      <c r="G84" s="106">
        <f>SUM(G76:G82)</f>
        <v>180529292</v>
      </c>
      <c r="H84" s="81">
        <f>SUM(H76:H82)</f>
        <v>1</v>
      </c>
      <c r="I84" s="80">
        <f>SUM(I76:I82)</f>
        <v>1148172</v>
      </c>
      <c r="J84" s="106">
        <f>SUM(J76:J82)</f>
        <v>181677464</v>
      </c>
      <c r="K84" s="73"/>
      <c r="L84" s="81">
        <f>SUM(L76:L82)</f>
        <v>0.0819</v>
      </c>
      <c r="P84" s="57"/>
      <c r="Q84" s="58" t="s">
        <v>3</v>
      </c>
    </row>
    <row r="85" spans="1:17" ht="15" thickTop="1">
      <c r="A85" s="64">
        <v>11</v>
      </c>
      <c r="G85" s="57"/>
      <c r="H85" s="57"/>
      <c r="I85" s="57"/>
      <c r="J85" s="57"/>
      <c r="L85" s="57"/>
      <c r="P85" s="57"/>
      <c r="Q85" s="58" t="s">
        <v>3</v>
      </c>
    </row>
    <row r="86" spans="1:17" ht="14.25">
      <c r="A86" s="64">
        <v>12</v>
      </c>
      <c r="P86" s="57"/>
      <c r="Q86" s="58" t="s">
        <v>3</v>
      </c>
    </row>
    <row r="87" spans="1:17" ht="14.25">
      <c r="A87" s="64">
        <v>13</v>
      </c>
      <c r="P87" s="57"/>
      <c r="Q87" s="58" t="s">
        <v>3</v>
      </c>
    </row>
    <row r="88" spans="1:17" ht="14.25">
      <c r="A88" s="64">
        <v>14</v>
      </c>
      <c r="G88" s="107"/>
      <c r="P88" s="57"/>
      <c r="Q88" s="58" t="s">
        <v>3</v>
      </c>
    </row>
    <row r="89" spans="1:17" ht="14.25">
      <c r="A89" s="64">
        <v>15</v>
      </c>
      <c r="P89" s="57"/>
      <c r="Q89" s="58" t="s">
        <v>3</v>
      </c>
    </row>
    <row r="90" spans="1:17" ht="15" thickBot="1">
      <c r="A90" s="64">
        <v>16</v>
      </c>
      <c r="C90" s="54" t="s">
        <v>43</v>
      </c>
      <c r="E90" s="80">
        <f>'Cap Struct WPs'!J498</f>
        <v>1148172</v>
      </c>
      <c r="P90" s="57"/>
      <c r="Q90" s="58" t="s">
        <v>3</v>
      </c>
    </row>
    <row r="91" spans="1:17" ht="15" thickTop="1">
      <c r="A91" s="64">
        <v>17</v>
      </c>
      <c r="P91" s="57"/>
      <c r="Q91" s="58" t="s">
        <v>3</v>
      </c>
    </row>
    <row r="92" spans="1:17" ht="14.25">
      <c r="A92" s="64">
        <v>18</v>
      </c>
      <c r="P92" s="57"/>
      <c r="Q92" s="58" t="s">
        <v>3</v>
      </c>
    </row>
    <row r="93" spans="1:17" ht="14.25">
      <c r="A93" s="64">
        <v>19</v>
      </c>
      <c r="P93" s="57"/>
      <c r="Q93" s="58" t="s">
        <v>3</v>
      </c>
    </row>
    <row r="94" spans="1:17" ht="14.25">
      <c r="A94" s="64">
        <v>20</v>
      </c>
      <c r="P94" s="57"/>
      <c r="Q94" s="58" t="s">
        <v>3</v>
      </c>
    </row>
    <row r="95" spans="1:17" ht="14.25">
      <c r="A95" s="64">
        <v>21</v>
      </c>
      <c r="P95" s="57"/>
      <c r="Q95" s="58" t="s">
        <v>3</v>
      </c>
    </row>
    <row r="96" spans="1:17" ht="14.25">
      <c r="A96" s="64">
        <v>22</v>
      </c>
      <c r="P96" s="57"/>
      <c r="Q96" s="58" t="s">
        <v>3</v>
      </c>
    </row>
    <row r="97" spans="1:17" ht="14.25">
      <c r="A97" s="64">
        <v>23</v>
      </c>
      <c r="P97" s="57"/>
      <c r="Q97" s="58" t="s">
        <v>3</v>
      </c>
    </row>
    <row r="98" spans="1:17" ht="14.25">
      <c r="A98" s="64">
        <v>24</v>
      </c>
      <c r="P98" s="57"/>
      <c r="Q98" s="58" t="s">
        <v>3</v>
      </c>
    </row>
    <row r="99" spans="1:17" ht="14.25">
      <c r="A99" s="64">
        <v>25</v>
      </c>
      <c r="P99" s="57"/>
      <c r="Q99" s="58" t="s">
        <v>3</v>
      </c>
    </row>
    <row r="100" spans="1:17" ht="14.25">
      <c r="A100" s="64">
        <v>26</v>
      </c>
      <c r="P100" s="57"/>
      <c r="Q100" s="58" t="s">
        <v>3</v>
      </c>
    </row>
    <row r="101" spans="1:17" ht="14.25">
      <c r="A101" s="64">
        <v>27</v>
      </c>
      <c r="P101" s="57"/>
      <c r="Q101" s="58" t="s">
        <v>3</v>
      </c>
    </row>
    <row r="102" spans="1:17" ht="14.25">
      <c r="A102" s="64">
        <v>28</v>
      </c>
      <c r="P102" s="57"/>
      <c r="Q102" s="58" t="s">
        <v>3</v>
      </c>
    </row>
    <row r="103" spans="1:17" ht="14.25">
      <c r="A103" s="64">
        <v>29</v>
      </c>
      <c r="P103" s="57"/>
      <c r="Q103" s="58" t="s">
        <v>3</v>
      </c>
    </row>
    <row r="104" spans="1:17" ht="14.25">
      <c r="A104" s="64">
        <v>30</v>
      </c>
      <c r="P104" s="57"/>
      <c r="Q104" s="58" t="s">
        <v>3</v>
      </c>
    </row>
    <row r="105" spans="1:17" ht="14.25">
      <c r="A105" s="64">
        <v>31</v>
      </c>
      <c r="P105" s="57"/>
      <c r="Q105" s="58" t="s">
        <v>3</v>
      </c>
    </row>
    <row r="106" spans="1:17" ht="14.25">
      <c r="A106" s="64">
        <v>32</v>
      </c>
      <c r="P106" s="57"/>
      <c r="Q106" s="58" t="s">
        <v>3</v>
      </c>
    </row>
    <row r="107" spans="1:17" ht="14.25">
      <c r="A107" s="64">
        <v>33</v>
      </c>
      <c r="P107" s="57"/>
      <c r="Q107" s="58" t="s">
        <v>3</v>
      </c>
    </row>
    <row r="108" spans="1:17" ht="14.25">
      <c r="A108" s="64">
        <v>34</v>
      </c>
      <c r="P108" s="57"/>
      <c r="Q108" s="58" t="s">
        <v>3</v>
      </c>
    </row>
    <row r="109" spans="1:17" ht="14.25">
      <c r="A109" s="64">
        <v>35</v>
      </c>
      <c r="P109" s="57"/>
      <c r="Q109" s="58" t="s">
        <v>3</v>
      </c>
    </row>
    <row r="110" spans="1:17" ht="14.25">
      <c r="A110" s="64">
        <v>36</v>
      </c>
      <c r="P110" s="57"/>
      <c r="Q110" s="58" t="s">
        <v>3</v>
      </c>
    </row>
    <row r="111" spans="1:17" ht="14.25">
      <c r="A111" s="64">
        <v>37</v>
      </c>
      <c r="P111" s="57"/>
      <c r="Q111" s="58" t="s">
        <v>3</v>
      </c>
    </row>
    <row r="112" spans="1:17" ht="14.25">
      <c r="A112" s="64">
        <v>38</v>
      </c>
      <c r="P112" s="57"/>
      <c r="Q112" s="58" t="s">
        <v>3</v>
      </c>
    </row>
    <row r="113" spans="1:17" ht="14.25">
      <c r="A113" s="64">
        <v>39</v>
      </c>
      <c r="P113" s="57"/>
      <c r="Q113" s="58" t="s">
        <v>3</v>
      </c>
    </row>
    <row r="114" spans="1:17" ht="14.25">
      <c r="A114" s="64">
        <v>40</v>
      </c>
      <c r="P114" s="57"/>
      <c r="Q114" s="58" t="s">
        <v>3</v>
      </c>
    </row>
    <row r="115" spans="1:17" ht="14.25">
      <c r="A115" s="64">
        <v>41</v>
      </c>
      <c r="P115" s="57"/>
      <c r="Q115" s="58" t="s">
        <v>3</v>
      </c>
    </row>
    <row r="116" spans="1:17" ht="14.25">
      <c r="A116" s="64">
        <v>42</v>
      </c>
      <c r="P116" s="57"/>
      <c r="Q116" s="58" t="s">
        <v>3</v>
      </c>
    </row>
    <row r="117" spans="1:17" ht="14.25">
      <c r="A117" s="64">
        <v>43</v>
      </c>
      <c r="P117" s="57"/>
      <c r="Q117" s="58" t="s">
        <v>3</v>
      </c>
    </row>
    <row r="118" spans="1:17" ht="14.25">
      <c r="A118" s="64">
        <v>44</v>
      </c>
      <c r="P118" s="57"/>
      <c r="Q118" s="58" t="s">
        <v>3</v>
      </c>
    </row>
    <row r="119" spans="1:17" ht="14.25">
      <c r="A119" s="64">
        <v>45</v>
      </c>
      <c r="P119" s="57"/>
      <c r="Q119" s="58" t="s">
        <v>3</v>
      </c>
    </row>
    <row r="120" spans="1:17" ht="14.25">
      <c r="A120" s="64">
        <v>46</v>
      </c>
      <c r="P120" s="57"/>
      <c r="Q120" s="58" t="s">
        <v>3</v>
      </c>
    </row>
    <row r="121" spans="1:17" ht="14.25">
      <c r="A121" s="64">
        <v>47</v>
      </c>
      <c r="P121" s="57"/>
      <c r="Q121" s="58" t="s">
        <v>3</v>
      </c>
    </row>
    <row r="122" spans="1:17" ht="14.25">
      <c r="A122" s="64">
        <v>48</v>
      </c>
      <c r="P122" s="57"/>
      <c r="Q122" s="58" t="s">
        <v>3</v>
      </c>
    </row>
    <row r="123" spans="1:17" ht="14.25">
      <c r="A123" s="64">
        <v>49</v>
      </c>
      <c r="P123" s="57"/>
      <c r="Q123" s="58" t="s">
        <v>3</v>
      </c>
    </row>
    <row r="124" spans="1:17" ht="14.25">
      <c r="A124" s="64">
        <v>50</v>
      </c>
      <c r="P124" s="57"/>
      <c r="Q124" s="58" t="s">
        <v>3</v>
      </c>
    </row>
    <row r="125" spans="1:86" ht="15">
      <c r="A125" s="55" t="str">
        <f>A1</f>
        <v>KENTUCKY-AMERICAN WATER COMPANY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7"/>
      <c r="Q125" s="58" t="s">
        <v>3</v>
      </c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</row>
    <row r="126" spans="1:17" ht="15">
      <c r="A126" s="55" t="e">
        <f>$A$2</f>
        <v>#REF!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7"/>
      <c r="Q126" s="58" t="s">
        <v>3</v>
      </c>
    </row>
    <row r="127" spans="1:17" ht="15">
      <c r="A127" s="55" t="s">
        <v>44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7"/>
      <c r="Q127" s="58" t="s">
        <v>3</v>
      </c>
    </row>
    <row r="128" spans="1:17" ht="15">
      <c r="A128" s="55" t="s">
        <v>45</v>
      </c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7"/>
      <c r="Q128" s="58" t="s">
        <v>3</v>
      </c>
    </row>
    <row r="129" spans="1:17" ht="15">
      <c r="A129" s="60" t="str">
        <f>$A$5</f>
        <v>DATA: ___ BASE PERIOD _X_ FORECASTED PERIOD</v>
      </c>
      <c r="O129" s="61" t="s">
        <v>46</v>
      </c>
      <c r="P129" s="57"/>
      <c r="Q129" s="58" t="s">
        <v>3</v>
      </c>
    </row>
    <row r="130" spans="1:17" ht="15">
      <c r="A130" s="60" t="s">
        <v>47</v>
      </c>
      <c r="O130" s="61" t="s">
        <v>48</v>
      </c>
      <c r="P130" s="57"/>
      <c r="Q130" s="58" t="s">
        <v>3</v>
      </c>
    </row>
    <row r="131" spans="1:17" ht="15">
      <c r="A131" s="60" t="str">
        <f>A7</f>
        <v>TYPE OF FILING: _X_ ORIGINAL ___ UPDATED __ REVISED</v>
      </c>
      <c r="O131" s="61" t="e">
        <f>#REF!</f>
        <v>#REF!</v>
      </c>
      <c r="P131" s="57"/>
      <c r="Q131" s="58" t="s">
        <v>3</v>
      </c>
    </row>
    <row r="132" spans="1:17" ht="15">
      <c r="A132" s="60" t="str">
        <f>A70</f>
        <v>WORKPAPER REFERENCE NO(S).:  W/P-7</v>
      </c>
      <c r="O132" s="61" t="e">
        <f>#REF!</f>
        <v>#REF!</v>
      </c>
      <c r="P132" s="57"/>
      <c r="Q132" s="58" t="s">
        <v>3</v>
      </c>
    </row>
    <row r="133" spans="1:17" ht="14.25">
      <c r="A133" s="57"/>
      <c r="P133" s="57"/>
      <c r="Q133" s="58" t="s">
        <v>3</v>
      </c>
    </row>
    <row r="134" spans="1:17" ht="14.25">
      <c r="A134" s="65"/>
      <c r="B134" s="65"/>
      <c r="C134" s="65"/>
      <c r="D134" s="65"/>
      <c r="E134" s="65"/>
      <c r="F134" s="65"/>
      <c r="G134" s="64" t="s">
        <v>14</v>
      </c>
      <c r="H134" s="65"/>
      <c r="I134" s="65"/>
      <c r="J134" s="65"/>
      <c r="K134" s="65"/>
      <c r="L134" s="64" t="s">
        <v>20</v>
      </c>
      <c r="M134" s="65"/>
      <c r="N134" s="65"/>
      <c r="O134" s="65"/>
      <c r="P134" s="57"/>
      <c r="Q134" s="58" t="s">
        <v>3</v>
      </c>
    </row>
    <row r="135" spans="1:17" ht="14.25">
      <c r="A135" s="58" t="s">
        <v>15</v>
      </c>
      <c r="C135" s="58" t="s">
        <v>16</v>
      </c>
      <c r="D135" s="65"/>
      <c r="G135" s="58" t="s">
        <v>20</v>
      </c>
      <c r="J135" s="58" t="s">
        <v>18</v>
      </c>
      <c r="L135" s="58" t="s">
        <v>19</v>
      </c>
      <c r="P135" s="57"/>
      <c r="Q135" s="58" t="s">
        <v>3</v>
      </c>
    </row>
    <row r="136" spans="1:17" ht="15" thickBot="1">
      <c r="A136" s="67" t="s">
        <v>21</v>
      </c>
      <c r="B136" s="68"/>
      <c r="C136" s="67" t="s">
        <v>22</v>
      </c>
      <c r="D136" s="68"/>
      <c r="E136" s="67"/>
      <c r="F136" s="68"/>
      <c r="G136" s="67" t="s">
        <v>24</v>
      </c>
      <c r="H136" s="67" t="s">
        <v>25</v>
      </c>
      <c r="I136" s="67" t="s">
        <v>26</v>
      </c>
      <c r="J136" s="67" t="s">
        <v>22</v>
      </c>
      <c r="K136" s="67" t="s">
        <v>27</v>
      </c>
      <c r="L136" s="67" t="s">
        <v>28</v>
      </c>
      <c r="M136" s="68"/>
      <c r="N136" s="67"/>
      <c r="O136" s="68"/>
      <c r="P136" s="57"/>
      <c r="Q136" s="58" t="s">
        <v>3</v>
      </c>
    </row>
    <row r="137" spans="1:17" ht="14.25">
      <c r="A137" s="64">
        <v>1</v>
      </c>
      <c r="B137" s="57"/>
      <c r="C137" s="57"/>
      <c r="D137" s="65"/>
      <c r="E137" s="57"/>
      <c r="F137" s="57"/>
      <c r="G137" s="57"/>
      <c r="H137" s="57"/>
      <c r="I137" s="57"/>
      <c r="J137" s="57"/>
      <c r="K137" s="57"/>
      <c r="L137" s="57"/>
      <c r="N137" s="57"/>
      <c r="O137" s="57"/>
      <c r="P137" s="57"/>
      <c r="Q137" s="58" t="s">
        <v>3</v>
      </c>
    </row>
    <row r="138" spans="1:17" ht="14.25">
      <c r="A138" s="64">
        <v>2</v>
      </c>
      <c r="C138" s="54" t="s">
        <v>30</v>
      </c>
      <c r="D138" s="65"/>
      <c r="G138" s="107">
        <f>'Cap Struct WPs'!AA408</f>
        <v>8036966.384615385</v>
      </c>
      <c r="H138" s="71">
        <f>ROUND(G138/$G$146,5)</f>
        <v>0.03889</v>
      </c>
      <c r="I138" s="70">
        <f>ROUND(H138*$E$152,0)</f>
        <v>42153</v>
      </c>
      <c r="J138" s="107">
        <f>G138+I138</f>
        <v>8079119.384615385</v>
      </c>
      <c r="K138" s="71">
        <f>I202</f>
        <v>0.0525</v>
      </c>
      <c r="L138" s="66">
        <f>ROUND(K138*H138,4)</f>
        <v>0.002</v>
      </c>
      <c r="P138" s="57"/>
      <c r="Q138" s="58" t="s">
        <v>3</v>
      </c>
    </row>
    <row r="139" spans="1:17" ht="14.25">
      <c r="A139" s="64">
        <v>3</v>
      </c>
      <c r="C139" s="72"/>
      <c r="P139" s="57"/>
      <c r="Q139" s="58" t="s">
        <v>3</v>
      </c>
    </row>
    <row r="140" spans="1:17" ht="14.25">
      <c r="A140" s="64">
        <v>4</v>
      </c>
      <c r="C140" s="54" t="s">
        <v>32</v>
      </c>
      <c r="G140" s="75">
        <f>'Cap Struct WPs'!AK33</f>
        <v>103387162.64102563</v>
      </c>
      <c r="H140" s="71">
        <f>ROUND(G140/$G$146,5)</f>
        <v>0.50031</v>
      </c>
      <c r="I140" s="75">
        <f>ROUND(H140*$E$152,0)</f>
        <v>542282</v>
      </c>
      <c r="J140" s="74">
        <f>G140+I140</f>
        <v>103929444.64102563</v>
      </c>
      <c r="K140" s="71">
        <f>'Cap Struct WPs'!AF38</f>
        <v>0.0658</v>
      </c>
      <c r="L140" s="66">
        <f>ROUND(K140*H140,4)</f>
        <v>0.0329</v>
      </c>
      <c r="P140" s="57"/>
      <c r="Q140" s="58" t="s">
        <v>3</v>
      </c>
    </row>
    <row r="141" spans="1:17" ht="14.25">
      <c r="A141" s="64">
        <v>5</v>
      </c>
      <c r="C141" s="72"/>
      <c r="P141" s="57"/>
      <c r="Q141" s="58" t="s">
        <v>3</v>
      </c>
    </row>
    <row r="142" spans="1:17" ht="14.25">
      <c r="A142" s="64">
        <v>6</v>
      </c>
      <c r="C142" s="54" t="s">
        <v>1</v>
      </c>
      <c r="G142" s="75">
        <f>'Cap Struct WPs'!AV24</f>
        <v>5944726</v>
      </c>
      <c r="H142" s="71">
        <f>ROUND(G142/$G$146,5)</f>
        <v>0.02877</v>
      </c>
      <c r="I142" s="75">
        <f>ROUND(H142*$E$152,0)</f>
        <v>31184</v>
      </c>
      <c r="J142" s="74">
        <f>G142+I142</f>
        <v>5975910</v>
      </c>
      <c r="K142" s="71">
        <f>'Cap Struct WPs'!AQ28</f>
        <v>0.0775</v>
      </c>
      <c r="L142" s="66">
        <f>ROUND(K142*H142,4)</f>
        <v>0.0022</v>
      </c>
      <c r="P142" s="57"/>
      <c r="Q142" s="58" t="s">
        <v>3</v>
      </c>
    </row>
    <row r="143" spans="1:17" ht="14.25">
      <c r="A143" s="64">
        <v>7</v>
      </c>
      <c r="C143" s="72"/>
      <c r="P143" s="57"/>
      <c r="Q143" s="58" t="s">
        <v>3</v>
      </c>
    </row>
    <row r="144" spans="1:17" ht="14.25">
      <c r="A144" s="64">
        <v>8</v>
      </c>
      <c r="C144" s="54" t="s">
        <v>0</v>
      </c>
      <c r="G144" s="76">
        <f>'Cap Struct WPs'!AA458</f>
        <v>89276928.23076923</v>
      </c>
      <c r="H144" s="77">
        <f>ROUND(G144/$G$146,5)</f>
        <v>0.43203</v>
      </c>
      <c r="I144" s="76">
        <f>ROUND(H144*$E$152,0)</f>
        <v>468274</v>
      </c>
      <c r="J144" s="76">
        <f>G144+I144</f>
        <v>89745202.23076923</v>
      </c>
      <c r="K144" s="82">
        <v>0.114</v>
      </c>
      <c r="L144" s="83">
        <f>ROUND(K144*H144,4)</f>
        <v>0.0493</v>
      </c>
      <c r="P144" s="57"/>
      <c r="Q144" s="58" t="s">
        <v>3</v>
      </c>
    </row>
    <row r="145" spans="1:17" ht="14.25">
      <c r="A145" s="64">
        <v>9</v>
      </c>
      <c r="C145" s="72"/>
      <c r="G145" s="57"/>
      <c r="H145" s="71"/>
      <c r="I145" s="57"/>
      <c r="J145" s="57"/>
      <c r="K145" s="73"/>
      <c r="L145" s="71"/>
      <c r="P145" s="57"/>
      <c r="Q145" s="58" t="s">
        <v>3</v>
      </c>
    </row>
    <row r="146" spans="1:17" ht="15" thickBot="1">
      <c r="A146" s="64">
        <v>10</v>
      </c>
      <c r="C146" s="54" t="s">
        <v>35</v>
      </c>
      <c r="G146" s="106">
        <f>SUM(G138:G144)</f>
        <v>206645783.25641024</v>
      </c>
      <c r="H146" s="81">
        <f>SUM(H138:H144)</f>
        <v>1</v>
      </c>
      <c r="I146" s="80">
        <f>SUM(I138:I144)</f>
        <v>1083893</v>
      </c>
      <c r="J146" s="106">
        <f>SUM(J138:J144)</f>
        <v>207729676.25641024</v>
      </c>
      <c r="K146" s="73"/>
      <c r="L146" s="84">
        <f>SUM(L138:L144)</f>
        <v>0.0864</v>
      </c>
      <c r="M146" s="85"/>
      <c r="P146" s="57"/>
      <c r="Q146" s="58" t="s">
        <v>3</v>
      </c>
    </row>
    <row r="147" spans="1:17" ht="15" thickTop="1">
      <c r="A147" s="64">
        <v>11</v>
      </c>
      <c r="G147" s="57"/>
      <c r="H147" s="57"/>
      <c r="I147" s="57"/>
      <c r="J147" s="57"/>
      <c r="L147" s="57"/>
      <c r="M147" s="86"/>
      <c r="P147" s="57"/>
      <c r="Q147" s="58" t="s">
        <v>3</v>
      </c>
    </row>
    <row r="148" spans="1:17" ht="14.25">
      <c r="A148" s="64">
        <v>12</v>
      </c>
      <c r="P148" s="57"/>
      <c r="Q148" s="58" t="s">
        <v>3</v>
      </c>
    </row>
    <row r="149" spans="1:17" ht="14.25">
      <c r="A149" s="64">
        <v>13</v>
      </c>
      <c r="P149" s="57"/>
      <c r="Q149" s="58" t="s">
        <v>3</v>
      </c>
    </row>
    <row r="150" spans="1:17" ht="14.25">
      <c r="A150" s="64">
        <v>14</v>
      </c>
      <c r="P150" s="57"/>
      <c r="Q150" s="58" t="s">
        <v>3</v>
      </c>
    </row>
    <row r="151" spans="1:17" ht="14.25">
      <c r="A151" s="64">
        <v>15</v>
      </c>
      <c r="P151" s="57"/>
      <c r="Q151" s="58" t="s">
        <v>3</v>
      </c>
    </row>
    <row r="152" spans="1:17" ht="15" thickBot="1">
      <c r="A152" s="64">
        <v>16</v>
      </c>
      <c r="C152" s="54" t="s">
        <v>43</v>
      </c>
      <c r="E152" s="80">
        <f>'Cap Struct WPs'!AA498</f>
        <v>1083892</v>
      </c>
      <c r="P152" s="57"/>
      <c r="Q152" s="58" t="s">
        <v>3</v>
      </c>
    </row>
    <row r="153" spans="1:17" ht="15" thickTop="1">
      <c r="A153" s="64">
        <v>17</v>
      </c>
      <c r="P153" s="57"/>
      <c r="Q153" s="58" t="s">
        <v>3</v>
      </c>
    </row>
    <row r="154" spans="1:17" ht="14.25">
      <c r="A154" s="64">
        <v>18</v>
      </c>
      <c r="P154" s="57"/>
      <c r="Q154" s="58" t="s">
        <v>3</v>
      </c>
    </row>
    <row r="155" spans="1:17" ht="14.25">
      <c r="A155" s="64">
        <v>19</v>
      </c>
      <c r="P155" s="57"/>
      <c r="Q155" s="58" t="s">
        <v>3</v>
      </c>
    </row>
    <row r="156" spans="1:17" ht="14.25">
      <c r="A156" s="64">
        <v>20</v>
      </c>
      <c r="P156" s="57"/>
      <c r="Q156" s="58" t="s">
        <v>3</v>
      </c>
    </row>
    <row r="157" spans="1:17" ht="14.25">
      <c r="A157" s="64">
        <v>21</v>
      </c>
      <c r="P157" s="57"/>
      <c r="Q157" s="58" t="s">
        <v>3</v>
      </c>
    </row>
    <row r="158" spans="1:17" ht="14.25">
      <c r="A158" s="64">
        <v>22</v>
      </c>
      <c r="P158" s="57"/>
      <c r="Q158" s="58" t="s">
        <v>3</v>
      </c>
    </row>
    <row r="159" spans="1:17" ht="14.25">
      <c r="A159" s="64">
        <v>23</v>
      </c>
      <c r="P159" s="57"/>
      <c r="Q159" s="58" t="s">
        <v>3</v>
      </c>
    </row>
    <row r="160" spans="1:17" ht="14.25">
      <c r="A160" s="64">
        <v>24</v>
      </c>
      <c r="P160" s="57"/>
      <c r="Q160" s="58" t="s">
        <v>3</v>
      </c>
    </row>
    <row r="161" spans="1:17" ht="14.25">
      <c r="A161" s="64">
        <v>25</v>
      </c>
      <c r="P161" s="57"/>
      <c r="Q161" s="58" t="s">
        <v>3</v>
      </c>
    </row>
    <row r="162" spans="1:17" ht="14.25">
      <c r="A162" s="64">
        <v>26</v>
      </c>
      <c r="P162" s="57"/>
      <c r="Q162" s="58" t="s">
        <v>3</v>
      </c>
    </row>
    <row r="163" spans="1:17" ht="14.25">
      <c r="A163" s="64">
        <v>27</v>
      </c>
      <c r="P163" s="57"/>
      <c r="Q163" s="58" t="s">
        <v>3</v>
      </c>
    </row>
    <row r="164" spans="1:17" ht="14.25">
      <c r="A164" s="64">
        <v>28</v>
      </c>
      <c r="P164" s="57"/>
      <c r="Q164" s="58" t="s">
        <v>3</v>
      </c>
    </row>
    <row r="165" spans="1:17" ht="14.25">
      <c r="A165" s="64">
        <v>29</v>
      </c>
      <c r="P165" s="57"/>
      <c r="Q165" s="58" t="s">
        <v>3</v>
      </c>
    </row>
    <row r="166" spans="1:17" ht="14.25">
      <c r="A166" s="64">
        <v>30</v>
      </c>
      <c r="P166" s="57"/>
      <c r="Q166" s="58" t="s">
        <v>3</v>
      </c>
    </row>
    <row r="167" spans="1:17" ht="14.25">
      <c r="A167" s="64">
        <v>31</v>
      </c>
      <c r="P167" s="57"/>
      <c r="Q167" s="58" t="s">
        <v>3</v>
      </c>
    </row>
    <row r="168" spans="1:17" ht="14.25">
      <c r="A168" s="64">
        <v>32</v>
      </c>
      <c r="P168" s="57"/>
      <c r="Q168" s="58" t="s">
        <v>3</v>
      </c>
    </row>
    <row r="169" spans="1:17" ht="14.25">
      <c r="A169" s="64">
        <v>33</v>
      </c>
      <c r="P169" s="57"/>
      <c r="Q169" s="58" t="s">
        <v>3</v>
      </c>
    </row>
    <row r="170" spans="1:17" ht="14.25">
      <c r="A170" s="64">
        <v>34</v>
      </c>
      <c r="P170" s="57"/>
      <c r="Q170" s="58" t="s">
        <v>3</v>
      </c>
    </row>
    <row r="171" spans="1:17" ht="14.25">
      <c r="A171" s="64">
        <v>35</v>
      </c>
      <c r="P171" s="57"/>
      <c r="Q171" s="58" t="s">
        <v>3</v>
      </c>
    </row>
    <row r="172" spans="1:17" ht="14.25">
      <c r="A172" s="64">
        <v>36</v>
      </c>
      <c r="P172" s="57"/>
      <c r="Q172" s="58" t="s">
        <v>3</v>
      </c>
    </row>
    <row r="173" spans="1:17" ht="14.25">
      <c r="A173" s="64">
        <v>37</v>
      </c>
      <c r="P173" s="57"/>
      <c r="Q173" s="58" t="s">
        <v>3</v>
      </c>
    </row>
    <row r="174" spans="1:17" ht="14.25">
      <c r="A174" s="64">
        <v>38</v>
      </c>
      <c r="P174" s="57"/>
      <c r="Q174" s="58" t="s">
        <v>3</v>
      </c>
    </row>
    <row r="175" spans="1:17" ht="14.25">
      <c r="A175" s="64">
        <v>39</v>
      </c>
      <c r="P175" s="57"/>
      <c r="Q175" s="58" t="s">
        <v>3</v>
      </c>
    </row>
    <row r="176" spans="1:17" ht="14.25">
      <c r="A176" s="64">
        <v>40</v>
      </c>
      <c r="P176" s="57"/>
      <c r="Q176" s="58" t="s">
        <v>3</v>
      </c>
    </row>
    <row r="177" spans="1:17" ht="14.25">
      <c r="A177" s="64">
        <v>41</v>
      </c>
      <c r="P177" s="57"/>
      <c r="Q177" s="58" t="s">
        <v>3</v>
      </c>
    </row>
    <row r="178" spans="1:17" ht="14.25">
      <c r="A178" s="64">
        <v>42</v>
      </c>
      <c r="P178" s="57"/>
      <c r="Q178" s="58" t="s">
        <v>3</v>
      </c>
    </row>
    <row r="179" spans="1:17" ht="14.25">
      <c r="A179" s="64">
        <v>43</v>
      </c>
      <c r="P179" s="57"/>
      <c r="Q179" s="58" t="s">
        <v>3</v>
      </c>
    </row>
    <row r="180" spans="1:17" ht="14.25">
      <c r="A180" s="64">
        <v>44</v>
      </c>
      <c r="P180" s="57"/>
      <c r="Q180" s="58" t="s">
        <v>3</v>
      </c>
    </row>
    <row r="181" spans="1:17" ht="14.25">
      <c r="A181" s="64">
        <v>45</v>
      </c>
      <c r="P181" s="57"/>
      <c r="Q181" s="58" t="s">
        <v>3</v>
      </c>
    </row>
    <row r="182" spans="1:17" ht="14.25">
      <c r="A182" s="64">
        <v>46</v>
      </c>
      <c r="P182" s="57"/>
      <c r="Q182" s="58" t="s">
        <v>3</v>
      </c>
    </row>
    <row r="183" spans="1:17" ht="14.25">
      <c r="A183" s="64">
        <v>47</v>
      </c>
      <c r="P183" s="57"/>
      <c r="Q183" s="58" t="s">
        <v>3</v>
      </c>
    </row>
    <row r="184" spans="1:17" ht="14.25">
      <c r="A184" s="64">
        <v>48</v>
      </c>
      <c r="P184" s="57"/>
      <c r="Q184" s="58" t="s">
        <v>3</v>
      </c>
    </row>
    <row r="185" spans="1:17" ht="14.25">
      <c r="A185" s="64">
        <v>49</v>
      </c>
      <c r="P185" s="57"/>
      <c r="Q185" s="58" t="s">
        <v>3</v>
      </c>
    </row>
    <row r="186" spans="1:17" ht="14.25">
      <c r="A186" s="64">
        <v>50</v>
      </c>
      <c r="P186" s="57"/>
      <c r="Q186" s="58" t="s">
        <v>3</v>
      </c>
    </row>
    <row r="187" spans="1:86" ht="15">
      <c r="A187" s="55" t="str">
        <f>A1</f>
        <v>KENTUCKY-AMERICAN WATER COMPANY</v>
      </c>
      <c r="B187" s="56"/>
      <c r="C187" s="55"/>
      <c r="D187" s="55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7"/>
      <c r="Q187" s="58" t="s">
        <v>3</v>
      </c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</row>
    <row r="188" spans="1:17" ht="15">
      <c r="A188" s="55" t="e">
        <f>A2</f>
        <v>#REF!</v>
      </c>
      <c r="B188" s="87"/>
      <c r="C188" s="55"/>
      <c r="D188" s="55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7"/>
      <c r="Q188" s="58" t="s">
        <v>3</v>
      </c>
    </row>
    <row r="189" spans="1:17" ht="15">
      <c r="A189" s="55" t="s">
        <v>49</v>
      </c>
      <c r="B189" s="87"/>
      <c r="C189" s="55"/>
      <c r="D189" s="55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7"/>
      <c r="Q189" s="58" t="s">
        <v>3</v>
      </c>
    </row>
    <row r="190" spans="1:17" ht="15">
      <c r="A190" s="55" t="e">
        <f>#REF!</f>
        <v>#REF!</v>
      </c>
      <c r="B190" s="87"/>
      <c r="C190" s="55"/>
      <c r="D190" s="5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7"/>
      <c r="Q190" s="58" t="s">
        <v>3</v>
      </c>
    </row>
    <row r="191" spans="1:17" ht="15">
      <c r="A191" s="60" t="str">
        <f>$A$5</f>
        <v>DATA: ___ BASE PERIOD _X_ FORECASTED PERIOD</v>
      </c>
      <c r="O191" s="61" t="s">
        <v>50</v>
      </c>
      <c r="P191" s="57"/>
      <c r="Q191" s="58" t="s">
        <v>3</v>
      </c>
    </row>
    <row r="192" spans="1:17" ht="15">
      <c r="A192" s="60" t="str">
        <f>A6</f>
        <v>DATE OF CAPITAL STRUCTURE:  END OF FORECASTED TEST YEAR</v>
      </c>
      <c r="O192" s="61" t="s">
        <v>8</v>
      </c>
      <c r="P192" s="57"/>
      <c r="Q192" s="58" t="s">
        <v>3</v>
      </c>
    </row>
    <row r="193" spans="1:17" ht="15">
      <c r="A193" s="60" t="str">
        <f>$A$7</f>
        <v>TYPE OF FILING: _X_ ORIGINAL ___ UPDATED __ REVISED</v>
      </c>
      <c r="O193" s="61" t="e">
        <f>#REF!</f>
        <v>#REF!</v>
      </c>
      <c r="P193" s="57"/>
      <c r="Q193" s="58" t="s">
        <v>3</v>
      </c>
    </row>
    <row r="194" spans="1:17" ht="15">
      <c r="A194" s="60" t="str">
        <f>A132</f>
        <v>WORKPAPER REFERENCE NO(S).:  W/P-7</v>
      </c>
      <c r="O194" s="61" t="e">
        <f>#REF!</f>
        <v>#REF!</v>
      </c>
      <c r="P194" s="57"/>
      <c r="Q194" s="58" t="s">
        <v>3</v>
      </c>
    </row>
    <row r="195" spans="1:17" ht="14.25">
      <c r="A195" s="57"/>
      <c r="P195" s="57"/>
      <c r="Q195" s="58" t="s">
        <v>3</v>
      </c>
    </row>
    <row r="196" spans="1:17" ht="14.2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57"/>
      <c r="Q196" s="58" t="s">
        <v>3</v>
      </c>
    </row>
    <row r="197" spans="1:17" ht="14.25">
      <c r="A197" s="58" t="s">
        <v>15</v>
      </c>
      <c r="G197" s="58" t="s">
        <v>24</v>
      </c>
      <c r="I197" s="58" t="s">
        <v>51</v>
      </c>
      <c r="K197" s="58" t="s">
        <v>51</v>
      </c>
      <c r="P197" s="57"/>
      <c r="Q197" s="58" t="s">
        <v>3</v>
      </c>
    </row>
    <row r="198" spans="1:17" ht="15" thickBot="1">
      <c r="A198" s="67" t="s">
        <v>21</v>
      </c>
      <c r="B198" s="68"/>
      <c r="C198" s="67" t="s">
        <v>52</v>
      </c>
      <c r="D198" s="68"/>
      <c r="E198" s="67"/>
      <c r="F198" s="68"/>
      <c r="G198" s="67" t="s">
        <v>53</v>
      </c>
      <c r="H198" s="67"/>
      <c r="I198" s="67" t="s">
        <v>54</v>
      </c>
      <c r="J198" s="67"/>
      <c r="K198" s="67" t="s">
        <v>55</v>
      </c>
      <c r="L198" s="67"/>
      <c r="M198" s="68"/>
      <c r="N198" s="67"/>
      <c r="O198" s="68"/>
      <c r="P198" s="57"/>
      <c r="Q198" s="58" t="s">
        <v>3</v>
      </c>
    </row>
    <row r="199" spans="1:17" ht="14.25">
      <c r="A199" s="64">
        <v>1</v>
      </c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8" t="s">
        <v>3</v>
      </c>
    </row>
    <row r="200" spans="1:17" ht="14.25">
      <c r="A200" s="64">
        <v>2</v>
      </c>
      <c r="P200" s="57"/>
      <c r="Q200" s="58" t="s">
        <v>3</v>
      </c>
    </row>
    <row r="201" spans="1:17" ht="14.25">
      <c r="A201" s="64">
        <v>3</v>
      </c>
      <c r="P201" s="57"/>
      <c r="Q201" s="58" t="s">
        <v>3</v>
      </c>
    </row>
    <row r="202" spans="1:17" ht="15" thickBot="1">
      <c r="A202" s="64">
        <v>4</v>
      </c>
      <c r="C202" s="54" t="s">
        <v>56</v>
      </c>
      <c r="D202" s="65"/>
      <c r="G202" s="80">
        <f>'Cap Struct WPs'!Z408</f>
        <v>1439023</v>
      </c>
      <c r="I202" s="88">
        <v>0.0525</v>
      </c>
      <c r="K202" s="80">
        <f>ROUND(I202*G202,0)</f>
        <v>75549</v>
      </c>
      <c r="P202" s="57"/>
      <c r="Q202" s="58" t="s">
        <v>3</v>
      </c>
    </row>
    <row r="203" spans="1:17" ht="15" thickTop="1">
      <c r="A203" s="64">
        <v>5</v>
      </c>
      <c r="G203" s="57"/>
      <c r="I203" s="57"/>
      <c r="K203" s="57"/>
      <c r="P203" s="57"/>
      <c r="Q203" s="58" t="s">
        <v>3</v>
      </c>
    </row>
    <row r="204" spans="1:17" ht="14.25">
      <c r="A204" s="64">
        <v>6</v>
      </c>
      <c r="P204" s="57"/>
      <c r="Q204" s="58" t="s">
        <v>3</v>
      </c>
    </row>
    <row r="205" spans="1:17" ht="15" thickBot="1">
      <c r="A205" s="64">
        <v>7</v>
      </c>
      <c r="C205" s="54" t="s">
        <v>57</v>
      </c>
      <c r="D205" s="65"/>
      <c r="G205" s="81">
        <f>I202</f>
        <v>0.0525</v>
      </c>
      <c r="P205" s="57"/>
      <c r="Q205" s="58" t="s">
        <v>3</v>
      </c>
    </row>
    <row r="206" spans="1:17" ht="15" thickTop="1">
      <c r="A206" s="64">
        <v>8</v>
      </c>
      <c r="G206" s="57"/>
      <c r="P206" s="57"/>
      <c r="Q206" s="58" t="s">
        <v>3</v>
      </c>
    </row>
    <row r="207" spans="1:17" ht="14.25">
      <c r="A207" s="64">
        <v>9</v>
      </c>
      <c r="P207" s="57"/>
      <c r="Q207" s="58" t="s">
        <v>3</v>
      </c>
    </row>
    <row r="208" spans="1:17" ht="14.25">
      <c r="A208" s="64">
        <v>10</v>
      </c>
      <c r="P208" s="57"/>
      <c r="Q208" s="58" t="s">
        <v>3</v>
      </c>
    </row>
    <row r="209" spans="1:17" ht="14.25">
      <c r="A209" s="64">
        <v>11</v>
      </c>
      <c r="P209" s="57"/>
      <c r="Q209" s="58" t="s">
        <v>3</v>
      </c>
    </row>
    <row r="210" spans="1:17" ht="14.25">
      <c r="A210" s="64">
        <v>12</v>
      </c>
      <c r="P210" s="57"/>
      <c r="Q210" s="58" t="s">
        <v>3</v>
      </c>
    </row>
    <row r="211" spans="1:17" ht="14.25">
      <c r="A211" s="64">
        <v>13</v>
      </c>
      <c r="P211" s="57"/>
      <c r="Q211" s="58" t="s">
        <v>3</v>
      </c>
    </row>
    <row r="212" spans="1:17" ht="14.25">
      <c r="A212" s="64">
        <v>14</v>
      </c>
      <c r="P212" s="57"/>
      <c r="Q212" s="58" t="s">
        <v>3</v>
      </c>
    </row>
    <row r="213" spans="1:17" ht="14.25">
      <c r="A213" s="64">
        <v>15</v>
      </c>
      <c r="P213" s="57"/>
      <c r="Q213" s="58" t="s">
        <v>3</v>
      </c>
    </row>
    <row r="214" spans="1:17" ht="14.25">
      <c r="A214" s="64">
        <v>16</v>
      </c>
      <c r="P214" s="57"/>
      <c r="Q214" s="58" t="s">
        <v>3</v>
      </c>
    </row>
    <row r="215" spans="1:17" ht="14.25">
      <c r="A215" s="64">
        <v>17</v>
      </c>
      <c r="P215" s="57"/>
      <c r="Q215" s="58" t="s">
        <v>3</v>
      </c>
    </row>
    <row r="216" spans="1:17" ht="14.25">
      <c r="A216" s="64">
        <v>18</v>
      </c>
      <c r="P216" s="57"/>
      <c r="Q216" s="58" t="s">
        <v>3</v>
      </c>
    </row>
    <row r="217" spans="1:17" ht="14.25">
      <c r="A217" s="64">
        <v>19</v>
      </c>
      <c r="P217" s="57"/>
      <c r="Q217" s="58" t="s">
        <v>3</v>
      </c>
    </row>
    <row r="218" spans="1:17" ht="14.25">
      <c r="A218" s="64">
        <v>20</v>
      </c>
      <c r="P218" s="57"/>
      <c r="Q218" s="58" t="s">
        <v>3</v>
      </c>
    </row>
    <row r="219" spans="1:17" ht="14.25">
      <c r="A219" s="64">
        <v>21</v>
      </c>
      <c r="P219" s="57"/>
      <c r="Q219" s="58" t="s">
        <v>3</v>
      </c>
    </row>
    <row r="220" spans="1:17" ht="14.25">
      <c r="A220" s="64">
        <v>22</v>
      </c>
      <c r="P220" s="57"/>
      <c r="Q220" s="58" t="s">
        <v>3</v>
      </c>
    </row>
    <row r="221" spans="1:17" ht="14.25">
      <c r="A221" s="64">
        <v>23</v>
      </c>
      <c r="P221" s="57"/>
      <c r="Q221" s="58" t="s">
        <v>3</v>
      </c>
    </row>
    <row r="222" spans="1:17" ht="14.25">
      <c r="A222" s="64">
        <v>24</v>
      </c>
      <c r="P222" s="57"/>
      <c r="Q222" s="58" t="s">
        <v>3</v>
      </c>
    </row>
    <row r="223" spans="1:17" ht="14.25">
      <c r="A223" s="64">
        <v>25</v>
      </c>
      <c r="P223" s="57"/>
      <c r="Q223" s="58" t="s">
        <v>3</v>
      </c>
    </row>
    <row r="224" spans="1:17" ht="14.25">
      <c r="A224" s="64">
        <v>26</v>
      </c>
      <c r="P224" s="57"/>
      <c r="Q224" s="58" t="s">
        <v>3</v>
      </c>
    </row>
    <row r="225" spans="1:17" ht="14.25">
      <c r="A225" s="64">
        <v>27</v>
      </c>
      <c r="P225" s="57"/>
      <c r="Q225" s="58" t="s">
        <v>3</v>
      </c>
    </row>
    <row r="226" spans="1:17" ht="14.25">
      <c r="A226" s="64">
        <v>28</v>
      </c>
      <c r="P226" s="57"/>
      <c r="Q226" s="58" t="s">
        <v>3</v>
      </c>
    </row>
    <row r="227" spans="1:17" ht="14.25">
      <c r="A227" s="64">
        <v>29</v>
      </c>
      <c r="P227" s="57"/>
      <c r="Q227" s="58" t="s">
        <v>3</v>
      </c>
    </row>
    <row r="228" spans="1:17" ht="14.25">
      <c r="A228" s="64">
        <v>30</v>
      </c>
      <c r="P228" s="57"/>
      <c r="Q228" s="58" t="s">
        <v>3</v>
      </c>
    </row>
    <row r="229" spans="1:17" ht="14.25">
      <c r="A229" s="64">
        <v>31</v>
      </c>
      <c r="P229" s="57"/>
      <c r="Q229" s="58" t="s">
        <v>3</v>
      </c>
    </row>
    <row r="230" spans="1:17" ht="14.25">
      <c r="A230" s="64">
        <v>32</v>
      </c>
      <c r="P230" s="57"/>
      <c r="Q230" s="58" t="s">
        <v>3</v>
      </c>
    </row>
    <row r="231" spans="1:17" ht="14.25">
      <c r="A231" s="64">
        <v>33</v>
      </c>
      <c r="P231" s="57"/>
      <c r="Q231" s="58" t="s">
        <v>3</v>
      </c>
    </row>
    <row r="232" spans="1:17" ht="14.25">
      <c r="A232" s="64">
        <v>34</v>
      </c>
      <c r="P232" s="57"/>
      <c r="Q232" s="58" t="s">
        <v>3</v>
      </c>
    </row>
    <row r="233" spans="1:17" ht="14.25">
      <c r="A233" s="64">
        <v>35</v>
      </c>
      <c r="P233" s="57"/>
      <c r="Q233" s="58" t="s">
        <v>3</v>
      </c>
    </row>
    <row r="234" spans="1:17" ht="14.25">
      <c r="A234" s="64">
        <v>36</v>
      </c>
      <c r="P234" s="57"/>
      <c r="Q234" s="58" t="s">
        <v>3</v>
      </c>
    </row>
    <row r="235" spans="1:17" ht="14.25">
      <c r="A235" s="64">
        <v>37</v>
      </c>
      <c r="P235" s="57"/>
      <c r="Q235" s="58" t="s">
        <v>3</v>
      </c>
    </row>
    <row r="236" spans="1:17" ht="14.25">
      <c r="A236" s="64">
        <v>38</v>
      </c>
      <c r="P236" s="57"/>
      <c r="Q236" s="58" t="s">
        <v>3</v>
      </c>
    </row>
    <row r="237" spans="1:17" ht="14.25">
      <c r="A237" s="64">
        <v>39</v>
      </c>
      <c r="P237" s="57"/>
      <c r="Q237" s="58" t="s">
        <v>3</v>
      </c>
    </row>
    <row r="238" spans="1:17" ht="14.25">
      <c r="A238" s="64">
        <v>40</v>
      </c>
      <c r="P238" s="57"/>
      <c r="Q238" s="58" t="s">
        <v>3</v>
      </c>
    </row>
    <row r="239" spans="1:17" ht="14.25">
      <c r="A239" s="64">
        <v>41</v>
      </c>
      <c r="P239" s="57"/>
      <c r="Q239" s="58" t="s">
        <v>3</v>
      </c>
    </row>
    <row r="240" spans="1:17" ht="14.25">
      <c r="A240" s="64">
        <v>42</v>
      </c>
      <c r="P240" s="57"/>
      <c r="Q240" s="58" t="s">
        <v>3</v>
      </c>
    </row>
    <row r="241" spans="1:17" ht="14.25">
      <c r="A241" s="64">
        <v>43</v>
      </c>
      <c r="P241" s="57"/>
      <c r="Q241" s="58" t="s">
        <v>3</v>
      </c>
    </row>
    <row r="242" spans="1:17" ht="14.25">
      <c r="A242" s="64">
        <v>44</v>
      </c>
      <c r="P242" s="57"/>
      <c r="Q242" s="58" t="s">
        <v>3</v>
      </c>
    </row>
    <row r="243" spans="1:17" ht="14.25">
      <c r="A243" s="64">
        <v>45</v>
      </c>
      <c r="P243" s="57"/>
      <c r="Q243" s="58" t="s">
        <v>3</v>
      </c>
    </row>
    <row r="244" spans="1:17" ht="14.25">
      <c r="A244" s="64">
        <v>46</v>
      </c>
      <c r="P244" s="57"/>
      <c r="Q244" s="58" t="s">
        <v>3</v>
      </c>
    </row>
    <row r="245" spans="1:17" ht="14.25">
      <c r="A245" s="64">
        <v>47</v>
      </c>
      <c r="P245" s="57"/>
      <c r="Q245" s="58" t="s">
        <v>3</v>
      </c>
    </row>
    <row r="246" spans="1:17" ht="14.25">
      <c r="A246" s="64">
        <v>48</v>
      </c>
      <c r="P246" s="57"/>
      <c r="Q246" s="58" t="s">
        <v>3</v>
      </c>
    </row>
    <row r="247" spans="1:17" ht="14.25">
      <c r="A247" s="64">
        <v>49</v>
      </c>
      <c r="P247" s="57"/>
      <c r="Q247" s="58" t="s">
        <v>3</v>
      </c>
    </row>
    <row r="248" spans="1:17" ht="14.25">
      <c r="A248" s="64">
        <v>50</v>
      </c>
      <c r="P248" s="57"/>
      <c r="Q248" s="58" t="s">
        <v>3</v>
      </c>
    </row>
    <row r="249" spans="1:86" ht="15">
      <c r="A249" s="55" t="str">
        <f>A1</f>
        <v>KENTUCKY-AMERICAN WATER COMPANY</v>
      </c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7"/>
      <c r="Q249" s="58" t="s">
        <v>3</v>
      </c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  <c r="BS249" s="57"/>
      <c r="BT249" s="57"/>
      <c r="BU249" s="57"/>
      <c r="BV249" s="57"/>
      <c r="BW249" s="57"/>
      <c r="BX249" s="57"/>
      <c r="BY249" s="57"/>
      <c r="BZ249" s="57"/>
      <c r="CA249" s="57"/>
      <c r="CB249" s="57"/>
      <c r="CC249" s="57"/>
      <c r="CD249" s="57"/>
      <c r="CE249" s="57"/>
      <c r="CF249" s="57"/>
      <c r="CG249" s="57"/>
      <c r="CH249" s="57"/>
    </row>
    <row r="250" spans="1:17" ht="15">
      <c r="A250" s="55" t="e">
        <f>$A$2</f>
        <v>#REF!</v>
      </c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7"/>
      <c r="Q250" s="58" t="s">
        <v>3</v>
      </c>
    </row>
    <row r="251" spans="1:17" ht="15">
      <c r="A251" s="55" t="s">
        <v>49</v>
      </c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7"/>
      <c r="Q251" s="58" t="s">
        <v>3</v>
      </c>
    </row>
    <row r="252" spans="1:17" ht="15">
      <c r="A252" s="55" t="e">
        <f>A66</f>
        <v>#REF!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7"/>
      <c r="Q252" s="58" t="s">
        <v>3</v>
      </c>
    </row>
    <row r="253" spans="1:17" ht="15">
      <c r="A253" s="60" t="str">
        <f>A67</f>
        <v>DATA: _X_ BASE PERIOD ___ FORECASTED PERIOD</v>
      </c>
      <c r="O253" s="61" t="s">
        <v>50</v>
      </c>
      <c r="P253" s="57"/>
      <c r="Q253" s="58" t="s">
        <v>3</v>
      </c>
    </row>
    <row r="254" spans="1:17" ht="15">
      <c r="A254" s="60" t="str">
        <f>A68</f>
        <v>DATE OF CAPITAL STRUCTURE:  AS OF END OF BASE PERIOD</v>
      </c>
      <c r="O254" s="61" t="s">
        <v>39</v>
      </c>
      <c r="P254" s="57"/>
      <c r="Q254" s="58" t="s">
        <v>3</v>
      </c>
    </row>
    <row r="255" spans="1:17" ht="15">
      <c r="A255" s="60" t="str">
        <f>$A$7</f>
        <v>TYPE OF FILING: _X_ ORIGINAL ___ UPDATED __ REVISED</v>
      </c>
      <c r="O255" s="61" t="e">
        <f>#REF!</f>
        <v>#REF!</v>
      </c>
      <c r="P255" s="57"/>
      <c r="Q255" s="58" t="s">
        <v>3</v>
      </c>
    </row>
    <row r="256" spans="1:17" ht="15">
      <c r="A256" s="60" t="str">
        <f>A194</f>
        <v>WORKPAPER REFERENCE NO(S).:  W/P-7</v>
      </c>
      <c r="O256" s="61" t="e">
        <f>#REF!</f>
        <v>#REF!</v>
      </c>
      <c r="P256" s="57"/>
      <c r="Q256" s="58" t="s">
        <v>3</v>
      </c>
    </row>
    <row r="257" spans="1:17" ht="14.25">
      <c r="A257" s="57"/>
      <c r="P257" s="57"/>
      <c r="Q257" s="58" t="s">
        <v>3</v>
      </c>
    </row>
    <row r="258" spans="1:17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57"/>
      <c r="Q258" s="58" t="s">
        <v>3</v>
      </c>
    </row>
    <row r="259" spans="1:17" ht="14.25">
      <c r="A259" s="58" t="s">
        <v>15</v>
      </c>
      <c r="G259" s="58" t="s">
        <v>24</v>
      </c>
      <c r="I259" s="58" t="s">
        <v>51</v>
      </c>
      <c r="K259" s="58" t="s">
        <v>51</v>
      </c>
      <c r="P259" s="57"/>
      <c r="Q259" s="58" t="s">
        <v>3</v>
      </c>
    </row>
    <row r="260" spans="1:17" ht="15" thickBot="1">
      <c r="A260" s="67" t="s">
        <v>21</v>
      </c>
      <c r="B260" s="68"/>
      <c r="C260" s="67" t="s">
        <v>52</v>
      </c>
      <c r="D260" s="68"/>
      <c r="E260" s="67"/>
      <c r="F260" s="68"/>
      <c r="G260" s="67" t="s">
        <v>53</v>
      </c>
      <c r="H260" s="67"/>
      <c r="I260" s="67" t="s">
        <v>54</v>
      </c>
      <c r="J260" s="67"/>
      <c r="K260" s="67" t="s">
        <v>55</v>
      </c>
      <c r="L260" s="67"/>
      <c r="M260" s="68"/>
      <c r="N260" s="67"/>
      <c r="O260" s="68"/>
      <c r="P260" s="57"/>
      <c r="Q260" s="58" t="s">
        <v>3</v>
      </c>
    </row>
    <row r="261" spans="1:17" ht="14.25">
      <c r="A261" s="64">
        <v>1</v>
      </c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8" t="s">
        <v>3</v>
      </c>
    </row>
    <row r="262" spans="1:17" ht="14.25">
      <c r="A262" s="64">
        <v>2</v>
      </c>
      <c r="P262" s="57"/>
      <c r="Q262" s="58" t="s">
        <v>3</v>
      </c>
    </row>
    <row r="263" spans="1:17" ht="14.25">
      <c r="A263" s="64">
        <v>3</v>
      </c>
      <c r="P263" s="57"/>
      <c r="Q263" s="58" t="s">
        <v>3</v>
      </c>
    </row>
    <row r="264" spans="1:17" ht="15" thickBot="1">
      <c r="A264" s="64">
        <v>4</v>
      </c>
      <c r="C264" s="54" t="s">
        <v>56</v>
      </c>
      <c r="D264" s="65"/>
      <c r="G264" s="106">
        <f>'Cap Struct WPs'!J408</f>
        <v>51725825</v>
      </c>
      <c r="I264" s="81">
        <f>I202</f>
        <v>0.0525</v>
      </c>
      <c r="K264" s="106">
        <f>ROUND(I264*G264,0)</f>
        <v>2715606</v>
      </c>
      <c r="P264" s="57"/>
      <c r="Q264" s="58" t="s">
        <v>3</v>
      </c>
    </row>
    <row r="265" spans="1:17" ht="15" thickTop="1">
      <c r="A265" s="64">
        <v>5</v>
      </c>
      <c r="G265" s="57"/>
      <c r="I265" s="57"/>
      <c r="K265" s="57"/>
      <c r="P265" s="57"/>
      <c r="Q265" s="58" t="s">
        <v>3</v>
      </c>
    </row>
    <row r="266" spans="1:17" ht="14.25">
      <c r="A266" s="64">
        <v>6</v>
      </c>
      <c r="P266" s="57"/>
      <c r="Q266" s="58" t="s">
        <v>3</v>
      </c>
    </row>
    <row r="267" spans="1:17" ht="15" thickBot="1">
      <c r="A267" s="64">
        <v>7</v>
      </c>
      <c r="C267" s="54" t="s">
        <v>57</v>
      </c>
      <c r="D267" s="65"/>
      <c r="G267" s="81">
        <f>I264</f>
        <v>0.0525</v>
      </c>
      <c r="P267" s="57"/>
      <c r="Q267" s="58" t="s">
        <v>3</v>
      </c>
    </row>
    <row r="268" spans="1:17" ht="15" thickTop="1">
      <c r="A268" s="64">
        <v>8</v>
      </c>
      <c r="G268" s="57"/>
      <c r="P268" s="57"/>
      <c r="Q268" s="58" t="s">
        <v>3</v>
      </c>
    </row>
    <row r="269" spans="1:17" ht="14.25">
      <c r="A269" s="64">
        <v>9</v>
      </c>
      <c r="P269" s="57"/>
      <c r="Q269" s="58" t="s">
        <v>3</v>
      </c>
    </row>
    <row r="270" spans="1:17" ht="14.25">
      <c r="A270" s="64">
        <v>10</v>
      </c>
      <c r="P270" s="57"/>
      <c r="Q270" s="58" t="s">
        <v>3</v>
      </c>
    </row>
    <row r="271" spans="1:17" ht="14.25">
      <c r="A271" s="64">
        <v>11</v>
      </c>
      <c r="P271" s="57"/>
      <c r="Q271" s="58" t="s">
        <v>3</v>
      </c>
    </row>
    <row r="272" spans="1:17" ht="14.25">
      <c r="A272" s="64">
        <v>12</v>
      </c>
      <c r="P272" s="57"/>
      <c r="Q272" s="58" t="s">
        <v>3</v>
      </c>
    </row>
    <row r="273" spans="1:17" ht="14.25">
      <c r="A273" s="64">
        <v>13</v>
      </c>
      <c r="P273" s="57"/>
      <c r="Q273" s="58" t="s">
        <v>3</v>
      </c>
    </row>
    <row r="274" spans="1:17" ht="14.25">
      <c r="A274" s="64">
        <v>14</v>
      </c>
      <c r="P274" s="57"/>
      <c r="Q274" s="58" t="s">
        <v>3</v>
      </c>
    </row>
    <row r="275" spans="1:17" ht="14.25">
      <c r="A275" s="64">
        <v>15</v>
      </c>
      <c r="P275" s="57"/>
      <c r="Q275" s="58" t="s">
        <v>3</v>
      </c>
    </row>
    <row r="276" spans="1:17" ht="14.25">
      <c r="A276" s="64">
        <v>16</v>
      </c>
      <c r="P276" s="57"/>
      <c r="Q276" s="58" t="s">
        <v>3</v>
      </c>
    </row>
    <row r="277" spans="1:17" ht="14.25">
      <c r="A277" s="64">
        <v>17</v>
      </c>
      <c r="P277" s="57"/>
      <c r="Q277" s="58" t="s">
        <v>3</v>
      </c>
    </row>
    <row r="278" spans="1:17" ht="14.25">
      <c r="A278" s="64">
        <v>18</v>
      </c>
      <c r="P278" s="57"/>
      <c r="Q278" s="58" t="s">
        <v>3</v>
      </c>
    </row>
    <row r="279" spans="1:17" ht="14.25">
      <c r="A279" s="64">
        <v>19</v>
      </c>
      <c r="P279" s="57"/>
      <c r="Q279" s="58" t="s">
        <v>3</v>
      </c>
    </row>
    <row r="280" spans="1:17" ht="14.25">
      <c r="A280" s="64">
        <v>20</v>
      </c>
      <c r="P280" s="57"/>
      <c r="Q280" s="58" t="s">
        <v>3</v>
      </c>
    </row>
    <row r="281" spans="1:17" ht="14.25">
      <c r="A281" s="64">
        <v>21</v>
      </c>
      <c r="P281" s="57"/>
      <c r="Q281" s="58" t="s">
        <v>3</v>
      </c>
    </row>
    <row r="282" spans="1:17" ht="14.25">
      <c r="A282" s="64">
        <v>22</v>
      </c>
      <c r="P282" s="57"/>
      <c r="Q282" s="58" t="s">
        <v>3</v>
      </c>
    </row>
    <row r="283" spans="1:17" ht="14.25">
      <c r="A283" s="64">
        <v>23</v>
      </c>
      <c r="P283" s="57"/>
      <c r="Q283" s="58" t="s">
        <v>3</v>
      </c>
    </row>
    <row r="284" spans="1:17" ht="14.25">
      <c r="A284" s="64">
        <v>24</v>
      </c>
      <c r="P284" s="57"/>
      <c r="Q284" s="58" t="s">
        <v>3</v>
      </c>
    </row>
    <row r="285" spans="1:17" ht="14.25">
      <c r="A285" s="64">
        <v>25</v>
      </c>
      <c r="P285" s="57"/>
      <c r="Q285" s="58" t="s">
        <v>3</v>
      </c>
    </row>
    <row r="286" spans="1:17" ht="14.25">
      <c r="A286" s="64">
        <v>26</v>
      </c>
      <c r="P286" s="57"/>
      <c r="Q286" s="58" t="s">
        <v>3</v>
      </c>
    </row>
    <row r="287" spans="1:17" ht="14.25">
      <c r="A287" s="64">
        <v>27</v>
      </c>
      <c r="P287" s="57"/>
      <c r="Q287" s="58" t="s">
        <v>3</v>
      </c>
    </row>
    <row r="288" spans="1:17" ht="14.25">
      <c r="A288" s="64">
        <v>28</v>
      </c>
      <c r="P288" s="57"/>
      <c r="Q288" s="58" t="s">
        <v>3</v>
      </c>
    </row>
    <row r="289" spans="1:17" ht="14.25">
      <c r="A289" s="64">
        <v>29</v>
      </c>
      <c r="P289" s="57"/>
      <c r="Q289" s="58" t="s">
        <v>3</v>
      </c>
    </row>
    <row r="290" spans="1:17" ht="14.25">
      <c r="A290" s="64">
        <v>30</v>
      </c>
      <c r="P290" s="57"/>
      <c r="Q290" s="58" t="s">
        <v>3</v>
      </c>
    </row>
    <row r="291" spans="1:17" ht="14.25">
      <c r="A291" s="64">
        <v>31</v>
      </c>
      <c r="P291" s="57"/>
      <c r="Q291" s="58" t="s">
        <v>3</v>
      </c>
    </row>
    <row r="292" spans="1:17" ht="14.25">
      <c r="A292" s="64">
        <v>32</v>
      </c>
      <c r="P292" s="57"/>
      <c r="Q292" s="58" t="s">
        <v>3</v>
      </c>
    </row>
    <row r="293" spans="1:17" ht="14.25">
      <c r="A293" s="64">
        <v>33</v>
      </c>
      <c r="P293" s="57"/>
      <c r="Q293" s="58" t="s">
        <v>3</v>
      </c>
    </row>
    <row r="294" spans="1:17" ht="14.25">
      <c r="A294" s="64">
        <v>34</v>
      </c>
      <c r="P294" s="57"/>
      <c r="Q294" s="58" t="s">
        <v>3</v>
      </c>
    </row>
    <row r="295" spans="1:17" ht="14.25">
      <c r="A295" s="64">
        <v>35</v>
      </c>
      <c r="P295" s="57"/>
      <c r="Q295" s="58" t="s">
        <v>3</v>
      </c>
    </row>
    <row r="296" spans="1:17" ht="14.25">
      <c r="A296" s="64">
        <v>36</v>
      </c>
      <c r="P296" s="57"/>
      <c r="Q296" s="58" t="s">
        <v>3</v>
      </c>
    </row>
    <row r="297" spans="1:17" ht="14.25">
      <c r="A297" s="64">
        <v>37</v>
      </c>
      <c r="P297" s="57"/>
      <c r="Q297" s="58" t="s">
        <v>3</v>
      </c>
    </row>
    <row r="298" spans="1:17" ht="14.25">
      <c r="A298" s="64">
        <v>38</v>
      </c>
      <c r="P298" s="57"/>
      <c r="Q298" s="58" t="s">
        <v>3</v>
      </c>
    </row>
    <row r="299" spans="1:17" ht="14.25">
      <c r="A299" s="64">
        <v>39</v>
      </c>
      <c r="P299" s="57"/>
      <c r="Q299" s="58" t="s">
        <v>3</v>
      </c>
    </row>
    <row r="300" spans="1:17" ht="14.25">
      <c r="A300" s="64">
        <v>40</v>
      </c>
      <c r="P300" s="57"/>
      <c r="Q300" s="58" t="s">
        <v>3</v>
      </c>
    </row>
    <row r="301" spans="1:17" ht="14.25">
      <c r="A301" s="64">
        <v>41</v>
      </c>
      <c r="P301" s="57"/>
      <c r="Q301" s="58" t="s">
        <v>3</v>
      </c>
    </row>
    <row r="302" spans="1:17" ht="14.25">
      <c r="A302" s="64">
        <v>42</v>
      </c>
      <c r="P302" s="57"/>
      <c r="Q302" s="58" t="s">
        <v>3</v>
      </c>
    </row>
    <row r="303" spans="1:17" ht="14.25">
      <c r="A303" s="64">
        <v>43</v>
      </c>
      <c r="P303" s="57"/>
      <c r="Q303" s="58" t="s">
        <v>3</v>
      </c>
    </row>
    <row r="304" spans="1:17" ht="14.25">
      <c r="A304" s="64">
        <v>44</v>
      </c>
      <c r="P304" s="57"/>
      <c r="Q304" s="58" t="s">
        <v>3</v>
      </c>
    </row>
    <row r="305" spans="1:17" ht="14.25">
      <c r="A305" s="64">
        <v>45</v>
      </c>
      <c r="P305" s="57"/>
      <c r="Q305" s="58" t="s">
        <v>3</v>
      </c>
    </row>
    <row r="306" spans="1:17" ht="14.25">
      <c r="A306" s="64">
        <v>46</v>
      </c>
      <c r="P306" s="57"/>
      <c r="Q306" s="58" t="s">
        <v>3</v>
      </c>
    </row>
    <row r="307" spans="1:17" ht="14.25">
      <c r="A307" s="64">
        <v>47</v>
      </c>
      <c r="P307" s="57"/>
      <c r="Q307" s="58" t="s">
        <v>3</v>
      </c>
    </row>
    <row r="308" spans="1:17" ht="14.25">
      <c r="A308" s="64">
        <v>48</v>
      </c>
      <c r="P308" s="57"/>
      <c r="Q308" s="58" t="s">
        <v>3</v>
      </c>
    </row>
    <row r="309" spans="1:17" ht="14.25">
      <c r="A309" s="64">
        <v>49</v>
      </c>
      <c r="P309" s="57"/>
      <c r="Q309" s="58" t="s">
        <v>3</v>
      </c>
    </row>
    <row r="310" spans="1:17" ht="14.25">
      <c r="A310" s="64">
        <v>50</v>
      </c>
      <c r="P310" s="57"/>
      <c r="Q310" s="58" t="s">
        <v>3</v>
      </c>
    </row>
    <row r="311" spans="1:86" ht="15">
      <c r="A311" s="55" t="str">
        <f>A1</f>
        <v>KENTUCKY-AMERICAN WATER COMPANY</v>
      </c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7"/>
      <c r="Q311" s="58" t="s">
        <v>3</v>
      </c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/>
      <c r="AT311" s="57"/>
      <c r="AU311" s="57"/>
      <c r="AV311" s="57"/>
      <c r="AW311" s="57"/>
      <c r="AX311" s="57"/>
      <c r="AY311" s="57"/>
      <c r="AZ311" s="57"/>
      <c r="BA311" s="57"/>
      <c r="BB311" s="57"/>
      <c r="BC311" s="57"/>
      <c r="BD311" s="57"/>
      <c r="BE311" s="57"/>
      <c r="BF311" s="57"/>
      <c r="BG311" s="57"/>
      <c r="BH311" s="57"/>
      <c r="BI311" s="57"/>
      <c r="BJ311" s="57"/>
      <c r="BK311" s="57"/>
      <c r="BL311" s="57"/>
      <c r="BM311" s="57"/>
      <c r="BN311" s="57"/>
      <c r="BO311" s="57"/>
      <c r="BP311" s="57"/>
      <c r="BQ311" s="57"/>
      <c r="BR311" s="57"/>
      <c r="BS311" s="57"/>
      <c r="BT311" s="57"/>
      <c r="BU311" s="57"/>
      <c r="BV311" s="57"/>
      <c r="BW311" s="57"/>
      <c r="BX311" s="57"/>
      <c r="BY311" s="57"/>
      <c r="BZ311" s="57"/>
      <c r="CA311" s="57"/>
      <c r="CB311" s="57"/>
      <c r="CC311" s="57"/>
      <c r="CD311" s="57"/>
      <c r="CE311" s="57"/>
      <c r="CF311" s="57"/>
      <c r="CG311" s="57"/>
      <c r="CH311" s="57"/>
    </row>
    <row r="312" spans="1:17" ht="15">
      <c r="A312" s="55" t="e">
        <f>$A$2</f>
        <v>#REF!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7"/>
      <c r="Q312" s="58" t="s">
        <v>3</v>
      </c>
    </row>
    <row r="313" spans="1:17" ht="15">
      <c r="A313" s="55" t="s">
        <v>58</v>
      </c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7"/>
      <c r="Q313" s="58" t="s">
        <v>3</v>
      </c>
    </row>
    <row r="314" spans="1:17" ht="15">
      <c r="A314" s="120" t="e">
        <f>$A$4</f>
        <v>#REF!</v>
      </c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7"/>
      <c r="Q314" s="58" t="s">
        <v>3</v>
      </c>
    </row>
    <row r="315" spans="1:17" ht="15">
      <c r="A315" s="60" t="str">
        <f>$A$5</f>
        <v>DATA: ___ BASE PERIOD _X_ FORECASTED PERIOD</v>
      </c>
      <c r="O315" s="61" t="s">
        <v>59</v>
      </c>
      <c r="P315" s="57"/>
      <c r="Q315" s="58" t="s">
        <v>3</v>
      </c>
    </row>
    <row r="316" spans="1:17" ht="15">
      <c r="A316" s="60" t="str">
        <f>A6</f>
        <v>DATE OF CAPITAL STRUCTURE:  END OF FORECASTED TEST YEAR</v>
      </c>
      <c r="O316" s="61" t="s">
        <v>8</v>
      </c>
      <c r="P316" s="57"/>
      <c r="Q316" s="58" t="s">
        <v>3</v>
      </c>
    </row>
    <row r="317" spans="1:17" ht="15">
      <c r="A317" s="60" t="str">
        <f>$A$7</f>
        <v>TYPE OF FILING: _X_ ORIGINAL ___ UPDATED __ REVISED</v>
      </c>
      <c r="O317" s="61" t="e">
        <f>#REF!</f>
        <v>#REF!</v>
      </c>
      <c r="P317" s="57"/>
      <c r="Q317" s="58" t="s">
        <v>3</v>
      </c>
    </row>
    <row r="318" spans="1:17" ht="15">
      <c r="A318" s="60" t="str">
        <f>A256</f>
        <v>WORKPAPER REFERENCE NO(S).:  W/P-7</v>
      </c>
      <c r="O318" s="61" t="e">
        <f>#REF!</f>
        <v>#REF!</v>
      </c>
      <c r="P318" s="57"/>
      <c r="Q318" s="58" t="s">
        <v>3</v>
      </c>
    </row>
    <row r="319" spans="1:17" ht="14.25">
      <c r="A319" s="57"/>
      <c r="P319" s="57"/>
      <c r="Q319" s="58" t="s">
        <v>3</v>
      </c>
    </row>
    <row r="320" spans="1:17" ht="14.25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4" t="s">
        <v>60</v>
      </c>
      <c r="L320" s="64" t="s">
        <v>61</v>
      </c>
      <c r="M320" s="65"/>
      <c r="N320" s="65"/>
      <c r="O320" s="65"/>
      <c r="P320" s="57"/>
      <c r="Q320" s="58" t="s">
        <v>3</v>
      </c>
    </row>
    <row r="321" spans="1:17" ht="14.25">
      <c r="A321" s="59" t="s">
        <v>62</v>
      </c>
      <c r="B321" s="56" t="s">
        <v>63</v>
      </c>
      <c r="C321" s="58" t="s">
        <v>52</v>
      </c>
      <c r="D321" s="58" t="s">
        <v>64</v>
      </c>
      <c r="E321" s="58" t="s">
        <v>24</v>
      </c>
      <c r="F321" s="58" t="s">
        <v>27</v>
      </c>
      <c r="G321" s="58" t="s">
        <v>27</v>
      </c>
      <c r="H321" s="58" t="s">
        <v>65</v>
      </c>
      <c r="I321" s="58" t="s">
        <v>66</v>
      </c>
      <c r="J321" s="58" t="s">
        <v>67</v>
      </c>
      <c r="K321" s="58" t="s">
        <v>68</v>
      </c>
      <c r="L321" s="58" t="s">
        <v>69</v>
      </c>
      <c r="M321" s="58" t="s">
        <v>61</v>
      </c>
      <c r="N321" s="58" t="s">
        <v>61</v>
      </c>
      <c r="O321" s="58" t="s">
        <v>17</v>
      </c>
      <c r="P321" s="57"/>
      <c r="Q321" s="58" t="s">
        <v>3</v>
      </c>
    </row>
    <row r="322" spans="1:17" ht="15" thickBot="1">
      <c r="A322" s="67" t="s">
        <v>21</v>
      </c>
      <c r="B322" s="89" t="s">
        <v>70</v>
      </c>
      <c r="C322" s="67" t="s">
        <v>71</v>
      </c>
      <c r="D322" s="67" t="s">
        <v>71</v>
      </c>
      <c r="E322" s="67" t="s">
        <v>53</v>
      </c>
      <c r="F322" s="67" t="s">
        <v>72</v>
      </c>
      <c r="G322" s="67" t="s">
        <v>73</v>
      </c>
      <c r="H322" s="67" t="s">
        <v>72</v>
      </c>
      <c r="I322" s="67" t="s">
        <v>51</v>
      </c>
      <c r="J322" s="67" t="s">
        <v>24</v>
      </c>
      <c r="K322" s="67" t="s">
        <v>74</v>
      </c>
      <c r="L322" s="67" t="s">
        <v>75</v>
      </c>
      <c r="M322" s="67" t="s">
        <v>76</v>
      </c>
      <c r="N322" s="67" t="s">
        <v>77</v>
      </c>
      <c r="O322" s="67" t="s">
        <v>78</v>
      </c>
      <c r="P322" s="57"/>
      <c r="Q322" s="58" t="s">
        <v>3</v>
      </c>
    </row>
    <row r="323" spans="1:17" ht="14.25">
      <c r="A323" s="64">
        <v>1</v>
      </c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8" t="s">
        <v>3</v>
      </c>
    </row>
    <row r="324" spans="1:17" ht="14.25">
      <c r="A324" s="64">
        <v>2</v>
      </c>
      <c r="P324" s="57"/>
      <c r="Q324" s="58" t="s">
        <v>3</v>
      </c>
    </row>
    <row r="325" spans="1:17" ht="14.25">
      <c r="A325" s="64">
        <v>3</v>
      </c>
      <c r="B325" s="90" t="s">
        <v>79</v>
      </c>
      <c r="P325" s="57"/>
      <c r="Q325" s="58" t="s">
        <v>3</v>
      </c>
    </row>
    <row r="326" spans="1:17" ht="14.25">
      <c r="A326" s="64">
        <v>4</v>
      </c>
      <c r="B326" s="118"/>
      <c r="C326" s="91"/>
      <c r="D326" s="91"/>
      <c r="E326" s="107"/>
      <c r="F326" s="71"/>
      <c r="G326" s="71"/>
      <c r="H326" s="64"/>
      <c r="I326" s="107"/>
      <c r="J326" s="107"/>
      <c r="K326" s="70"/>
      <c r="L326" s="108"/>
      <c r="M326" s="107"/>
      <c r="N326" s="108"/>
      <c r="O326" s="107"/>
      <c r="P326" s="57"/>
      <c r="Q326" s="58" t="s">
        <v>3</v>
      </c>
    </row>
    <row r="327" spans="1:17" ht="14.25">
      <c r="A327" s="64">
        <v>5</v>
      </c>
      <c r="B327" s="118" t="str">
        <f>+'Cap Struct WPs'!B11</f>
        <v>Series 6.87%</v>
      </c>
      <c r="C327" s="91">
        <v>36980</v>
      </c>
      <c r="D327" s="91">
        <f>DATE(11,3,29)</f>
        <v>4106</v>
      </c>
      <c r="E327" s="74">
        <f>'Cap Struct WPs'!Z11</f>
        <v>9300000</v>
      </c>
      <c r="F327" s="71">
        <f>'Cap Struct WPs'!C11</f>
        <v>0.0687</v>
      </c>
      <c r="G327" s="71">
        <f aca="true" t="shared" si="0" ref="G327:G335">IF(E327=0,0,ROUND((E327*F327+K327)/E327,5))</f>
        <v>0.07542</v>
      </c>
      <c r="H327" s="64" t="s">
        <v>80</v>
      </c>
      <c r="I327" s="74">
        <f aca="true" t="shared" si="1" ref="I327:I335">ROUND(G327*E327,0)</f>
        <v>701406</v>
      </c>
      <c r="J327" s="74">
        <f aca="true" t="shared" si="2" ref="J327:J334">E327</f>
        <v>9300000</v>
      </c>
      <c r="K327" s="75">
        <f>SUM('Cap Struct WPs'!O109:Z109)</f>
        <v>62496</v>
      </c>
      <c r="L327" s="93">
        <v>0</v>
      </c>
      <c r="M327" s="75">
        <f>'Cap Struct WPs'!Z60</f>
        <v>145814</v>
      </c>
      <c r="N327" s="93">
        <v>0</v>
      </c>
      <c r="O327" s="75">
        <f aca="true" t="shared" si="3" ref="O327:O335">E327+L327-M327+N327</f>
        <v>9154186</v>
      </c>
      <c r="P327" s="57"/>
      <c r="Q327" s="58" t="s">
        <v>3</v>
      </c>
    </row>
    <row r="328" spans="1:17" ht="14.25">
      <c r="A328" s="64">
        <v>6</v>
      </c>
      <c r="B328" s="118" t="str">
        <f>+'Cap Struct WPs'!B12</f>
        <v>    Series 6.96%</v>
      </c>
      <c r="C328" s="91">
        <v>34304</v>
      </c>
      <c r="D328" s="91">
        <f>DATE(23,12,1)</f>
        <v>8736</v>
      </c>
      <c r="E328" s="74">
        <f>'Cap Struct WPs'!Z12</f>
        <v>7000000</v>
      </c>
      <c r="F328" s="71">
        <f>'Cap Struct WPs'!C12</f>
        <v>0.0696</v>
      </c>
      <c r="G328" s="71">
        <f t="shared" si="0"/>
        <v>0.07007</v>
      </c>
      <c r="H328" s="64" t="s">
        <v>80</v>
      </c>
      <c r="I328" s="74">
        <f t="shared" si="1"/>
        <v>490490</v>
      </c>
      <c r="J328" s="74">
        <f t="shared" si="2"/>
        <v>7000000</v>
      </c>
      <c r="K328" s="75">
        <f>SUM('Cap Struct WPs'!O110:Z110)+SUM('Cap Struct WPs'!O118:Z118)</f>
        <v>3264</v>
      </c>
      <c r="L328" s="93">
        <v>0</v>
      </c>
      <c r="M328" s="75">
        <f>'Cap Struct WPs'!Z61+'Cap Struct WPs'!Z69</f>
        <v>48955</v>
      </c>
      <c r="N328" s="93">
        <v>0</v>
      </c>
      <c r="O328" s="75">
        <f t="shared" si="3"/>
        <v>6951045</v>
      </c>
      <c r="P328" s="57"/>
      <c r="Q328" s="58" t="s">
        <v>3</v>
      </c>
    </row>
    <row r="329" spans="1:17" ht="14.25">
      <c r="A329" s="64">
        <v>7</v>
      </c>
      <c r="B329" s="118" t="str">
        <f>+'Cap Struct WPs'!B13</f>
        <v>    Series 7.15%</v>
      </c>
      <c r="C329" s="91">
        <v>35475</v>
      </c>
      <c r="D329" s="91">
        <f>DATE(27,2,1)</f>
        <v>9894</v>
      </c>
      <c r="E329" s="74">
        <f>'Cap Struct WPs'!Z13</f>
        <v>7500000</v>
      </c>
      <c r="F329" s="71">
        <f>'Cap Struct WPs'!C13</f>
        <v>0.0715</v>
      </c>
      <c r="G329" s="71">
        <f t="shared" si="0"/>
        <v>0.07182</v>
      </c>
      <c r="H329" s="64" t="s">
        <v>80</v>
      </c>
      <c r="I329" s="74">
        <f t="shared" si="1"/>
        <v>538650</v>
      </c>
      <c r="J329" s="74">
        <f t="shared" si="2"/>
        <v>7500000</v>
      </c>
      <c r="K329" s="75">
        <f>SUM('Cap Struct WPs'!O111:Z111)</f>
        <v>2424</v>
      </c>
      <c r="L329" s="93">
        <v>0</v>
      </c>
      <c r="M329" s="75">
        <f>'Cap Struct WPs'!Z62</f>
        <v>44138</v>
      </c>
      <c r="N329" s="93">
        <v>0</v>
      </c>
      <c r="O329" s="75">
        <f t="shared" si="3"/>
        <v>7455862</v>
      </c>
      <c r="P329" s="57"/>
      <c r="Q329" s="58" t="s">
        <v>3</v>
      </c>
    </row>
    <row r="330" spans="1:17" ht="14.25">
      <c r="A330" s="64">
        <v>8</v>
      </c>
      <c r="B330" s="118" t="str">
        <f>+'Cap Struct WPs'!B14</f>
        <v>    Series 6.99%</v>
      </c>
      <c r="C330" s="91">
        <v>36039</v>
      </c>
      <c r="D330" s="91">
        <f>DATE(28,6,1)</f>
        <v>10380</v>
      </c>
      <c r="E330" s="74">
        <f>'Cap Struct WPs'!Z14</f>
        <v>9000000</v>
      </c>
      <c r="F330" s="71">
        <f>'Cap Struct WPs'!C14</f>
        <v>0.0699</v>
      </c>
      <c r="G330" s="71">
        <f t="shared" si="0"/>
        <v>0.07026</v>
      </c>
      <c r="H330" s="64" t="s">
        <v>80</v>
      </c>
      <c r="I330" s="74">
        <f t="shared" si="1"/>
        <v>632340</v>
      </c>
      <c r="J330" s="74">
        <f t="shared" si="2"/>
        <v>9000000</v>
      </c>
      <c r="K330" s="75">
        <f>SUM('Cap Struct WPs'!O112:Z112)</f>
        <v>3264</v>
      </c>
      <c r="L330" s="93">
        <v>0</v>
      </c>
      <c r="M330" s="75">
        <f>'Cap Struct WPs'!Z63</f>
        <v>63607</v>
      </c>
      <c r="N330" s="93">
        <v>0</v>
      </c>
      <c r="O330" s="75">
        <f t="shared" si="3"/>
        <v>8936393</v>
      </c>
      <c r="P330" s="57"/>
      <c r="Q330" s="58" t="s">
        <v>3</v>
      </c>
    </row>
    <row r="331" spans="1:17" ht="14.25">
      <c r="A331" s="64">
        <v>9</v>
      </c>
      <c r="B331" s="118" t="str">
        <f>+'Cap Struct WPs'!B15</f>
        <v>    Series 5.65%</v>
      </c>
      <c r="C331" s="125">
        <v>37419</v>
      </c>
      <c r="D331" s="125">
        <v>39245</v>
      </c>
      <c r="E331" s="74">
        <f>'Cap Struct WPs'!Z15</f>
        <v>0</v>
      </c>
      <c r="F331" s="71">
        <f>'Cap Struct WPs'!C15</f>
        <v>0.0565</v>
      </c>
      <c r="G331" s="71">
        <f t="shared" si="0"/>
        <v>0</v>
      </c>
      <c r="H331" s="64" t="s">
        <v>80</v>
      </c>
      <c r="I331" s="74">
        <f t="shared" si="1"/>
        <v>0</v>
      </c>
      <c r="J331" s="74">
        <f t="shared" si="2"/>
        <v>0</v>
      </c>
      <c r="K331" s="75">
        <f>SUM('Cap Struct WPs'!O113:Z113)</f>
        <v>0</v>
      </c>
      <c r="L331" s="93">
        <v>0</v>
      </c>
      <c r="M331" s="75">
        <f>'Cap Struct WPs'!Z64</f>
        <v>0</v>
      </c>
      <c r="N331" s="93">
        <v>0</v>
      </c>
      <c r="O331" s="75">
        <f t="shared" si="3"/>
        <v>0</v>
      </c>
      <c r="P331" s="57"/>
      <c r="Q331" s="58" t="s">
        <v>3</v>
      </c>
    </row>
    <row r="332" spans="1:17" ht="14.25">
      <c r="A332" s="64">
        <v>10</v>
      </c>
      <c r="B332" s="118" t="str">
        <f>+'Cap Struct WPs'!B16</f>
        <v>    Series 4.75%</v>
      </c>
      <c r="C332" s="125">
        <v>38047</v>
      </c>
      <c r="D332" s="125">
        <v>41699</v>
      </c>
      <c r="E332" s="74">
        <f>'Cap Struct WPs'!Z16</f>
        <v>14000000</v>
      </c>
      <c r="F332" s="71">
        <f>'Cap Struct WPs'!C16</f>
        <v>0.0475</v>
      </c>
      <c r="G332" s="71">
        <f t="shared" si="0"/>
        <v>0.0475</v>
      </c>
      <c r="H332" s="64" t="s">
        <v>80</v>
      </c>
      <c r="I332" s="74">
        <f t="shared" si="1"/>
        <v>665000</v>
      </c>
      <c r="J332" s="74">
        <f t="shared" si="2"/>
        <v>14000000</v>
      </c>
      <c r="K332" s="75">
        <f>SUM('Cap Struct WPs'!O114:Z114)</f>
        <v>0</v>
      </c>
      <c r="L332" s="93">
        <v>0</v>
      </c>
      <c r="M332" s="75">
        <f>'Cap Struct WPs'!Z65</f>
        <v>0</v>
      </c>
      <c r="N332" s="93">
        <v>0</v>
      </c>
      <c r="O332" s="75">
        <f t="shared" si="3"/>
        <v>14000000</v>
      </c>
      <c r="P332" s="57"/>
      <c r="Q332" s="58" t="s">
        <v>3</v>
      </c>
    </row>
    <row r="333" spans="1:17" ht="14.25">
      <c r="A333" s="64">
        <v>11</v>
      </c>
      <c r="B333" s="118" t="str">
        <f>+'Cap Struct WPs'!B17</f>
        <v>    Proposed 5.81%</v>
      </c>
      <c r="C333" s="91">
        <v>39356</v>
      </c>
      <c r="D333" s="91">
        <v>43009</v>
      </c>
      <c r="E333" s="74">
        <f>'Cap Struct WPs'!Z17</f>
        <v>50000000</v>
      </c>
      <c r="F333" s="71">
        <f>'Cap Struct WPs'!C17</f>
        <v>0.0581</v>
      </c>
      <c r="G333" s="71">
        <f t="shared" si="0"/>
        <v>0.062</v>
      </c>
      <c r="H333" s="64" t="s">
        <v>80</v>
      </c>
      <c r="I333" s="74">
        <f t="shared" si="1"/>
        <v>3100000</v>
      </c>
      <c r="J333" s="74">
        <f t="shared" si="2"/>
        <v>50000000</v>
      </c>
      <c r="K333" s="75">
        <f>SUM('Cap Struct WPs'!O115:Z115)</f>
        <v>195000</v>
      </c>
      <c r="L333" s="93">
        <v>0</v>
      </c>
      <c r="M333" s="75">
        <f>'Cap Struct WPs'!Z66</f>
        <v>2288750</v>
      </c>
      <c r="N333" s="93">
        <v>0</v>
      </c>
      <c r="O333" s="75">
        <f t="shared" si="3"/>
        <v>47711250</v>
      </c>
      <c r="P333" s="57"/>
      <c r="Q333" s="58" t="s">
        <v>3</v>
      </c>
    </row>
    <row r="334" spans="1:17" ht="14.25">
      <c r="A334" s="64">
        <v>12</v>
      </c>
      <c r="B334" s="118" t="str">
        <f>+'Cap Struct WPs'!B18</f>
        <v>    Proposed 5.81%</v>
      </c>
      <c r="C334" s="91">
        <v>39508</v>
      </c>
      <c r="D334" s="91">
        <v>43160</v>
      </c>
      <c r="E334" s="74">
        <f>'Cap Struct WPs'!Z18</f>
        <v>10000000</v>
      </c>
      <c r="F334" s="71">
        <f>'Cap Struct WPs'!C18</f>
        <v>0.0581</v>
      </c>
      <c r="G334" s="71">
        <f t="shared" si="0"/>
        <v>0.06185</v>
      </c>
      <c r="H334" s="64" t="s">
        <v>80</v>
      </c>
      <c r="I334" s="74">
        <f t="shared" si="1"/>
        <v>618500</v>
      </c>
      <c r="J334" s="74">
        <f t="shared" si="2"/>
        <v>10000000</v>
      </c>
      <c r="K334" s="75">
        <f>SUM('Cap Struct WPs'!O116:Z116)</f>
        <v>37500</v>
      </c>
      <c r="L334" s="93">
        <v>0</v>
      </c>
      <c r="M334" s="75">
        <f>'Cap Struct WPs'!Z67</f>
        <v>466666.6666666665</v>
      </c>
      <c r="N334" s="93">
        <v>0</v>
      </c>
      <c r="O334" s="75">
        <f t="shared" si="3"/>
        <v>9533333.333333334</v>
      </c>
      <c r="P334" s="57"/>
      <c r="Q334" s="58" t="s">
        <v>3</v>
      </c>
    </row>
    <row r="335" spans="1:17" ht="14.25">
      <c r="A335" s="64">
        <v>13</v>
      </c>
      <c r="B335" s="118" t="str">
        <f>+'Cap Struct WPs'!B19</f>
        <v>    Proposed 5.81%</v>
      </c>
      <c r="C335" s="125">
        <v>39722</v>
      </c>
      <c r="D335" s="125">
        <v>43374</v>
      </c>
      <c r="E335" s="74">
        <f>'Cap Struct WPs'!Z19</f>
        <v>17000000</v>
      </c>
      <c r="F335" s="71">
        <f>'Cap Struct WPs'!C19</f>
        <v>0.0581</v>
      </c>
      <c r="G335" s="71">
        <f t="shared" si="0"/>
        <v>0.05903</v>
      </c>
      <c r="H335" s="64" t="s">
        <v>80</v>
      </c>
      <c r="I335" s="74">
        <f t="shared" si="1"/>
        <v>1003510</v>
      </c>
      <c r="J335" s="74">
        <f>+E335</f>
        <v>17000000</v>
      </c>
      <c r="K335" s="75">
        <f>SUM('Cap Struct WPs'!O117:Z117)</f>
        <v>15833.333333333334</v>
      </c>
      <c r="L335" s="93">
        <v>0</v>
      </c>
      <c r="M335" s="75">
        <f>'Cap Struct WPs'!Z68</f>
        <v>842083.3333333334</v>
      </c>
      <c r="O335" s="75">
        <f t="shared" si="3"/>
        <v>16157916.666666666</v>
      </c>
      <c r="P335" s="57"/>
      <c r="Q335" s="58" t="s">
        <v>3</v>
      </c>
    </row>
    <row r="336" spans="1:17" ht="14.25">
      <c r="A336" s="64">
        <v>14</v>
      </c>
      <c r="I336" s="74"/>
      <c r="P336" s="57"/>
      <c r="Q336" s="58" t="s">
        <v>3</v>
      </c>
    </row>
    <row r="337" spans="1:17" ht="14.25">
      <c r="A337" s="64">
        <v>15</v>
      </c>
      <c r="P337" s="57"/>
      <c r="Q337" s="58" t="s">
        <v>3</v>
      </c>
    </row>
    <row r="338" spans="1:17" ht="14.25">
      <c r="A338" s="64">
        <v>16</v>
      </c>
      <c r="E338" s="63"/>
      <c r="F338" s="71"/>
      <c r="G338" s="71"/>
      <c r="K338" s="63"/>
      <c r="L338" s="63"/>
      <c r="M338" s="63"/>
      <c r="N338" s="63"/>
      <c r="O338" s="63"/>
      <c r="P338" s="57"/>
      <c r="Q338" s="58" t="s">
        <v>3</v>
      </c>
    </row>
    <row r="339" spans="1:17" ht="14.25">
      <c r="A339" s="64">
        <v>17</v>
      </c>
      <c r="P339" s="57"/>
      <c r="Q339" s="58" t="s">
        <v>3</v>
      </c>
    </row>
    <row r="340" spans="1:17" ht="14.25">
      <c r="A340" s="64">
        <v>18</v>
      </c>
      <c r="P340" s="57"/>
      <c r="Q340" s="58" t="s">
        <v>3</v>
      </c>
    </row>
    <row r="341" spans="1:17" ht="14.25">
      <c r="A341" s="64">
        <v>19</v>
      </c>
      <c r="P341" s="57"/>
      <c r="Q341" s="58" t="s">
        <v>3</v>
      </c>
    </row>
    <row r="342" spans="1:17" ht="14.25">
      <c r="A342" s="64">
        <v>20</v>
      </c>
      <c r="P342" s="57"/>
      <c r="Q342" s="58" t="s">
        <v>3</v>
      </c>
    </row>
    <row r="343" spans="1:17" ht="14.25">
      <c r="A343" s="64">
        <v>21</v>
      </c>
      <c r="P343" s="57"/>
      <c r="Q343" s="58" t="s">
        <v>3</v>
      </c>
    </row>
    <row r="344" spans="1:17" ht="14.25">
      <c r="A344" s="64">
        <v>22</v>
      </c>
      <c r="B344" s="54"/>
      <c r="C344" s="64"/>
      <c r="D344" s="64"/>
      <c r="E344" s="76"/>
      <c r="F344" s="71"/>
      <c r="G344" s="71"/>
      <c r="H344" s="64"/>
      <c r="I344" s="76"/>
      <c r="J344" s="94"/>
      <c r="K344" s="94"/>
      <c r="L344" s="95"/>
      <c r="M344" s="94"/>
      <c r="N344" s="95"/>
      <c r="O344" s="94"/>
      <c r="P344" s="57"/>
      <c r="Q344" s="58" t="s">
        <v>3</v>
      </c>
    </row>
    <row r="345" spans="1:17" ht="14.25">
      <c r="A345" s="64">
        <v>23</v>
      </c>
      <c r="P345" s="57"/>
      <c r="Q345" s="58" t="s">
        <v>3</v>
      </c>
    </row>
    <row r="346" spans="1:17" ht="14.25">
      <c r="A346" s="64">
        <v>24</v>
      </c>
      <c r="P346" s="57"/>
      <c r="Q346" s="58" t="s">
        <v>3</v>
      </c>
    </row>
    <row r="347" spans="1:17" ht="14.25">
      <c r="A347" s="64">
        <v>25</v>
      </c>
      <c r="P347" s="57"/>
      <c r="Q347" s="58" t="s">
        <v>3</v>
      </c>
    </row>
    <row r="348" spans="1:17" ht="15" thickBot="1">
      <c r="A348" s="64">
        <v>26</v>
      </c>
      <c r="B348" s="96" t="s">
        <v>81</v>
      </c>
      <c r="C348" s="56"/>
      <c r="D348" s="56"/>
      <c r="E348" s="106">
        <f>SUM(E326:E346)</f>
        <v>123800000</v>
      </c>
      <c r="I348" s="106">
        <f aca="true" t="shared" si="4" ref="I348:O348">SUM(I326:I346)</f>
        <v>7749896</v>
      </c>
      <c r="J348" s="80">
        <f t="shared" si="4"/>
        <v>123800000</v>
      </c>
      <c r="K348" s="106">
        <f t="shared" si="4"/>
        <v>319781.3333333333</v>
      </c>
      <c r="L348" s="106">
        <f t="shared" si="4"/>
        <v>0</v>
      </c>
      <c r="M348" s="106">
        <f t="shared" si="4"/>
        <v>3900014</v>
      </c>
      <c r="N348" s="106">
        <f t="shared" si="4"/>
        <v>0</v>
      </c>
      <c r="O348" s="106">
        <f t="shared" si="4"/>
        <v>119899986</v>
      </c>
      <c r="P348" s="57"/>
      <c r="Q348" s="58" t="s">
        <v>3</v>
      </c>
    </row>
    <row r="349" spans="1:17" ht="15" thickTop="1">
      <c r="A349" s="64">
        <v>27</v>
      </c>
      <c r="E349" s="57"/>
      <c r="I349" s="57"/>
      <c r="J349" s="57"/>
      <c r="K349" s="57"/>
      <c r="L349" s="57"/>
      <c r="M349" s="57"/>
      <c r="N349" s="57"/>
      <c r="O349" s="57"/>
      <c r="P349" s="57"/>
      <c r="Q349" s="58" t="s">
        <v>3</v>
      </c>
    </row>
    <row r="350" spans="1:17" ht="14.25">
      <c r="A350" s="64">
        <v>28</v>
      </c>
      <c r="P350" s="57"/>
      <c r="Q350" s="58" t="s">
        <v>3</v>
      </c>
    </row>
    <row r="351" spans="1:17" ht="15" thickBot="1">
      <c r="A351" s="64">
        <v>29</v>
      </c>
      <c r="C351" s="97" t="s">
        <v>82</v>
      </c>
      <c r="E351" s="81">
        <f>ROUND(I348/O348,4)</f>
        <v>0.0646</v>
      </c>
      <c r="P351" s="57"/>
      <c r="Q351" s="58" t="s">
        <v>3</v>
      </c>
    </row>
    <row r="352" spans="1:17" ht="15" thickTop="1">
      <c r="A352" s="64">
        <v>30</v>
      </c>
      <c r="E352" s="57"/>
      <c r="P352" s="57"/>
      <c r="Q352" s="58" t="s">
        <v>3</v>
      </c>
    </row>
    <row r="353" spans="1:17" ht="14.25">
      <c r="A353" s="64">
        <v>31</v>
      </c>
      <c r="P353" s="57"/>
      <c r="Q353" s="58" t="s">
        <v>3</v>
      </c>
    </row>
    <row r="354" spans="1:17" ht="14.25">
      <c r="A354" s="64">
        <v>32</v>
      </c>
      <c r="P354" s="57"/>
      <c r="Q354" s="58" t="s">
        <v>3</v>
      </c>
    </row>
    <row r="355" spans="1:17" ht="14.25">
      <c r="A355" s="64">
        <v>33</v>
      </c>
      <c r="P355" s="57"/>
      <c r="Q355" s="58" t="s">
        <v>3</v>
      </c>
    </row>
    <row r="356" spans="1:17" ht="14.25">
      <c r="A356" s="64">
        <v>34</v>
      </c>
      <c r="P356" s="57"/>
      <c r="Q356" s="58" t="s">
        <v>3</v>
      </c>
    </row>
    <row r="357" spans="1:17" ht="14.25">
      <c r="A357" s="64">
        <v>35</v>
      </c>
      <c r="P357" s="57"/>
      <c r="Q357" s="58" t="s">
        <v>3</v>
      </c>
    </row>
    <row r="358" spans="1:17" ht="14.25">
      <c r="A358" s="64">
        <v>36</v>
      </c>
      <c r="P358" s="57"/>
      <c r="Q358" s="58" t="s">
        <v>3</v>
      </c>
    </row>
    <row r="359" spans="1:17" ht="14.25">
      <c r="A359" s="64">
        <v>37</v>
      </c>
      <c r="P359" s="57"/>
      <c r="Q359" s="58" t="s">
        <v>3</v>
      </c>
    </row>
    <row r="360" spans="1:17" ht="14.25">
      <c r="A360" s="64">
        <v>38</v>
      </c>
      <c r="P360" s="57"/>
      <c r="Q360" s="58" t="s">
        <v>3</v>
      </c>
    </row>
    <row r="361" spans="1:17" ht="14.25">
      <c r="A361" s="64">
        <v>39</v>
      </c>
      <c r="P361" s="57"/>
      <c r="Q361" s="58" t="s">
        <v>3</v>
      </c>
    </row>
    <row r="362" spans="1:17" ht="14.25">
      <c r="A362" s="64">
        <v>40</v>
      </c>
      <c r="P362" s="57"/>
      <c r="Q362" s="58" t="s">
        <v>3</v>
      </c>
    </row>
    <row r="363" spans="1:17" ht="14.25">
      <c r="A363" s="64">
        <v>41</v>
      </c>
      <c r="P363" s="57"/>
      <c r="Q363" s="58" t="s">
        <v>3</v>
      </c>
    </row>
    <row r="364" spans="1:17" ht="14.25">
      <c r="A364" s="64">
        <v>42</v>
      </c>
      <c r="P364" s="57"/>
      <c r="Q364" s="58" t="s">
        <v>3</v>
      </c>
    </row>
    <row r="365" spans="1:17" ht="14.25">
      <c r="A365" s="64">
        <v>43</v>
      </c>
      <c r="P365" s="57"/>
      <c r="Q365" s="58" t="s">
        <v>3</v>
      </c>
    </row>
    <row r="366" spans="1:17" ht="14.25">
      <c r="A366" s="64">
        <v>44</v>
      </c>
      <c r="P366" s="57"/>
      <c r="Q366" s="58" t="s">
        <v>3</v>
      </c>
    </row>
    <row r="367" spans="1:17" ht="14.25">
      <c r="A367" s="64">
        <v>45</v>
      </c>
      <c r="P367" s="57"/>
      <c r="Q367" s="58" t="s">
        <v>3</v>
      </c>
    </row>
    <row r="368" spans="1:17" ht="14.25">
      <c r="A368" s="64">
        <v>46</v>
      </c>
      <c r="P368" s="57"/>
      <c r="Q368" s="58" t="s">
        <v>3</v>
      </c>
    </row>
    <row r="369" spans="1:17" ht="14.25">
      <c r="A369" s="64">
        <v>47</v>
      </c>
      <c r="P369" s="57"/>
      <c r="Q369" s="58" t="s">
        <v>3</v>
      </c>
    </row>
    <row r="370" spans="1:17" ht="14.25">
      <c r="A370" s="64">
        <v>48</v>
      </c>
      <c r="P370" s="57"/>
      <c r="Q370" s="58" t="s">
        <v>3</v>
      </c>
    </row>
    <row r="371" spans="1:17" ht="14.25">
      <c r="A371" s="64">
        <v>49</v>
      </c>
      <c r="P371" s="57"/>
      <c r="Q371" s="58" t="s">
        <v>3</v>
      </c>
    </row>
    <row r="372" spans="1:17" ht="14.25">
      <c r="A372" s="64">
        <v>50</v>
      </c>
      <c r="P372" s="57"/>
      <c r="Q372" s="58" t="s">
        <v>3</v>
      </c>
    </row>
    <row r="373" spans="1:86" ht="15">
      <c r="A373" s="55" t="str">
        <f>A1</f>
        <v>KENTUCKY-AMERICAN WATER COMPANY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7"/>
      <c r="Q373" s="58" t="s">
        <v>3</v>
      </c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/>
      <c r="AK373" s="57"/>
      <c r="AL373" s="57"/>
      <c r="AM373" s="57"/>
      <c r="AN373" s="57"/>
      <c r="AO373" s="57"/>
      <c r="AP373" s="57"/>
      <c r="AQ373" s="57"/>
      <c r="AR373" s="57"/>
      <c r="AS373" s="57"/>
      <c r="AT373" s="57"/>
      <c r="AU373" s="57"/>
      <c r="AV373" s="57"/>
      <c r="AW373" s="57"/>
      <c r="AX373" s="57"/>
      <c r="AY373" s="57"/>
      <c r="AZ373" s="57"/>
      <c r="BA373" s="57"/>
      <c r="BB373" s="57"/>
      <c r="BC373" s="57"/>
      <c r="BD373" s="57"/>
      <c r="BE373" s="57"/>
      <c r="BF373" s="57"/>
      <c r="BG373" s="57"/>
      <c r="BH373" s="57"/>
      <c r="BI373" s="57"/>
      <c r="BJ373" s="57"/>
      <c r="BK373" s="57"/>
      <c r="BL373" s="57"/>
      <c r="BM373" s="57"/>
      <c r="BN373" s="57"/>
      <c r="BO373" s="57"/>
      <c r="BP373" s="57"/>
      <c r="BQ373" s="57"/>
      <c r="BR373" s="57"/>
      <c r="BS373" s="57"/>
      <c r="BT373" s="57"/>
      <c r="BU373" s="57"/>
      <c r="BV373" s="57"/>
      <c r="BW373" s="57"/>
      <c r="BX373" s="57"/>
      <c r="BY373" s="57"/>
      <c r="BZ373" s="57"/>
      <c r="CA373" s="57"/>
      <c r="CB373" s="57"/>
      <c r="CC373" s="57"/>
      <c r="CD373" s="57"/>
      <c r="CE373" s="57"/>
      <c r="CF373" s="57"/>
      <c r="CG373" s="57"/>
      <c r="CH373" s="57"/>
    </row>
    <row r="374" spans="1:17" ht="15">
      <c r="A374" s="55" t="e">
        <f>$A$2</f>
        <v>#REF!</v>
      </c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7"/>
      <c r="Q374" s="58" t="s">
        <v>3</v>
      </c>
    </row>
    <row r="375" spans="1:17" ht="15">
      <c r="A375" s="55" t="s">
        <v>58</v>
      </c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7"/>
      <c r="Q375" s="58" t="s">
        <v>3</v>
      </c>
    </row>
    <row r="376" spans="1:17" ht="15">
      <c r="A376" s="55" t="e">
        <f>A66</f>
        <v>#REF!</v>
      </c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7"/>
      <c r="Q376" s="58" t="s">
        <v>3</v>
      </c>
    </row>
    <row r="377" spans="1:17" ht="15">
      <c r="A377" s="60" t="str">
        <f>$A$67</f>
        <v>DATA: _X_ BASE PERIOD ___ FORECASTED PERIOD</v>
      </c>
      <c r="O377" s="61" t="s">
        <v>59</v>
      </c>
      <c r="P377" s="57"/>
      <c r="Q377" s="58" t="s">
        <v>3</v>
      </c>
    </row>
    <row r="378" spans="1:17" ht="15">
      <c r="A378" s="60" t="str">
        <f>A68</f>
        <v>DATE OF CAPITAL STRUCTURE:  AS OF END OF BASE PERIOD</v>
      </c>
      <c r="O378" s="61" t="s">
        <v>39</v>
      </c>
      <c r="P378" s="57"/>
      <c r="Q378" s="58" t="s">
        <v>3</v>
      </c>
    </row>
    <row r="379" spans="1:17" ht="15">
      <c r="A379" s="60" t="str">
        <f>$A$7</f>
        <v>TYPE OF FILING: _X_ ORIGINAL ___ UPDATED __ REVISED</v>
      </c>
      <c r="O379" s="61" t="e">
        <f>#REF!</f>
        <v>#REF!</v>
      </c>
      <c r="P379" s="57"/>
      <c r="Q379" s="58" t="s">
        <v>3</v>
      </c>
    </row>
    <row r="380" spans="1:17" ht="15">
      <c r="A380" s="60" t="str">
        <f>A318</f>
        <v>WORKPAPER REFERENCE NO(S).:  W/P-7</v>
      </c>
      <c r="O380" s="61" t="e">
        <f>#REF!</f>
        <v>#REF!</v>
      </c>
      <c r="P380" s="57"/>
      <c r="Q380" s="58" t="s">
        <v>3</v>
      </c>
    </row>
    <row r="381" spans="1:17" ht="14.25">
      <c r="A381" s="57"/>
      <c r="P381" s="57"/>
      <c r="Q381" s="58" t="s">
        <v>3</v>
      </c>
    </row>
    <row r="382" spans="1:17" ht="14.25">
      <c r="A382" s="65"/>
      <c r="B382" s="65"/>
      <c r="C382" s="65"/>
      <c r="D382" s="65"/>
      <c r="E382" s="65"/>
      <c r="F382" s="65"/>
      <c r="G382" s="65"/>
      <c r="H382" s="65"/>
      <c r="I382" s="65"/>
      <c r="J382" s="65"/>
      <c r="K382" s="64" t="s">
        <v>60</v>
      </c>
      <c r="L382" s="64" t="s">
        <v>61</v>
      </c>
      <c r="M382" s="65"/>
      <c r="N382" s="65"/>
      <c r="O382" s="65"/>
      <c r="P382" s="57"/>
      <c r="Q382" s="58" t="s">
        <v>3</v>
      </c>
    </row>
    <row r="383" spans="1:17" ht="14.25">
      <c r="A383" s="58" t="s">
        <v>15</v>
      </c>
      <c r="B383" s="56" t="s">
        <v>63</v>
      </c>
      <c r="C383" s="58" t="s">
        <v>52</v>
      </c>
      <c r="D383" s="58" t="s">
        <v>64</v>
      </c>
      <c r="E383" s="58" t="s">
        <v>24</v>
      </c>
      <c r="F383" s="58" t="s">
        <v>27</v>
      </c>
      <c r="G383" s="58" t="s">
        <v>27</v>
      </c>
      <c r="H383" s="58" t="s">
        <v>65</v>
      </c>
      <c r="I383" s="58" t="s">
        <v>66</v>
      </c>
      <c r="J383" s="58" t="s">
        <v>67</v>
      </c>
      <c r="K383" s="58" t="s">
        <v>68</v>
      </c>
      <c r="L383" s="58" t="s">
        <v>69</v>
      </c>
      <c r="M383" s="58" t="s">
        <v>61</v>
      </c>
      <c r="N383" s="58" t="s">
        <v>61</v>
      </c>
      <c r="O383" s="58" t="s">
        <v>17</v>
      </c>
      <c r="P383" s="57"/>
      <c r="Q383" s="58" t="s">
        <v>3</v>
      </c>
    </row>
    <row r="384" spans="1:17" ht="15" thickBot="1">
      <c r="A384" s="67" t="s">
        <v>21</v>
      </c>
      <c r="B384" s="89" t="s">
        <v>70</v>
      </c>
      <c r="C384" s="67" t="s">
        <v>71</v>
      </c>
      <c r="D384" s="67" t="s">
        <v>71</v>
      </c>
      <c r="E384" s="67" t="s">
        <v>53</v>
      </c>
      <c r="F384" s="67" t="s">
        <v>72</v>
      </c>
      <c r="G384" s="67" t="s">
        <v>73</v>
      </c>
      <c r="H384" s="67" t="s">
        <v>72</v>
      </c>
      <c r="I384" s="67" t="s">
        <v>51</v>
      </c>
      <c r="J384" s="67" t="s">
        <v>24</v>
      </c>
      <c r="K384" s="67" t="s">
        <v>74</v>
      </c>
      <c r="L384" s="67" t="s">
        <v>75</v>
      </c>
      <c r="M384" s="67" t="s">
        <v>76</v>
      </c>
      <c r="N384" s="67" t="s">
        <v>77</v>
      </c>
      <c r="O384" s="67" t="s">
        <v>78</v>
      </c>
      <c r="P384" s="57"/>
      <c r="Q384" s="58" t="s">
        <v>3</v>
      </c>
    </row>
    <row r="385" spans="1:17" ht="14.25">
      <c r="A385" s="64">
        <v>1</v>
      </c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8" t="s">
        <v>3</v>
      </c>
    </row>
    <row r="386" spans="1:17" ht="14.25">
      <c r="A386" s="64">
        <v>2</v>
      </c>
      <c r="P386" s="57"/>
      <c r="Q386" s="58" t="s">
        <v>3</v>
      </c>
    </row>
    <row r="387" spans="1:17" ht="14.25">
      <c r="A387" s="64">
        <v>3</v>
      </c>
      <c r="B387" s="90" t="s">
        <v>79</v>
      </c>
      <c r="E387" s="107"/>
      <c r="P387" s="57"/>
      <c r="Q387" s="58" t="s">
        <v>3</v>
      </c>
    </row>
    <row r="388" spans="1:17" ht="14.25">
      <c r="A388" s="64">
        <v>4</v>
      </c>
      <c r="B388" s="118">
        <f aca="true" t="shared" si="5" ref="B388:B397">B326</f>
        <v>0</v>
      </c>
      <c r="C388" s="98">
        <f aca="true" t="shared" si="6" ref="C388:D397">C326</f>
        <v>0</v>
      </c>
      <c r="D388" s="98">
        <f t="shared" si="6"/>
        <v>0</v>
      </c>
      <c r="E388" s="107">
        <f>'Cap Struct WPs'!J10</f>
        <v>0</v>
      </c>
      <c r="F388" s="71">
        <f>'Cap Struct WPs'!C10</f>
        <v>0</v>
      </c>
      <c r="G388" s="71">
        <f aca="true" t="shared" si="7" ref="G388:G396">IF(E388=0,0,ROUND((E388*F388+K388)/E388,5))</f>
        <v>0</v>
      </c>
      <c r="H388" s="64" t="s">
        <v>80</v>
      </c>
      <c r="I388" s="107">
        <f aca="true" t="shared" si="8" ref="I388:I396">ROUND(G388*E388,0)</f>
        <v>0</v>
      </c>
      <c r="J388" s="107">
        <f aca="true" t="shared" si="9" ref="J388:J396">E388</f>
        <v>0</v>
      </c>
      <c r="K388" s="107">
        <f>ROUND('Cap Struct WPs'!J108*12,0)</f>
        <v>0</v>
      </c>
      <c r="L388" s="108">
        <v>0</v>
      </c>
      <c r="M388" s="70">
        <f>'Cap Struct WPs'!J59</f>
        <v>0</v>
      </c>
      <c r="N388" s="92">
        <v>0</v>
      </c>
      <c r="O388" s="107">
        <f aca="true" t="shared" si="10" ref="O388:O396">E388+L388-M388+N388</f>
        <v>0</v>
      </c>
      <c r="P388" s="57"/>
      <c r="Q388" s="58" t="s">
        <v>3</v>
      </c>
    </row>
    <row r="389" spans="1:17" ht="14.25">
      <c r="A389" s="64">
        <v>5</v>
      </c>
      <c r="B389" s="118" t="str">
        <f t="shared" si="5"/>
        <v>Series 6.87%</v>
      </c>
      <c r="C389" s="98">
        <f t="shared" si="6"/>
        <v>36980</v>
      </c>
      <c r="D389" s="98">
        <f t="shared" si="6"/>
        <v>4106</v>
      </c>
      <c r="E389" s="74">
        <f>'Cap Struct WPs'!J11</f>
        <v>12400000</v>
      </c>
      <c r="F389" s="71">
        <f>'Cap Struct WPs'!C11</f>
        <v>0.0687</v>
      </c>
      <c r="G389" s="71">
        <f t="shared" si="7"/>
        <v>0.07374</v>
      </c>
      <c r="H389" s="64" t="s">
        <v>80</v>
      </c>
      <c r="I389" s="74">
        <f t="shared" si="8"/>
        <v>914376</v>
      </c>
      <c r="J389" s="74">
        <f t="shared" si="9"/>
        <v>12400000</v>
      </c>
      <c r="K389" s="74">
        <f>ROUND('Cap Struct WPs'!J109*12,0)</f>
        <v>62496</v>
      </c>
      <c r="L389" s="99">
        <v>0</v>
      </c>
      <c r="M389" s="74">
        <f>'Cap Struct WPs'!J60</f>
        <v>229142</v>
      </c>
      <c r="N389" s="93">
        <v>0</v>
      </c>
      <c r="O389" s="75">
        <f t="shared" si="10"/>
        <v>12170858</v>
      </c>
      <c r="P389" s="57"/>
      <c r="Q389" s="58" t="s">
        <v>3</v>
      </c>
    </row>
    <row r="390" spans="1:17" ht="14.25">
      <c r="A390" s="64">
        <v>6</v>
      </c>
      <c r="B390" s="118" t="str">
        <f t="shared" si="5"/>
        <v>    Series 6.96%</v>
      </c>
      <c r="C390" s="98">
        <f t="shared" si="6"/>
        <v>34304</v>
      </c>
      <c r="D390" s="98">
        <f t="shared" si="6"/>
        <v>8736</v>
      </c>
      <c r="E390" s="74">
        <f>'Cap Struct WPs'!J12</f>
        <v>7000000</v>
      </c>
      <c r="F390" s="71">
        <f>'Cap Struct WPs'!C12</f>
        <v>0.0696</v>
      </c>
      <c r="G390" s="71">
        <f t="shared" si="7"/>
        <v>0.07007</v>
      </c>
      <c r="H390" s="64" t="s">
        <v>80</v>
      </c>
      <c r="I390" s="74">
        <f t="shared" si="8"/>
        <v>490490</v>
      </c>
      <c r="J390" s="74">
        <f t="shared" si="9"/>
        <v>7000000</v>
      </c>
      <c r="K390" s="74">
        <f>ROUND(('Cap Struct WPs'!J110+'Cap Struct WPs'!J118)*12,0)</f>
        <v>3264</v>
      </c>
      <c r="L390" s="99">
        <v>0</v>
      </c>
      <c r="M390" s="74">
        <f>'Cap Struct WPs'!J61+'Cap Struct WPs'!J69</f>
        <v>53307</v>
      </c>
      <c r="N390" s="93">
        <v>0</v>
      </c>
      <c r="O390" s="75">
        <f t="shared" si="10"/>
        <v>6946693</v>
      </c>
      <c r="P390" s="57"/>
      <c r="Q390" s="58" t="s">
        <v>3</v>
      </c>
    </row>
    <row r="391" spans="1:17" ht="14.25">
      <c r="A391" s="64">
        <v>7</v>
      </c>
      <c r="B391" s="119" t="str">
        <f t="shared" si="5"/>
        <v>    Series 7.15%</v>
      </c>
      <c r="C391" s="98">
        <f t="shared" si="6"/>
        <v>35475</v>
      </c>
      <c r="D391" s="98">
        <f t="shared" si="6"/>
        <v>9894</v>
      </c>
      <c r="E391" s="74">
        <f>'Cap Struct WPs'!J13</f>
        <v>7500000</v>
      </c>
      <c r="F391" s="71">
        <f>'Cap Struct WPs'!C13</f>
        <v>0.0715</v>
      </c>
      <c r="G391" s="71">
        <f t="shared" si="7"/>
        <v>0.07182</v>
      </c>
      <c r="H391" s="64" t="s">
        <v>80</v>
      </c>
      <c r="I391" s="74">
        <f t="shared" si="8"/>
        <v>538650</v>
      </c>
      <c r="J391" s="74">
        <f t="shared" si="9"/>
        <v>7500000</v>
      </c>
      <c r="K391" s="74">
        <f>ROUND('Cap Struct WPs'!J111*12,0)</f>
        <v>2424</v>
      </c>
      <c r="L391" s="99">
        <v>0</v>
      </c>
      <c r="M391" s="74">
        <f>'Cap Struct WPs'!J62</f>
        <v>47370</v>
      </c>
      <c r="N391" s="93">
        <v>0</v>
      </c>
      <c r="O391" s="75">
        <f t="shared" si="10"/>
        <v>7452630</v>
      </c>
      <c r="P391" s="57"/>
      <c r="Q391" s="58" t="s">
        <v>3</v>
      </c>
    </row>
    <row r="392" spans="1:17" ht="14.25">
      <c r="A392" s="64">
        <v>8</v>
      </c>
      <c r="B392" s="119" t="str">
        <f t="shared" si="5"/>
        <v>    Series 6.99%</v>
      </c>
      <c r="C392" s="98">
        <f t="shared" si="6"/>
        <v>36039</v>
      </c>
      <c r="D392" s="98">
        <f t="shared" si="6"/>
        <v>10380</v>
      </c>
      <c r="E392" s="74">
        <f>'Cap Struct WPs'!J14</f>
        <v>9000000</v>
      </c>
      <c r="F392" s="71">
        <f>'Cap Struct WPs'!C14</f>
        <v>0.0699</v>
      </c>
      <c r="G392" s="71">
        <f t="shared" si="7"/>
        <v>0.07026</v>
      </c>
      <c r="H392" s="64" t="s">
        <v>80</v>
      </c>
      <c r="I392" s="74">
        <f t="shared" si="8"/>
        <v>632340</v>
      </c>
      <c r="J392" s="74">
        <f t="shared" si="9"/>
        <v>9000000</v>
      </c>
      <c r="K392" s="74">
        <f>ROUND('Cap Struct WPs'!J112*12,0)</f>
        <v>3264</v>
      </c>
      <c r="L392" s="99">
        <v>0</v>
      </c>
      <c r="M392" s="74">
        <f>'Cap Struct WPs'!J63</f>
        <v>67959</v>
      </c>
      <c r="N392" s="93">
        <v>0</v>
      </c>
      <c r="O392" s="75">
        <f t="shared" si="10"/>
        <v>8932041</v>
      </c>
      <c r="P392" s="57"/>
      <c r="Q392" s="58" t="s">
        <v>3</v>
      </c>
    </row>
    <row r="393" spans="1:17" ht="14.25">
      <c r="A393" s="64">
        <v>9</v>
      </c>
      <c r="B393" s="119" t="str">
        <f t="shared" si="5"/>
        <v>    Series 5.65%</v>
      </c>
      <c r="C393" s="98">
        <f>C331</f>
        <v>37419</v>
      </c>
      <c r="D393" s="98">
        <f>D331</f>
        <v>39245</v>
      </c>
      <c r="E393" s="74">
        <f>'Cap Struct WPs'!J15</f>
        <v>0</v>
      </c>
      <c r="F393" s="71">
        <f>'Cap Struct WPs'!C15</f>
        <v>0.0565</v>
      </c>
      <c r="G393" s="71">
        <f>IF(E393=0,0,ROUND((E393*F393+K393)/E393,5))</f>
        <v>0</v>
      </c>
      <c r="H393" s="64" t="s">
        <v>80</v>
      </c>
      <c r="I393" s="74">
        <f>ROUND(G393*E393,0)</f>
        <v>0</v>
      </c>
      <c r="J393" s="74">
        <f>E393</f>
        <v>0</v>
      </c>
      <c r="K393" s="74">
        <f>ROUND('Cap Struct WPs'!J113*12,0)</f>
        <v>0</v>
      </c>
      <c r="L393" s="99">
        <v>0</v>
      </c>
      <c r="M393" s="74">
        <f>'Cap Struct WPs'!J64</f>
        <v>0</v>
      </c>
      <c r="N393" s="93">
        <v>0</v>
      </c>
      <c r="O393" s="75">
        <f>E393+L393-M393+N393</f>
        <v>0</v>
      </c>
      <c r="P393" s="57"/>
      <c r="Q393" s="58" t="s">
        <v>3</v>
      </c>
    </row>
    <row r="394" spans="1:17" ht="14.25">
      <c r="A394" s="64">
        <v>10</v>
      </c>
      <c r="B394" s="119" t="str">
        <f t="shared" si="5"/>
        <v>    Series 4.75%</v>
      </c>
      <c r="C394" s="98">
        <f>C332</f>
        <v>38047</v>
      </c>
      <c r="D394" s="98">
        <f>D332</f>
        <v>41699</v>
      </c>
      <c r="E394" s="74">
        <f>'Cap Struct WPs'!J16</f>
        <v>14000000</v>
      </c>
      <c r="F394" s="71">
        <f>'Cap Struct WPs'!C16</f>
        <v>0.0475</v>
      </c>
      <c r="G394" s="71">
        <f>IF(E394=0,0,ROUND((E394*F394+K394)/E394,5))</f>
        <v>0.0475</v>
      </c>
      <c r="H394" s="64" t="s">
        <v>80</v>
      </c>
      <c r="I394" s="74">
        <f>ROUND(G394*E394,0)</f>
        <v>665000</v>
      </c>
      <c r="J394" s="74">
        <f>E394</f>
        <v>14000000</v>
      </c>
      <c r="K394" s="74">
        <f>ROUND('Cap Struct WPs'!J114*12,0)</f>
        <v>0</v>
      </c>
      <c r="L394" s="99">
        <v>0</v>
      </c>
      <c r="M394" s="74">
        <f>'Cap Struct WPs'!J65</f>
        <v>0</v>
      </c>
      <c r="N394" s="93">
        <v>0</v>
      </c>
      <c r="O394" s="75">
        <f>E394+L394-M394+N394</f>
        <v>14000000</v>
      </c>
      <c r="P394" s="57"/>
      <c r="Q394" s="58" t="s">
        <v>3</v>
      </c>
    </row>
    <row r="395" spans="1:17" ht="14.25">
      <c r="A395" s="64">
        <v>11</v>
      </c>
      <c r="B395" s="119" t="str">
        <f t="shared" si="5"/>
        <v>    Proposed 5.81%</v>
      </c>
      <c r="C395" s="98">
        <f t="shared" si="6"/>
        <v>39356</v>
      </c>
      <c r="D395" s="98">
        <f t="shared" si="6"/>
        <v>43009</v>
      </c>
      <c r="E395" s="74">
        <f>'Cap Struct WPs'!J17</f>
        <v>0</v>
      </c>
      <c r="F395" s="71">
        <f>'Cap Struct WPs'!C17</f>
        <v>0.0581</v>
      </c>
      <c r="G395" s="71">
        <f>IF(E395=0,0,ROUND((E395*F395+K395)/E395,5))</f>
        <v>0</v>
      </c>
      <c r="H395" s="64" t="s">
        <v>80</v>
      </c>
      <c r="I395" s="74">
        <f>ROUND(G395*E395,0)</f>
        <v>0</v>
      </c>
      <c r="J395" s="74">
        <f>E395</f>
        <v>0</v>
      </c>
      <c r="K395" s="74">
        <f>ROUND('Cap Struct WPs'!J115*12,0)</f>
        <v>0</v>
      </c>
      <c r="L395" s="99">
        <v>0</v>
      </c>
      <c r="M395" s="74">
        <f>'Cap Struct WPs'!J66</f>
        <v>0</v>
      </c>
      <c r="N395" s="93">
        <v>0</v>
      </c>
      <c r="O395" s="75">
        <f>E395+L395-M395+N395</f>
        <v>0</v>
      </c>
      <c r="P395" s="57"/>
      <c r="Q395" s="58"/>
    </row>
    <row r="396" spans="1:17" ht="14.25">
      <c r="A396" s="64">
        <v>12</v>
      </c>
      <c r="B396" s="126" t="str">
        <f t="shared" si="5"/>
        <v>    Proposed 5.81%</v>
      </c>
      <c r="C396" s="98">
        <f>C334</f>
        <v>39508</v>
      </c>
      <c r="D396" s="98">
        <f>D334</f>
        <v>43160</v>
      </c>
      <c r="E396" s="74">
        <f>'Cap Struct WPs'!J18</f>
        <v>0</v>
      </c>
      <c r="F396" s="71">
        <f>'Cap Struct WPs'!C18</f>
        <v>0.0581</v>
      </c>
      <c r="G396" s="71">
        <f t="shared" si="7"/>
        <v>0</v>
      </c>
      <c r="H396" s="64" t="s">
        <v>80</v>
      </c>
      <c r="I396" s="74">
        <f t="shared" si="8"/>
        <v>0</v>
      </c>
      <c r="J396" s="74">
        <f t="shared" si="9"/>
        <v>0</v>
      </c>
      <c r="K396" s="74">
        <f>ROUND('Cap Struct WPs'!J116*12,0)</f>
        <v>0</v>
      </c>
      <c r="L396" s="99">
        <v>0</v>
      </c>
      <c r="M396" s="74">
        <f>'Cap Struct WPs'!J67</f>
        <v>0</v>
      </c>
      <c r="N396" s="93">
        <v>0</v>
      </c>
      <c r="O396" s="75">
        <f t="shared" si="10"/>
        <v>0</v>
      </c>
      <c r="P396" s="57"/>
      <c r="Q396" s="58" t="s">
        <v>3</v>
      </c>
    </row>
    <row r="397" spans="1:17" ht="14.25">
      <c r="A397" s="64">
        <v>13</v>
      </c>
      <c r="B397" s="119" t="str">
        <f t="shared" si="5"/>
        <v>    Proposed 5.81%</v>
      </c>
      <c r="C397" s="98">
        <f t="shared" si="6"/>
        <v>39722</v>
      </c>
      <c r="D397" s="98">
        <f t="shared" si="6"/>
        <v>43374</v>
      </c>
      <c r="E397" s="74">
        <f>'Cap Struct WPs'!J19</f>
        <v>0</v>
      </c>
      <c r="F397" s="71">
        <f>'Cap Struct WPs'!C19</f>
        <v>0.0581</v>
      </c>
      <c r="G397" s="71">
        <f>IF(E397=0,0,ROUND((E397*F397+K397)/E397,5))</f>
        <v>0</v>
      </c>
      <c r="H397" s="64" t="s">
        <v>80</v>
      </c>
      <c r="I397" s="74">
        <f>ROUND(G397*E397,0)</f>
        <v>0</v>
      </c>
      <c r="J397" s="74">
        <f>E397</f>
        <v>0</v>
      </c>
      <c r="K397" s="74">
        <f>ROUND('Cap Struct WPs'!J117*12,0)</f>
        <v>0</v>
      </c>
      <c r="L397" s="99">
        <v>0</v>
      </c>
      <c r="M397" s="74">
        <f>'Cap Struct WPs'!J68</f>
        <v>0</v>
      </c>
      <c r="N397" s="93">
        <v>0</v>
      </c>
      <c r="O397" s="75">
        <f>E397+L397-M397+N397</f>
        <v>0</v>
      </c>
      <c r="P397" s="57"/>
      <c r="Q397" s="58" t="s">
        <v>3</v>
      </c>
    </row>
    <row r="398" spans="1:17" ht="14.25">
      <c r="A398" s="64">
        <v>14</v>
      </c>
      <c r="P398" s="57"/>
      <c r="Q398" s="58" t="s">
        <v>3</v>
      </c>
    </row>
    <row r="399" spans="1:17" ht="14.25">
      <c r="A399" s="64">
        <v>15</v>
      </c>
      <c r="P399" s="57"/>
      <c r="Q399" s="58" t="s">
        <v>3</v>
      </c>
    </row>
    <row r="400" spans="1:17" ht="14.25">
      <c r="A400" s="64">
        <v>16</v>
      </c>
      <c r="C400" s="100"/>
      <c r="D400" s="100"/>
      <c r="E400" s="63"/>
      <c r="F400" s="71"/>
      <c r="G400" s="71"/>
      <c r="H400" s="63"/>
      <c r="K400" s="63"/>
      <c r="L400" s="63"/>
      <c r="M400" s="63"/>
      <c r="N400" s="63"/>
      <c r="O400" s="63"/>
      <c r="P400" s="57"/>
      <c r="Q400" s="58" t="s">
        <v>3</v>
      </c>
    </row>
    <row r="401" spans="1:17" ht="14.25">
      <c r="A401" s="64">
        <v>17</v>
      </c>
      <c r="I401" s="66"/>
      <c r="P401" s="57"/>
      <c r="Q401" s="58" t="s">
        <v>3</v>
      </c>
    </row>
    <row r="402" spans="1:17" ht="14.25">
      <c r="A402" s="64">
        <v>18</v>
      </c>
      <c r="P402" s="57"/>
      <c r="Q402" s="58" t="s">
        <v>3</v>
      </c>
    </row>
    <row r="403" spans="1:17" ht="14.25">
      <c r="A403" s="64">
        <v>19</v>
      </c>
      <c r="P403" s="57"/>
      <c r="Q403" s="58" t="s">
        <v>3</v>
      </c>
    </row>
    <row r="404" spans="1:17" ht="14.25">
      <c r="A404" s="64">
        <v>20</v>
      </c>
      <c r="P404" s="57"/>
      <c r="Q404" s="58" t="s">
        <v>3</v>
      </c>
    </row>
    <row r="405" spans="1:17" ht="14.25">
      <c r="A405" s="64">
        <v>21</v>
      </c>
      <c r="P405" s="57"/>
      <c r="Q405" s="58" t="s">
        <v>3</v>
      </c>
    </row>
    <row r="406" spans="1:17" ht="14.25">
      <c r="A406" s="64">
        <v>22</v>
      </c>
      <c r="B406" s="54"/>
      <c r="C406" s="64"/>
      <c r="D406" s="64"/>
      <c r="E406" s="76"/>
      <c r="F406" s="71"/>
      <c r="G406" s="71"/>
      <c r="H406" s="64"/>
      <c r="I406" s="76"/>
      <c r="J406" s="76"/>
      <c r="K406" s="94"/>
      <c r="L406" s="95"/>
      <c r="M406" s="94"/>
      <c r="N406" s="95"/>
      <c r="O406" s="94"/>
      <c r="P406" s="57"/>
      <c r="Q406" s="58"/>
    </row>
    <row r="407" spans="1:17" ht="14.25">
      <c r="A407" s="64">
        <v>23</v>
      </c>
      <c r="P407" s="57"/>
      <c r="Q407" s="58" t="s">
        <v>3</v>
      </c>
    </row>
    <row r="408" spans="1:17" ht="14.25">
      <c r="A408" s="64">
        <v>24</v>
      </c>
      <c r="P408" s="57"/>
      <c r="Q408" s="58" t="s">
        <v>3</v>
      </c>
    </row>
    <row r="409" spans="1:17" ht="14.25">
      <c r="A409" s="64">
        <v>25</v>
      </c>
      <c r="P409" s="57"/>
      <c r="Q409" s="58" t="s">
        <v>3</v>
      </c>
    </row>
    <row r="410" spans="1:17" ht="15" thickBot="1">
      <c r="A410" s="64">
        <v>26</v>
      </c>
      <c r="B410" s="101" t="s">
        <v>81</v>
      </c>
      <c r="C410" s="56"/>
      <c r="D410" s="56"/>
      <c r="E410" s="106">
        <f>SUM(E388:E408)</f>
        <v>49900000</v>
      </c>
      <c r="I410" s="106">
        <f aca="true" t="shared" si="11" ref="I410:O410">SUM(I388:I408)</f>
        <v>3240856</v>
      </c>
      <c r="J410" s="106">
        <f t="shared" si="11"/>
        <v>49900000</v>
      </c>
      <c r="K410" s="106">
        <f t="shared" si="11"/>
        <v>71448</v>
      </c>
      <c r="L410" s="106">
        <f t="shared" si="11"/>
        <v>0</v>
      </c>
      <c r="M410" s="106">
        <f t="shared" si="11"/>
        <v>397778</v>
      </c>
      <c r="N410" s="106">
        <f t="shared" si="11"/>
        <v>0</v>
      </c>
      <c r="O410" s="106">
        <f t="shared" si="11"/>
        <v>49502222</v>
      </c>
      <c r="P410" s="57"/>
      <c r="Q410" s="58" t="s">
        <v>3</v>
      </c>
    </row>
    <row r="411" spans="1:17" ht="15" thickTop="1">
      <c r="A411" s="64">
        <v>27</v>
      </c>
      <c r="E411" s="127"/>
      <c r="I411" s="57"/>
      <c r="J411" s="57"/>
      <c r="K411" s="57"/>
      <c r="L411" s="57"/>
      <c r="M411" s="57"/>
      <c r="N411" s="57"/>
      <c r="O411" s="57"/>
      <c r="P411" s="57"/>
      <c r="Q411" s="58" t="s">
        <v>3</v>
      </c>
    </row>
    <row r="412" spans="1:17" ht="14.25">
      <c r="A412" s="64">
        <v>28</v>
      </c>
      <c r="J412" s="107"/>
      <c r="O412" s="107"/>
      <c r="P412" s="57"/>
      <c r="Q412" s="58" t="s">
        <v>3</v>
      </c>
    </row>
    <row r="413" spans="1:17" ht="15" thickBot="1">
      <c r="A413" s="64">
        <v>29</v>
      </c>
      <c r="C413" s="97" t="s">
        <v>82</v>
      </c>
      <c r="E413" s="81">
        <f>ROUND(I410/O410,4)</f>
        <v>0.0655</v>
      </c>
      <c r="P413" s="57"/>
      <c r="Q413" s="58" t="s">
        <v>3</v>
      </c>
    </row>
    <row r="414" spans="1:17" ht="15" thickTop="1">
      <c r="A414" s="64">
        <v>30</v>
      </c>
      <c r="E414" s="57"/>
      <c r="P414" s="57"/>
      <c r="Q414" s="58" t="s">
        <v>3</v>
      </c>
    </row>
    <row r="415" spans="1:17" ht="14.25">
      <c r="A415" s="64">
        <v>31</v>
      </c>
      <c r="P415" s="57"/>
      <c r="Q415" s="58" t="s">
        <v>3</v>
      </c>
    </row>
    <row r="416" spans="1:17" ht="14.25">
      <c r="A416" s="64">
        <v>32</v>
      </c>
      <c r="P416" s="57"/>
      <c r="Q416" s="58" t="s">
        <v>3</v>
      </c>
    </row>
    <row r="417" spans="1:17" ht="14.25">
      <c r="A417" s="64">
        <v>33</v>
      </c>
      <c r="P417" s="57"/>
      <c r="Q417" s="58" t="s">
        <v>3</v>
      </c>
    </row>
    <row r="418" spans="1:17" ht="14.25">
      <c r="A418" s="64">
        <v>34</v>
      </c>
      <c r="P418" s="57"/>
      <c r="Q418" s="58" t="s">
        <v>3</v>
      </c>
    </row>
    <row r="419" spans="1:17" ht="14.25">
      <c r="A419" s="64">
        <v>35</v>
      </c>
      <c r="P419" s="57"/>
      <c r="Q419" s="58" t="s">
        <v>3</v>
      </c>
    </row>
    <row r="420" spans="1:17" ht="14.25">
      <c r="A420" s="64">
        <v>36</v>
      </c>
      <c r="P420" s="57"/>
      <c r="Q420" s="58" t="s">
        <v>3</v>
      </c>
    </row>
    <row r="421" spans="1:17" ht="14.25">
      <c r="A421" s="64">
        <v>37</v>
      </c>
      <c r="P421" s="57"/>
      <c r="Q421" s="58" t="s">
        <v>3</v>
      </c>
    </row>
    <row r="422" spans="1:17" ht="14.25">
      <c r="A422" s="64">
        <v>38</v>
      </c>
      <c r="P422" s="57"/>
      <c r="Q422" s="58" t="s">
        <v>3</v>
      </c>
    </row>
    <row r="423" spans="1:17" ht="14.25">
      <c r="A423" s="64">
        <v>39</v>
      </c>
      <c r="P423" s="57"/>
      <c r="Q423" s="58" t="s">
        <v>3</v>
      </c>
    </row>
    <row r="424" spans="1:17" ht="14.25">
      <c r="A424" s="64">
        <v>40</v>
      </c>
      <c r="P424" s="57"/>
      <c r="Q424" s="58" t="s">
        <v>3</v>
      </c>
    </row>
    <row r="425" spans="1:17" ht="14.25">
      <c r="A425" s="64">
        <v>41</v>
      </c>
      <c r="P425" s="57"/>
      <c r="Q425" s="58" t="s">
        <v>3</v>
      </c>
    </row>
    <row r="426" spans="1:17" ht="14.25">
      <c r="A426" s="64">
        <v>42</v>
      </c>
      <c r="P426" s="57"/>
      <c r="Q426" s="58" t="s">
        <v>3</v>
      </c>
    </row>
    <row r="427" spans="1:17" ht="14.25">
      <c r="A427" s="64">
        <v>43</v>
      </c>
      <c r="P427" s="57"/>
      <c r="Q427" s="58" t="s">
        <v>3</v>
      </c>
    </row>
    <row r="428" spans="1:17" ht="14.25">
      <c r="A428" s="64">
        <v>44</v>
      </c>
      <c r="P428" s="57"/>
      <c r="Q428" s="58" t="s">
        <v>3</v>
      </c>
    </row>
    <row r="429" spans="1:17" ht="14.25">
      <c r="A429" s="64">
        <v>45</v>
      </c>
      <c r="P429" s="57"/>
      <c r="Q429" s="58" t="s">
        <v>3</v>
      </c>
    </row>
    <row r="430" spans="1:17" ht="14.25">
      <c r="A430" s="64">
        <v>46</v>
      </c>
      <c r="P430" s="57"/>
      <c r="Q430" s="58" t="s">
        <v>3</v>
      </c>
    </row>
    <row r="431" spans="1:17" ht="14.25">
      <c r="A431" s="64">
        <v>47</v>
      </c>
      <c r="P431" s="57"/>
      <c r="Q431" s="58" t="s">
        <v>3</v>
      </c>
    </row>
    <row r="432" spans="1:17" ht="14.25">
      <c r="A432" s="64">
        <v>48</v>
      </c>
      <c r="P432" s="57"/>
      <c r="Q432" s="58" t="s">
        <v>3</v>
      </c>
    </row>
    <row r="433" spans="1:17" ht="14.25">
      <c r="A433" s="64">
        <v>49</v>
      </c>
      <c r="P433" s="57"/>
      <c r="Q433" s="58" t="s">
        <v>3</v>
      </c>
    </row>
    <row r="434" spans="1:17" ht="14.25">
      <c r="A434" s="64">
        <v>50</v>
      </c>
      <c r="P434" s="57"/>
      <c r="Q434" s="58" t="s">
        <v>3</v>
      </c>
    </row>
    <row r="435" spans="1:86" ht="15">
      <c r="A435" s="55" t="str">
        <f>A1</f>
        <v>KENTUCKY-AMERICAN WATER COMPANY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7"/>
      <c r="Q435" s="58" t="s">
        <v>3</v>
      </c>
      <c r="R435" s="57"/>
      <c r="S435" s="57"/>
      <c r="T435" s="57"/>
      <c r="U435" s="57"/>
      <c r="V435" s="57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/>
      <c r="AK435" s="57"/>
      <c r="AL435" s="57"/>
      <c r="AM435" s="57"/>
      <c r="AN435" s="57"/>
      <c r="AO435" s="57"/>
      <c r="AP435" s="57"/>
      <c r="AQ435" s="57"/>
      <c r="AR435" s="57"/>
      <c r="AS435" s="57"/>
      <c r="AT435" s="57"/>
      <c r="AU435" s="57"/>
      <c r="AV435" s="57"/>
      <c r="AW435" s="57"/>
      <c r="AX435" s="57"/>
      <c r="AY435" s="57"/>
      <c r="AZ435" s="57"/>
      <c r="BA435" s="57"/>
      <c r="BB435" s="57"/>
      <c r="BC435" s="57"/>
      <c r="BD435" s="57"/>
      <c r="BE435" s="57"/>
      <c r="BF435" s="57"/>
      <c r="BG435" s="57"/>
      <c r="BH435" s="57"/>
      <c r="BI435" s="57"/>
      <c r="BJ435" s="57"/>
      <c r="BK435" s="57"/>
      <c r="BL435" s="57"/>
      <c r="BM435" s="57"/>
      <c r="BN435" s="57"/>
      <c r="BO435" s="57"/>
      <c r="BP435" s="57"/>
      <c r="BQ435" s="57"/>
      <c r="BR435" s="57"/>
      <c r="BS435" s="57"/>
      <c r="BT435" s="57"/>
      <c r="BU435" s="57"/>
      <c r="BV435" s="57"/>
      <c r="BW435" s="57"/>
      <c r="BX435" s="57"/>
      <c r="BY435" s="57"/>
      <c r="BZ435" s="57"/>
      <c r="CA435" s="57"/>
      <c r="CB435" s="57"/>
      <c r="CC435" s="57"/>
      <c r="CD435" s="57"/>
      <c r="CE435" s="57"/>
      <c r="CF435" s="57"/>
      <c r="CG435" s="57"/>
      <c r="CH435" s="57"/>
    </row>
    <row r="436" spans="1:17" ht="15">
      <c r="A436" s="55" t="e">
        <f>$A$2</f>
        <v>#REF!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7"/>
      <c r="Q436" s="58" t="s">
        <v>3</v>
      </c>
    </row>
    <row r="437" spans="1:17" ht="15">
      <c r="A437" s="55" t="s">
        <v>83</v>
      </c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7"/>
      <c r="Q437" s="58" t="s">
        <v>3</v>
      </c>
    </row>
    <row r="438" spans="1:17" ht="15">
      <c r="A438" s="120" t="e">
        <f>$A$4</f>
        <v>#REF!</v>
      </c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7"/>
      <c r="Q438" s="58" t="s">
        <v>3</v>
      </c>
    </row>
    <row r="439" spans="1:17" ht="15">
      <c r="A439" s="60" t="str">
        <f>$A$5</f>
        <v>DATA: ___ BASE PERIOD _X_ FORECASTED PERIOD</v>
      </c>
      <c r="O439" s="61" t="s">
        <v>84</v>
      </c>
      <c r="P439" s="57"/>
      <c r="Q439" s="58" t="s">
        <v>3</v>
      </c>
    </row>
    <row r="440" spans="1:17" ht="15">
      <c r="A440" s="60" t="str">
        <f>A6</f>
        <v>DATE OF CAPITAL STRUCTURE:  END OF FORECASTED TEST YEAR</v>
      </c>
      <c r="O440" s="61" t="s">
        <v>8</v>
      </c>
      <c r="P440" s="57"/>
      <c r="Q440" s="58" t="s">
        <v>3</v>
      </c>
    </row>
    <row r="441" spans="1:17" ht="15">
      <c r="A441" s="60" t="str">
        <f>$A$7</f>
        <v>TYPE OF FILING: _X_ ORIGINAL ___ UPDATED __ REVISED</v>
      </c>
      <c r="O441" s="61" t="e">
        <f>#REF!</f>
        <v>#REF!</v>
      </c>
      <c r="P441" s="57"/>
      <c r="Q441" s="58" t="s">
        <v>3</v>
      </c>
    </row>
    <row r="442" spans="1:17" ht="15">
      <c r="A442" s="60" t="str">
        <f>A380</f>
        <v>WORKPAPER REFERENCE NO(S).:  W/P-7</v>
      </c>
      <c r="O442" s="61" t="e">
        <f>#REF!</f>
        <v>#REF!</v>
      </c>
      <c r="P442" s="57"/>
      <c r="Q442" s="58" t="s">
        <v>3</v>
      </c>
    </row>
    <row r="443" spans="1:17" ht="14.25">
      <c r="A443" s="57"/>
      <c r="P443" s="57"/>
      <c r="Q443" s="58" t="s">
        <v>3</v>
      </c>
    </row>
    <row r="444" spans="1:17" ht="14.25">
      <c r="A444" s="65"/>
      <c r="B444" s="65"/>
      <c r="C444" s="65"/>
      <c r="D444" s="65"/>
      <c r="E444" s="65"/>
      <c r="F444" s="65"/>
      <c r="G444" s="65"/>
      <c r="H444" s="64" t="s">
        <v>61</v>
      </c>
      <c r="I444" s="64" t="s">
        <v>85</v>
      </c>
      <c r="J444" s="65"/>
      <c r="K444" s="64" t="s">
        <v>60</v>
      </c>
      <c r="L444" s="65"/>
      <c r="M444" s="65"/>
      <c r="N444" s="65"/>
      <c r="O444" s="65"/>
      <c r="P444" s="57"/>
      <c r="Q444" s="58" t="s">
        <v>3</v>
      </c>
    </row>
    <row r="445" spans="1:17" ht="14.25">
      <c r="A445" s="64" t="s">
        <v>15</v>
      </c>
      <c r="C445" s="56" t="s">
        <v>86</v>
      </c>
      <c r="F445" s="58" t="s">
        <v>24</v>
      </c>
      <c r="G445" s="58" t="s">
        <v>87</v>
      </c>
      <c r="H445" s="58" t="s">
        <v>52</v>
      </c>
      <c r="I445" s="58" t="s">
        <v>88</v>
      </c>
      <c r="J445" s="58" t="s">
        <v>13</v>
      </c>
      <c r="K445" s="58" t="s">
        <v>68</v>
      </c>
      <c r="L445" s="58" t="s">
        <v>27</v>
      </c>
      <c r="M445" s="58" t="s">
        <v>27</v>
      </c>
      <c r="N445" s="58" t="s">
        <v>66</v>
      </c>
      <c r="P445" s="57"/>
      <c r="Q445" s="58" t="s">
        <v>3</v>
      </c>
    </row>
    <row r="446" spans="1:17" ht="15" thickBot="1">
      <c r="A446" s="67" t="s">
        <v>21</v>
      </c>
      <c r="B446" s="89"/>
      <c r="C446" s="67" t="s">
        <v>89</v>
      </c>
      <c r="D446" s="67"/>
      <c r="E446" s="67" t="s">
        <v>90</v>
      </c>
      <c r="F446" s="67" t="s">
        <v>53</v>
      </c>
      <c r="G446" s="67" t="s">
        <v>91</v>
      </c>
      <c r="H446" s="67" t="s">
        <v>74</v>
      </c>
      <c r="I446" s="67" t="s">
        <v>92</v>
      </c>
      <c r="J446" s="67" t="s">
        <v>93</v>
      </c>
      <c r="K446" s="67" t="s">
        <v>74</v>
      </c>
      <c r="L446" s="67" t="s">
        <v>72</v>
      </c>
      <c r="M446" s="67" t="s">
        <v>73</v>
      </c>
      <c r="N446" s="67" t="s">
        <v>94</v>
      </c>
      <c r="O446" s="67"/>
      <c r="P446" s="57"/>
      <c r="Q446" s="58" t="s">
        <v>3</v>
      </c>
    </row>
    <row r="447" spans="1:17" ht="14.25">
      <c r="A447" s="64">
        <v>1</v>
      </c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8" t="s">
        <v>3</v>
      </c>
    </row>
    <row r="448" spans="1:17" ht="14.25">
      <c r="A448" s="64">
        <v>2</v>
      </c>
      <c r="P448" s="57"/>
      <c r="Q448" s="58" t="s">
        <v>3</v>
      </c>
    </row>
    <row r="449" spans="1:17" ht="14.25">
      <c r="A449" s="64">
        <v>3</v>
      </c>
      <c r="C449" s="54"/>
      <c r="E449" s="91"/>
      <c r="F449" s="107"/>
      <c r="G449" s="108"/>
      <c r="H449" s="107"/>
      <c r="I449" s="108"/>
      <c r="J449" s="107"/>
      <c r="K449" s="107"/>
      <c r="L449" s="82"/>
      <c r="M449" s="71"/>
      <c r="N449" s="107"/>
      <c r="P449" s="57"/>
      <c r="Q449" s="58" t="s">
        <v>3</v>
      </c>
    </row>
    <row r="450" spans="1:17" ht="14.25">
      <c r="A450" s="64">
        <v>4</v>
      </c>
      <c r="C450" s="72"/>
      <c r="E450" s="102"/>
      <c r="G450" s="72"/>
      <c r="I450" s="72"/>
      <c r="L450" s="103"/>
      <c r="M450" s="73"/>
      <c r="P450" s="57"/>
      <c r="Q450" s="58" t="s">
        <v>3</v>
      </c>
    </row>
    <row r="451" spans="1:17" ht="14.25">
      <c r="A451" s="64">
        <v>5</v>
      </c>
      <c r="C451" s="54" t="s">
        <v>95</v>
      </c>
      <c r="E451" s="91">
        <v>21145</v>
      </c>
      <c r="F451" s="75">
        <f>'Cap Struct WPs'!Z207</f>
        <v>391800</v>
      </c>
      <c r="G451" s="93">
        <v>0</v>
      </c>
      <c r="H451" s="75">
        <f>'Cap Struct WPs'!Z254</f>
        <v>0</v>
      </c>
      <c r="I451" s="93">
        <v>0</v>
      </c>
      <c r="J451" s="74">
        <f>F451+G451-H451+I451</f>
        <v>391800</v>
      </c>
      <c r="K451" s="74">
        <f>SUM('Cap Struct WPs'!O305:Z305)</f>
        <v>0</v>
      </c>
      <c r="L451" s="82">
        <v>0.0575</v>
      </c>
      <c r="M451" s="71">
        <f>ROUND((L451*F451+K451)/J451,5)</f>
        <v>0.0575</v>
      </c>
      <c r="N451" s="74">
        <f>ROUND(M451*J451,0)</f>
        <v>22529</v>
      </c>
      <c r="P451" s="57"/>
      <c r="Q451" s="58" t="s">
        <v>3</v>
      </c>
    </row>
    <row r="452" spans="1:17" ht="14.25">
      <c r="A452" s="64">
        <v>6</v>
      </c>
      <c r="C452" s="72"/>
      <c r="E452" s="102"/>
      <c r="F452" s="74"/>
      <c r="G452" s="99"/>
      <c r="H452" s="74"/>
      <c r="I452" s="99"/>
      <c r="J452" s="74"/>
      <c r="K452" s="74"/>
      <c r="L452" s="103"/>
      <c r="M452" s="73"/>
      <c r="N452" s="74"/>
      <c r="P452" s="57"/>
      <c r="Q452" s="58" t="s">
        <v>3</v>
      </c>
    </row>
    <row r="453" spans="1:17" ht="14.25">
      <c r="A453" s="64">
        <v>7</v>
      </c>
      <c r="C453" s="54" t="s">
        <v>96</v>
      </c>
      <c r="E453" s="91">
        <v>23337</v>
      </c>
      <c r="F453" s="75">
        <f>'Cap Struct WPs'!Z209</f>
        <v>488300</v>
      </c>
      <c r="G453" s="93">
        <v>0</v>
      </c>
      <c r="H453" s="75">
        <f>'Cap Struct WPs'!Z256</f>
        <v>0</v>
      </c>
      <c r="I453" s="93">
        <v>0</v>
      </c>
      <c r="J453" s="74">
        <f>F453+G453-H453+I453</f>
        <v>488300</v>
      </c>
      <c r="K453" s="74">
        <f>SUM('Cap Struct WPs'!O307:Z307)</f>
        <v>0</v>
      </c>
      <c r="L453" s="82">
        <v>0.055</v>
      </c>
      <c r="M453" s="71">
        <f>ROUND((L453*F453+K453)/J453,5)</f>
        <v>0.055</v>
      </c>
      <c r="N453" s="74">
        <f>ROUND(M453*J453,0)</f>
        <v>26857</v>
      </c>
      <c r="P453" s="57"/>
      <c r="Q453" s="58" t="s">
        <v>3</v>
      </c>
    </row>
    <row r="454" spans="1:17" ht="14.25">
      <c r="A454" s="64">
        <v>8</v>
      </c>
      <c r="C454" s="72"/>
      <c r="E454" s="102"/>
      <c r="F454" s="74"/>
      <c r="G454" s="99"/>
      <c r="H454" s="74"/>
      <c r="I454" s="99"/>
      <c r="J454" s="74"/>
      <c r="K454" s="74"/>
      <c r="L454" s="103"/>
      <c r="M454" s="73"/>
      <c r="N454" s="74"/>
      <c r="P454" s="57"/>
      <c r="Q454" s="58" t="s">
        <v>3</v>
      </c>
    </row>
    <row r="455" spans="1:17" ht="14.25">
      <c r="A455" s="64">
        <v>9</v>
      </c>
      <c r="C455" s="54" t="s">
        <v>97</v>
      </c>
      <c r="E455" s="91">
        <v>23141</v>
      </c>
      <c r="F455" s="75">
        <f>'Cap Struct WPs'!Z211</f>
        <v>586600</v>
      </c>
      <c r="G455" s="93">
        <v>0</v>
      </c>
      <c r="H455" s="75">
        <f>'Cap Struct WPs'!Z258</f>
        <v>0</v>
      </c>
      <c r="I455" s="93">
        <v>0</v>
      </c>
      <c r="J455" s="74">
        <f>F455+G455-H455+I455</f>
        <v>586600</v>
      </c>
      <c r="K455" s="74">
        <f>SUM('Cap Struct WPs'!O309:Z309)</f>
        <v>0</v>
      </c>
      <c r="L455" s="82">
        <v>0.05</v>
      </c>
      <c r="M455" s="71">
        <f>ROUND((L455*F455+K455)/J455,5)</f>
        <v>0.05</v>
      </c>
      <c r="N455" s="74">
        <f>ROUND(M455*J455,0)</f>
        <v>29330</v>
      </c>
      <c r="P455" s="57"/>
      <c r="Q455" s="58" t="s">
        <v>3</v>
      </c>
    </row>
    <row r="456" spans="1:17" ht="14.25">
      <c r="A456" s="64">
        <v>10</v>
      </c>
      <c r="C456" s="72"/>
      <c r="E456" s="102"/>
      <c r="F456" s="74"/>
      <c r="G456" s="99"/>
      <c r="H456" s="74"/>
      <c r="I456" s="99"/>
      <c r="J456" s="74"/>
      <c r="K456" s="74"/>
      <c r="L456" s="103"/>
      <c r="M456" s="73"/>
      <c r="N456" s="74"/>
      <c r="P456" s="57"/>
      <c r="Q456" s="58" t="s">
        <v>3</v>
      </c>
    </row>
    <row r="457" spans="1:17" ht="14.25">
      <c r="A457" s="64">
        <v>11</v>
      </c>
      <c r="C457" s="54"/>
      <c r="E457" s="91"/>
      <c r="F457" s="75"/>
      <c r="G457" s="93"/>
      <c r="H457" s="75"/>
      <c r="I457" s="93"/>
      <c r="J457" s="74"/>
      <c r="K457" s="74"/>
      <c r="L457" s="82"/>
      <c r="M457" s="71"/>
      <c r="N457" s="74"/>
      <c r="P457" s="57"/>
      <c r="Q457" s="58" t="s">
        <v>3</v>
      </c>
    </row>
    <row r="458" spans="1:17" ht="14.25">
      <c r="A458" s="64">
        <v>12</v>
      </c>
      <c r="C458" s="72"/>
      <c r="E458" s="102"/>
      <c r="F458" s="74"/>
      <c r="G458" s="99"/>
      <c r="H458" s="74"/>
      <c r="I458" s="99"/>
      <c r="J458" s="74"/>
      <c r="K458" s="74"/>
      <c r="L458" s="103"/>
      <c r="M458" s="73"/>
      <c r="N458" s="74"/>
      <c r="P458" s="57"/>
      <c r="Q458" s="58" t="s">
        <v>3</v>
      </c>
    </row>
    <row r="459" spans="1:17" ht="14.25">
      <c r="A459" s="64">
        <v>13</v>
      </c>
      <c r="C459" s="54" t="s">
        <v>98</v>
      </c>
      <c r="E459" s="91">
        <f>DATE(92,1,24)</f>
        <v>33627</v>
      </c>
      <c r="F459" s="94">
        <f>'Cap Struct WPs'!Z215</f>
        <v>4500000</v>
      </c>
      <c r="G459" s="95">
        <v>0</v>
      </c>
      <c r="H459" s="94">
        <f>'Cap Struct WPs'!Z262</f>
        <v>21590</v>
      </c>
      <c r="I459" s="95">
        <v>0</v>
      </c>
      <c r="J459" s="76">
        <f>F459+G459-H459+I459</f>
        <v>4478410</v>
      </c>
      <c r="K459" s="76">
        <f>SUM('Cap Struct WPs'!O313:Z313)</f>
        <v>768</v>
      </c>
      <c r="L459" s="82">
        <v>0.0847</v>
      </c>
      <c r="M459" s="71">
        <f>ROUND((L459*F459+K459)/J459,5)</f>
        <v>0.08528</v>
      </c>
      <c r="N459" s="76">
        <f>ROUND(M459*J459,0)</f>
        <v>381919</v>
      </c>
      <c r="P459" s="57"/>
      <c r="Q459" s="58" t="s">
        <v>3</v>
      </c>
    </row>
    <row r="460" spans="1:17" ht="14.25">
      <c r="A460" s="64">
        <v>14</v>
      </c>
      <c r="H460" s="70"/>
      <c r="P460" s="57"/>
      <c r="Q460" s="58" t="s">
        <v>3</v>
      </c>
    </row>
    <row r="461" spans="1:17" ht="14.25">
      <c r="A461" s="64">
        <v>15</v>
      </c>
      <c r="P461" s="57"/>
      <c r="Q461" s="58" t="s">
        <v>3</v>
      </c>
    </row>
    <row r="462" spans="1:17" ht="14.25">
      <c r="A462" s="64">
        <v>16</v>
      </c>
      <c r="P462" s="57"/>
      <c r="Q462" s="58" t="s">
        <v>3</v>
      </c>
    </row>
    <row r="463" spans="1:17" ht="14.25">
      <c r="A463" s="64">
        <v>17</v>
      </c>
      <c r="P463" s="57"/>
      <c r="Q463" s="58" t="s">
        <v>3</v>
      </c>
    </row>
    <row r="464" spans="1:17" ht="15" thickBot="1">
      <c r="A464" s="64">
        <v>18</v>
      </c>
      <c r="C464" s="104" t="s">
        <v>99</v>
      </c>
      <c r="F464" s="106">
        <f aca="true" t="shared" si="12" ref="F464:K464">SUM(F449:F462)</f>
        <v>5966700</v>
      </c>
      <c r="G464" s="106">
        <f t="shared" si="12"/>
        <v>0</v>
      </c>
      <c r="H464" s="106">
        <f t="shared" si="12"/>
        <v>21590</v>
      </c>
      <c r="I464" s="106">
        <f t="shared" si="12"/>
        <v>0</v>
      </c>
      <c r="J464" s="106">
        <f t="shared" si="12"/>
        <v>5945110</v>
      </c>
      <c r="K464" s="106">
        <f t="shared" si="12"/>
        <v>768</v>
      </c>
      <c r="N464" s="106">
        <f>SUM(N449:N462)</f>
        <v>460635</v>
      </c>
      <c r="P464" s="57"/>
      <c r="Q464" s="58" t="s">
        <v>3</v>
      </c>
    </row>
    <row r="465" spans="1:17" ht="15" thickTop="1">
      <c r="A465" s="64">
        <v>19</v>
      </c>
      <c r="F465" s="57"/>
      <c r="G465" s="57"/>
      <c r="H465" s="57"/>
      <c r="I465" s="57"/>
      <c r="J465" s="57"/>
      <c r="K465" s="57"/>
      <c r="N465" s="57"/>
      <c r="P465" s="57"/>
      <c r="Q465" s="58" t="s">
        <v>3</v>
      </c>
    </row>
    <row r="466" spans="1:17" ht="14.25">
      <c r="A466" s="64">
        <v>20</v>
      </c>
      <c r="P466" s="57"/>
      <c r="Q466" s="58" t="s">
        <v>3</v>
      </c>
    </row>
    <row r="467" spans="1:17" ht="15" thickBot="1">
      <c r="A467" s="64">
        <v>21</v>
      </c>
      <c r="D467" s="97" t="s">
        <v>82</v>
      </c>
      <c r="F467" s="81">
        <f>ROUND(N464/J464,4)</f>
        <v>0.0775</v>
      </c>
      <c r="P467" s="57"/>
      <c r="Q467" s="58" t="s">
        <v>3</v>
      </c>
    </row>
    <row r="468" spans="1:17" ht="15" thickTop="1">
      <c r="A468" s="64">
        <v>22</v>
      </c>
      <c r="F468" s="57"/>
      <c r="P468" s="57"/>
      <c r="Q468" s="58" t="s">
        <v>3</v>
      </c>
    </row>
    <row r="469" spans="1:17" ht="14.25">
      <c r="A469" s="64">
        <v>23</v>
      </c>
      <c r="P469" s="57"/>
      <c r="Q469" s="58" t="s">
        <v>3</v>
      </c>
    </row>
    <row r="470" spans="1:17" ht="14.25">
      <c r="A470" s="64">
        <v>24</v>
      </c>
      <c r="P470" s="57"/>
      <c r="Q470" s="58" t="s">
        <v>3</v>
      </c>
    </row>
    <row r="471" spans="1:17" ht="14.25">
      <c r="A471" s="64">
        <v>25</v>
      </c>
      <c r="P471" s="57"/>
      <c r="Q471" s="58" t="s">
        <v>3</v>
      </c>
    </row>
    <row r="472" spans="1:17" ht="14.25">
      <c r="A472" s="64">
        <v>26</v>
      </c>
      <c r="P472" s="57"/>
      <c r="Q472" s="58" t="s">
        <v>3</v>
      </c>
    </row>
    <row r="473" spans="1:17" ht="14.25">
      <c r="A473" s="64">
        <v>27</v>
      </c>
      <c r="P473" s="57"/>
      <c r="Q473" s="58" t="s">
        <v>3</v>
      </c>
    </row>
    <row r="474" spans="1:17" ht="14.25">
      <c r="A474" s="64">
        <v>28</v>
      </c>
      <c r="P474" s="57"/>
      <c r="Q474" s="58" t="s">
        <v>3</v>
      </c>
    </row>
    <row r="475" spans="1:17" ht="14.25">
      <c r="A475" s="64">
        <v>29</v>
      </c>
      <c r="P475" s="57"/>
      <c r="Q475" s="58" t="s">
        <v>3</v>
      </c>
    </row>
    <row r="476" spans="1:17" ht="14.25">
      <c r="A476" s="64">
        <v>30</v>
      </c>
      <c r="P476" s="57"/>
      <c r="Q476" s="58" t="s">
        <v>3</v>
      </c>
    </row>
    <row r="477" spans="1:17" ht="14.25">
      <c r="A477" s="64">
        <v>31</v>
      </c>
      <c r="P477" s="57"/>
      <c r="Q477" s="58" t="s">
        <v>3</v>
      </c>
    </row>
    <row r="478" spans="1:17" ht="14.25">
      <c r="A478" s="64">
        <v>32</v>
      </c>
      <c r="P478" s="57"/>
      <c r="Q478" s="58" t="s">
        <v>3</v>
      </c>
    </row>
    <row r="479" spans="1:17" ht="14.25">
      <c r="A479" s="64">
        <v>33</v>
      </c>
      <c r="P479" s="57"/>
      <c r="Q479" s="58" t="s">
        <v>3</v>
      </c>
    </row>
    <row r="480" spans="1:17" ht="14.25">
      <c r="A480" s="64">
        <v>34</v>
      </c>
      <c r="P480" s="57"/>
      <c r="Q480" s="58" t="s">
        <v>3</v>
      </c>
    </row>
    <row r="481" spans="1:17" ht="14.25">
      <c r="A481" s="64">
        <v>35</v>
      </c>
      <c r="P481" s="57"/>
      <c r="Q481" s="58" t="s">
        <v>3</v>
      </c>
    </row>
    <row r="482" spans="1:17" ht="14.25">
      <c r="A482" s="64">
        <v>36</v>
      </c>
      <c r="P482" s="57"/>
      <c r="Q482" s="58" t="s">
        <v>3</v>
      </c>
    </row>
    <row r="483" spans="1:17" ht="14.25">
      <c r="A483" s="64">
        <v>37</v>
      </c>
      <c r="P483" s="57"/>
      <c r="Q483" s="58" t="s">
        <v>3</v>
      </c>
    </row>
    <row r="484" spans="1:17" ht="14.25">
      <c r="A484" s="64">
        <v>38</v>
      </c>
      <c r="P484" s="57"/>
      <c r="Q484" s="58" t="s">
        <v>3</v>
      </c>
    </row>
    <row r="485" spans="1:17" ht="14.25">
      <c r="A485" s="64">
        <v>39</v>
      </c>
      <c r="P485" s="57"/>
      <c r="Q485" s="58" t="s">
        <v>3</v>
      </c>
    </row>
    <row r="486" spans="1:17" ht="14.25">
      <c r="A486" s="64">
        <v>40</v>
      </c>
      <c r="P486" s="57"/>
      <c r="Q486" s="58" t="s">
        <v>3</v>
      </c>
    </row>
    <row r="487" spans="1:17" ht="14.25">
      <c r="A487" s="64">
        <v>41</v>
      </c>
      <c r="P487" s="57"/>
      <c r="Q487" s="58" t="s">
        <v>3</v>
      </c>
    </row>
    <row r="488" spans="1:17" ht="14.25">
      <c r="A488" s="64">
        <v>42</v>
      </c>
      <c r="P488" s="57"/>
      <c r="Q488" s="58" t="s">
        <v>3</v>
      </c>
    </row>
    <row r="489" spans="1:17" ht="14.25">
      <c r="A489" s="64">
        <v>43</v>
      </c>
      <c r="P489" s="57"/>
      <c r="Q489" s="58" t="s">
        <v>3</v>
      </c>
    </row>
    <row r="490" spans="1:17" ht="14.25">
      <c r="A490" s="64">
        <v>44</v>
      </c>
      <c r="P490" s="57"/>
      <c r="Q490" s="58" t="s">
        <v>3</v>
      </c>
    </row>
    <row r="491" spans="1:17" ht="14.25">
      <c r="A491" s="64">
        <v>45</v>
      </c>
      <c r="P491" s="57"/>
      <c r="Q491" s="58" t="s">
        <v>3</v>
      </c>
    </row>
    <row r="492" spans="1:17" ht="14.25">
      <c r="A492" s="64">
        <v>46</v>
      </c>
      <c r="P492" s="57"/>
      <c r="Q492" s="58" t="s">
        <v>3</v>
      </c>
    </row>
    <row r="493" spans="1:17" ht="14.25">
      <c r="A493" s="64">
        <v>47</v>
      </c>
      <c r="P493" s="57"/>
      <c r="Q493" s="58" t="s">
        <v>3</v>
      </c>
    </row>
    <row r="494" spans="1:17" ht="14.25">
      <c r="A494" s="64">
        <v>48</v>
      </c>
      <c r="P494" s="57"/>
      <c r="Q494" s="58" t="s">
        <v>3</v>
      </c>
    </row>
    <row r="495" spans="1:17" ht="14.25">
      <c r="A495" s="64">
        <v>49</v>
      </c>
      <c r="P495" s="57"/>
      <c r="Q495" s="58" t="s">
        <v>3</v>
      </c>
    </row>
    <row r="496" spans="1:17" ht="14.25">
      <c r="A496" s="64">
        <v>50</v>
      </c>
      <c r="P496" s="57"/>
      <c r="Q496" s="58" t="s">
        <v>3</v>
      </c>
    </row>
    <row r="497" spans="1:86" ht="15">
      <c r="A497" s="55" t="str">
        <f>A435</f>
        <v>KENTUCKY-AMERICAN WATER COMPANY</v>
      </c>
      <c r="B497" s="55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7"/>
      <c r="Q497" s="58" t="s">
        <v>3</v>
      </c>
      <c r="R497" s="57"/>
      <c r="S497" s="57"/>
      <c r="T497" s="57"/>
      <c r="U497" s="57"/>
      <c r="V497" s="57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/>
      <c r="AK497" s="57"/>
      <c r="AL497" s="57"/>
      <c r="AM497" s="57"/>
      <c r="AN497" s="57"/>
      <c r="AO497" s="57"/>
      <c r="AP497" s="57"/>
      <c r="AQ497" s="57"/>
      <c r="AR497" s="57"/>
      <c r="AS497" s="57"/>
      <c r="AT497" s="57"/>
      <c r="AU497" s="57"/>
      <c r="AV497" s="57"/>
      <c r="AW497" s="57"/>
      <c r="AX497" s="57"/>
      <c r="AY497" s="57"/>
      <c r="AZ497" s="57"/>
      <c r="BA497" s="57"/>
      <c r="BB497" s="57"/>
      <c r="BC497" s="57"/>
      <c r="BD497" s="57"/>
      <c r="BE497" s="57"/>
      <c r="BF497" s="57"/>
      <c r="BG497" s="57"/>
      <c r="BH497" s="57"/>
      <c r="BI497" s="57"/>
      <c r="BJ497" s="57"/>
      <c r="BK497" s="57"/>
      <c r="BL497" s="57"/>
      <c r="BM497" s="57"/>
      <c r="BN497" s="57"/>
      <c r="BO497" s="57"/>
      <c r="BP497" s="57"/>
      <c r="BQ497" s="57"/>
      <c r="BR497" s="57"/>
      <c r="BS497" s="57"/>
      <c r="BT497" s="57"/>
      <c r="BU497" s="57"/>
      <c r="BV497" s="57"/>
      <c r="BW497" s="57"/>
      <c r="BX497" s="57"/>
      <c r="BY497" s="57"/>
      <c r="BZ497" s="57"/>
      <c r="CA497" s="57"/>
      <c r="CB497" s="57"/>
      <c r="CC497" s="57"/>
      <c r="CD497" s="57"/>
      <c r="CE497" s="57"/>
      <c r="CF497" s="57"/>
      <c r="CG497" s="57"/>
      <c r="CH497" s="57"/>
    </row>
    <row r="498" spans="1:17" ht="15">
      <c r="A498" s="55" t="e">
        <f>$A$2</f>
        <v>#REF!</v>
      </c>
      <c r="B498" s="55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7"/>
      <c r="Q498" s="58" t="s">
        <v>3</v>
      </c>
    </row>
    <row r="499" spans="1:17" ht="15">
      <c r="A499" s="55" t="s">
        <v>83</v>
      </c>
      <c r="B499" s="55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7"/>
      <c r="Q499" s="58" t="s">
        <v>3</v>
      </c>
    </row>
    <row r="500" spans="1:17" ht="15">
      <c r="A500" s="55" t="e">
        <f>A66</f>
        <v>#REF!</v>
      </c>
      <c r="B500" s="55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7"/>
      <c r="Q500" s="58" t="s">
        <v>3</v>
      </c>
    </row>
    <row r="501" spans="1:17" ht="15">
      <c r="A501" s="60" t="str">
        <f>A67</f>
        <v>DATA: _X_ BASE PERIOD ___ FORECASTED PERIOD</v>
      </c>
      <c r="O501" s="61" t="s">
        <v>84</v>
      </c>
      <c r="P501" s="57"/>
      <c r="Q501" s="58" t="s">
        <v>3</v>
      </c>
    </row>
    <row r="502" spans="1:17" ht="15">
      <c r="A502" s="60" t="str">
        <f>A68</f>
        <v>DATE OF CAPITAL STRUCTURE:  AS OF END OF BASE PERIOD</v>
      </c>
      <c r="O502" s="61" t="s">
        <v>39</v>
      </c>
      <c r="P502" s="57"/>
      <c r="Q502" s="58" t="s">
        <v>3</v>
      </c>
    </row>
    <row r="503" spans="1:17" ht="15">
      <c r="A503" s="60" t="str">
        <f>$A$7</f>
        <v>TYPE OF FILING: _X_ ORIGINAL ___ UPDATED __ REVISED</v>
      </c>
      <c r="O503" s="61" t="e">
        <f>#REF!</f>
        <v>#REF!</v>
      </c>
      <c r="P503" s="57"/>
      <c r="Q503" s="58" t="s">
        <v>3</v>
      </c>
    </row>
    <row r="504" spans="1:17" ht="15">
      <c r="A504" s="60" t="str">
        <f>A442</f>
        <v>WORKPAPER REFERENCE NO(S).:  W/P-7</v>
      </c>
      <c r="O504" s="61" t="e">
        <f>#REF!</f>
        <v>#REF!</v>
      </c>
      <c r="P504" s="57"/>
      <c r="Q504" s="58" t="s">
        <v>3</v>
      </c>
    </row>
    <row r="505" spans="1:17" ht="14.25">
      <c r="A505" s="57"/>
      <c r="P505" s="57"/>
      <c r="Q505" s="58" t="s">
        <v>3</v>
      </c>
    </row>
    <row r="506" spans="1:17" ht="14.25">
      <c r="A506" s="65"/>
      <c r="B506" s="65"/>
      <c r="C506" s="65"/>
      <c r="D506" s="65"/>
      <c r="E506" s="65"/>
      <c r="F506" s="65"/>
      <c r="G506" s="65"/>
      <c r="H506" s="64" t="s">
        <v>61</v>
      </c>
      <c r="I506" s="64" t="s">
        <v>85</v>
      </c>
      <c r="J506" s="65"/>
      <c r="K506" s="64" t="s">
        <v>60</v>
      </c>
      <c r="L506" s="65"/>
      <c r="M506" s="65"/>
      <c r="N506" s="65"/>
      <c r="O506" s="65"/>
      <c r="P506" s="57"/>
      <c r="Q506" s="58" t="s">
        <v>3</v>
      </c>
    </row>
    <row r="507" spans="1:17" ht="14.25">
      <c r="A507" s="64" t="s">
        <v>15</v>
      </c>
      <c r="C507" s="56" t="s">
        <v>86</v>
      </c>
      <c r="F507" s="58" t="s">
        <v>24</v>
      </c>
      <c r="G507" s="58" t="s">
        <v>87</v>
      </c>
      <c r="H507" s="58" t="s">
        <v>52</v>
      </c>
      <c r="I507" s="58" t="s">
        <v>88</v>
      </c>
      <c r="J507" s="58" t="s">
        <v>13</v>
      </c>
      <c r="K507" s="58" t="s">
        <v>68</v>
      </c>
      <c r="L507" s="58" t="s">
        <v>27</v>
      </c>
      <c r="M507" s="58" t="s">
        <v>27</v>
      </c>
      <c r="N507" s="58" t="s">
        <v>66</v>
      </c>
      <c r="P507" s="57"/>
      <c r="Q507" s="58" t="s">
        <v>3</v>
      </c>
    </row>
    <row r="508" spans="1:17" ht="15" thickBot="1">
      <c r="A508" s="67" t="s">
        <v>21</v>
      </c>
      <c r="B508" s="89"/>
      <c r="C508" s="67" t="s">
        <v>89</v>
      </c>
      <c r="D508" s="67"/>
      <c r="E508" s="67" t="s">
        <v>90</v>
      </c>
      <c r="F508" s="67" t="s">
        <v>53</v>
      </c>
      <c r="G508" s="67" t="s">
        <v>91</v>
      </c>
      <c r="H508" s="67" t="s">
        <v>74</v>
      </c>
      <c r="I508" s="67" t="s">
        <v>92</v>
      </c>
      <c r="J508" s="67" t="s">
        <v>93</v>
      </c>
      <c r="K508" s="67" t="s">
        <v>74</v>
      </c>
      <c r="L508" s="67" t="s">
        <v>72</v>
      </c>
      <c r="M508" s="67" t="s">
        <v>73</v>
      </c>
      <c r="N508" s="67" t="s">
        <v>94</v>
      </c>
      <c r="O508" s="67"/>
      <c r="P508" s="57"/>
      <c r="Q508" s="58" t="s">
        <v>3</v>
      </c>
    </row>
    <row r="509" spans="1:17" ht="14.25">
      <c r="A509" s="64">
        <v>1</v>
      </c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8" t="s">
        <v>3</v>
      </c>
    </row>
    <row r="510" spans="1:17" ht="14.25">
      <c r="A510" s="64">
        <v>2</v>
      </c>
      <c r="M510" s="71"/>
      <c r="P510" s="57"/>
      <c r="Q510" s="58" t="s">
        <v>3</v>
      </c>
    </row>
    <row r="511" spans="1:17" ht="14.25">
      <c r="A511" s="64">
        <v>3</v>
      </c>
      <c r="C511" s="54"/>
      <c r="E511" s="91"/>
      <c r="F511" s="107"/>
      <c r="G511" s="108"/>
      <c r="H511" s="107"/>
      <c r="I511" s="108"/>
      <c r="J511" s="107"/>
      <c r="K511" s="107"/>
      <c r="L511" s="82"/>
      <c r="M511" s="71"/>
      <c r="N511" s="107"/>
      <c r="P511" s="57"/>
      <c r="Q511" s="58" t="s">
        <v>3</v>
      </c>
    </row>
    <row r="512" spans="1:17" ht="14.25">
      <c r="A512" s="64">
        <v>4</v>
      </c>
      <c r="C512" s="72"/>
      <c r="E512" s="102"/>
      <c r="G512" s="72"/>
      <c r="I512" s="72"/>
      <c r="L512" s="103"/>
      <c r="M512" s="73"/>
      <c r="P512" s="57"/>
      <c r="Q512" s="58" t="s">
        <v>3</v>
      </c>
    </row>
    <row r="513" spans="1:17" ht="14.25">
      <c r="A513" s="64">
        <v>5</v>
      </c>
      <c r="C513" s="54" t="s">
        <v>95</v>
      </c>
      <c r="E513" s="91">
        <v>21145</v>
      </c>
      <c r="F513" s="75">
        <f>'Cap Struct WPs'!J207</f>
        <v>391800</v>
      </c>
      <c r="G513" s="93">
        <v>0</v>
      </c>
      <c r="H513" s="75">
        <f>'Cap Struct WPs'!J254</f>
        <v>0</v>
      </c>
      <c r="I513" s="93">
        <v>0</v>
      </c>
      <c r="J513" s="74">
        <f>F513+G513-H513+I513</f>
        <v>391800</v>
      </c>
      <c r="K513" s="93">
        <v>0</v>
      </c>
      <c r="L513" s="82">
        <v>0.0575</v>
      </c>
      <c r="M513" s="71">
        <f>ROUND((L513*F513+K513)/J513,5)</f>
        <v>0.0575</v>
      </c>
      <c r="N513" s="74">
        <f>ROUND(M513*J513,0)</f>
        <v>22529</v>
      </c>
      <c r="P513" s="57"/>
      <c r="Q513" s="58" t="s">
        <v>3</v>
      </c>
    </row>
    <row r="514" spans="1:17" ht="14.25">
      <c r="A514" s="64">
        <v>6</v>
      </c>
      <c r="C514" s="72"/>
      <c r="E514" s="102"/>
      <c r="F514" s="74"/>
      <c r="G514" s="99"/>
      <c r="H514" s="74"/>
      <c r="I514" s="99"/>
      <c r="J514" s="74"/>
      <c r="K514" s="99"/>
      <c r="L514" s="103"/>
      <c r="M514" s="73"/>
      <c r="N514" s="74"/>
      <c r="P514" s="57"/>
      <c r="Q514" s="58" t="s">
        <v>3</v>
      </c>
    </row>
    <row r="515" spans="1:17" ht="14.25">
      <c r="A515" s="64">
        <v>7</v>
      </c>
      <c r="C515" s="54" t="s">
        <v>96</v>
      </c>
      <c r="E515" s="91">
        <v>23337</v>
      </c>
      <c r="F515" s="75">
        <f>'Cap Struct WPs'!J209</f>
        <v>488300</v>
      </c>
      <c r="G515" s="93">
        <v>0</v>
      </c>
      <c r="H515" s="75">
        <f>'Cap Struct WPs'!J256</f>
        <v>0</v>
      </c>
      <c r="I515" s="93">
        <v>0</v>
      </c>
      <c r="J515" s="74">
        <f>F515+G515-H515+I515</f>
        <v>488300</v>
      </c>
      <c r="K515" s="93">
        <v>0</v>
      </c>
      <c r="L515" s="82">
        <v>0.055</v>
      </c>
      <c r="M515" s="71">
        <f>ROUND((L515*F515+K515)/J515,5)</f>
        <v>0.055</v>
      </c>
      <c r="N515" s="74">
        <f>ROUND(M515*J515,0)</f>
        <v>26857</v>
      </c>
      <c r="P515" s="57"/>
      <c r="Q515" s="58" t="s">
        <v>3</v>
      </c>
    </row>
    <row r="516" spans="1:17" ht="14.25">
      <c r="A516" s="64">
        <v>8</v>
      </c>
      <c r="C516" s="72"/>
      <c r="E516" s="102"/>
      <c r="F516" s="74"/>
      <c r="G516" s="99"/>
      <c r="H516" s="74"/>
      <c r="I516" s="99"/>
      <c r="J516" s="74"/>
      <c r="K516" s="99"/>
      <c r="L516" s="103"/>
      <c r="M516" s="73"/>
      <c r="N516" s="74"/>
      <c r="P516" s="57"/>
      <c r="Q516" s="58" t="s">
        <v>3</v>
      </c>
    </row>
    <row r="517" spans="1:17" ht="14.25">
      <c r="A517" s="64">
        <v>9</v>
      </c>
      <c r="C517" s="54" t="s">
        <v>97</v>
      </c>
      <c r="E517" s="91">
        <v>23141</v>
      </c>
      <c r="F517" s="75">
        <f>'Cap Struct WPs'!J211</f>
        <v>586600</v>
      </c>
      <c r="G517" s="93">
        <v>0</v>
      </c>
      <c r="H517" s="75">
        <f>'Cap Struct WPs'!J258</f>
        <v>0</v>
      </c>
      <c r="I517" s="93">
        <v>0</v>
      </c>
      <c r="J517" s="74">
        <f>F517+G517-H517+I517</f>
        <v>586600</v>
      </c>
      <c r="K517" s="93">
        <v>0</v>
      </c>
      <c r="L517" s="82">
        <v>0.05</v>
      </c>
      <c r="M517" s="71">
        <f>ROUND((L517*F517+K517)/J517,5)</f>
        <v>0.05</v>
      </c>
      <c r="N517" s="74">
        <f>ROUND(M517*J517,0)</f>
        <v>29330</v>
      </c>
      <c r="P517" s="57"/>
      <c r="Q517" s="58" t="s">
        <v>3</v>
      </c>
    </row>
    <row r="518" spans="1:17" ht="14.25">
      <c r="A518" s="64">
        <v>10</v>
      </c>
      <c r="C518" s="72"/>
      <c r="E518" s="102"/>
      <c r="F518" s="74"/>
      <c r="G518" s="99"/>
      <c r="H518" s="74"/>
      <c r="I518" s="99"/>
      <c r="J518" s="74"/>
      <c r="K518" s="74"/>
      <c r="L518" s="103"/>
      <c r="M518" s="73"/>
      <c r="N518" s="74"/>
      <c r="P518" s="57"/>
      <c r="Q518" s="58" t="s">
        <v>3</v>
      </c>
    </row>
    <row r="519" spans="1:17" ht="14.25">
      <c r="A519" s="64">
        <v>11</v>
      </c>
      <c r="C519" s="54"/>
      <c r="E519" s="91"/>
      <c r="F519" s="75"/>
      <c r="G519" s="93"/>
      <c r="H519" s="75"/>
      <c r="I519" s="93"/>
      <c r="J519" s="74"/>
      <c r="K519" s="75"/>
      <c r="L519" s="82"/>
      <c r="M519" s="71"/>
      <c r="N519" s="74"/>
      <c r="P519" s="57"/>
      <c r="Q519" s="58" t="s">
        <v>3</v>
      </c>
    </row>
    <row r="520" spans="1:17" ht="14.25">
      <c r="A520" s="64">
        <v>12</v>
      </c>
      <c r="C520" s="72"/>
      <c r="E520" s="102"/>
      <c r="F520" s="74"/>
      <c r="G520" s="99"/>
      <c r="H520" s="74"/>
      <c r="I520" s="99"/>
      <c r="J520" s="74"/>
      <c r="K520" s="74"/>
      <c r="L520" s="103"/>
      <c r="M520" s="73"/>
      <c r="N520" s="74"/>
      <c r="P520" s="57"/>
      <c r="Q520" s="58" t="s">
        <v>3</v>
      </c>
    </row>
    <row r="521" spans="1:17" ht="14.25">
      <c r="A521" s="64">
        <v>13</v>
      </c>
      <c r="C521" s="54" t="s">
        <v>98</v>
      </c>
      <c r="E521" s="91">
        <f>DATE(92,1,24)</f>
        <v>33627</v>
      </c>
      <c r="F521" s="94">
        <f>'Cap Struct WPs'!J215</f>
        <v>4500000</v>
      </c>
      <c r="G521" s="95">
        <v>0</v>
      </c>
      <c r="H521" s="94">
        <f>'Cap Struct WPs'!J262</f>
        <v>22614</v>
      </c>
      <c r="I521" s="95">
        <v>0</v>
      </c>
      <c r="J521" s="76">
        <f>F521+G521-H521+I521</f>
        <v>4477386</v>
      </c>
      <c r="K521" s="94">
        <f>ROUND('Cap Struct WPs'!J313*12,0)</f>
        <v>768</v>
      </c>
      <c r="L521" s="82">
        <v>0.0847</v>
      </c>
      <c r="M521" s="71">
        <f>ROUND((L521*F521+K521)/J521,5)</f>
        <v>0.0853</v>
      </c>
      <c r="N521" s="76">
        <f>ROUND(M521*J521,0)</f>
        <v>381921</v>
      </c>
      <c r="P521" s="57"/>
      <c r="Q521" s="58" t="s">
        <v>3</v>
      </c>
    </row>
    <row r="522" spans="1:17" ht="14.25">
      <c r="A522" s="64">
        <v>14</v>
      </c>
      <c r="P522" s="57"/>
      <c r="Q522" s="58" t="s">
        <v>3</v>
      </c>
    </row>
    <row r="523" spans="1:17" ht="14.25">
      <c r="A523" s="64">
        <v>15</v>
      </c>
      <c r="P523" s="57"/>
      <c r="Q523" s="58" t="s">
        <v>3</v>
      </c>
    </row>
    <row r="524" spans="1:17" ht="14.25">
      <c r="A524" s="64">
        <v>16</v>
      </c>
      <c r="P524" s="57"/>
      <c r="Q524" s="58" t="s">
        <v>3</v>
      </c>
    </row>
    <row r="525" spans="1:17" ht="14.25">
      <c r="A525" s="64">
        <v>17</v>
      </c>
      <c r="P525" s="57"/>
      <c r="Q525" s="58" t="s">
        <v>3</v>
      </c>
    </row>
    <row r="526" spans="1:17" ht="15" thickBot="1">
      <c r="A526" s="64">
        <v>18</v>
      </c>
      <c r="C526" s="101" t="s">
        <v>100</v>
      </c>
      <c r="F526" s="106">
        <f aca="true" t="shared" si="13" ref="F526:K526">SUM(F511:F524)</f>
        <v>5966700</v>
      </c>
      <c r="G526" s="106">
        <f t="shared" si="13"/>
        <v>0</v>
      </c>
      <c r="H526" s="106">
        <f t="shared" si="13"/>
        <v>22614</v>
      </c>
      <c r="I526" s="106">
        <f t="shared" si="13"/>
        <v>0</v>
      </c>
      <c r="J526" s="106">
        <f t="shared" si="13"/>
        <v>5944086</v>
      </c>
      <c r="K526" s="106">
        <f t="shared" si="13"/>
        <v>768</v>
      </c>
      <c r="N526" s="106">
        <f>SUM(N511:N524)</f>
        <v>460637</v>
      </c>
      <c r="P526" s="57"/>
      <c r="Q526" s="58" t="s">
        <v>3</v>
      </c>
    </row>
    <row r="527" spans="1:17" ht="15" thickTop="1">
      <c r="A527" s="64">
        <v>19</v>
      </c>
      <c r="F527" s="57"/>
      <c r="G527" s="57"/>
      <c r="H527" s="57"/>
      <c r="I527" s="57"/>
      <c r="J527" s="57"/>
      <c r="K527" s="57"/>
      <c r="N527" s="57"/>
      <c r="P527" s="57"/>
      <c r="Q527" s="58" t="s">
        <v>3</v>
      </c>
    </row>
    <row r="528" spans="1:17" ht="14.25">
      <c r="A528" s="64">
        <v>20</v>
      </c>
      <c r="P528" s="57"/>
      <c r="Q528" s="58" t="s">
        <v>3</v>
      </c>
    </row>
    <row r="529" spans="1:17" ht="15" thickBot="1">
      <c r="A529" s="64">
        <v>21</v>
      </c>
      <c r="D529" s="97" t="s">
        <v>82</v>
      </c>
      <c r="F529" s="81">
        <f>ROUND(N526/J526,4)</f>
        <v>0.0775</v>
      </c>
      <c r="P529" s="57"/>
      <c r="Q529" s="58" t="s">
        <v>3</v>
      </c>
    </row>
    <row r="530" spans="1:17" ht="15" thickTop="1">
      <c r="A530" s="64">
        <v>22</v>
      </c>
      <c r="F530" s="57"/>
      <c r="P530" s="57"/>
      <c r="Q530" s="58" t="s">
        <v>3</v>
      </c>
    </row>
    <row r="531" spans="1:17" ht="14.25">
      <c r="A531" s="64">
        <v>23</v>
      </c>
      <c r="P531" s="57"/>
      <c r="Q531" s="58" t="s">
        <v>3</v>
      </c>
    </row>
    <row r="532" spans="1:17" ht="14.25">
      <c r="A532" s="64">
        <v>24</v>
      </c>
      <c r="P532" s="57"/>
      <c r="Q532" s="58" t="s">
        <v>3</v>
      </c>
    </row>
    <row r="533" spans="1:17" ht="14.25">
      <c r="A533" s="64">
        <v>25</v>
      </c>
      <c r="P533" s="57"/>
      <c r="Q533" s="58" t="s">
        <v>3</v>
      </c>
    </row>
    <row r="534" spans="1:17" ht="14.25">
      <c r="A534" s="64">
        <v>26</v>
      </c>
      <c r="P534" s="57"/>
      <c r="Q534" s="58" t="s">
        <v>3</v>
      </c>
    </row>
    <row r="535" spans="1:17" ht="14.25">
      <c r="A535" s="64">
        <v>27</v>
      </c>
      <c r="P535" s="57"/>
      <c r="Q535" s="58" t="s">
        <v>3</v>
      </c>
    </row>
    <row r="536" spans="1:17" ht="14.25">
      <c r="A536" s="64">
        <v>28</v>
      </c>
      <c r="P536" s="57"/>
      <c r="Q536" s="58" t="s">
        <v>3</v>
      </c>
    </row>
    <row r="537" spans="1:17" ht="14.25">
      <c r="A537" s="64">
        <v>29</v>
      </c>
      <c r="P537" s="57"/>
      <c r="Q537" s="58" t="s">
        <v>3</v>
      </c>
    </row>
    <row r="538" spans="1:17" ht="14.25">
      <c r="A538" s="64">
        <v>30</v>
      </c>
      <c r="P538" s="57"/>
      <c r="Q538" s="58" t="s">
        <v>3</v>
      </c>
    </row>
    <row r="539" spans="1:17" ht="14.25">
      <c r="A539" s="64">
        <v>31</v>
      </c>
      <c r="P539" s="57"/>
      <c r="Q539" s="58" t="s">
        <v>3</v>
      </c>
    </row>
    <row r="540" spans="1:17" ht="14.25">
      <c r="A540" s="64">
        <v>32</v>
      </c>
      <c r="P540" s="57"/>
      <c r="Q540" s="58" t="s">
        <v>3</v>
      </c>
    </row>
    <row r="541" spans="1:17" ht="14.25">
      <c r="A541" s="64">
        <v>33</v>
      </c>
      <c r="P541" s="57"/>
      <c r="Q541" s="58" t="s">
        <v>3</v>
      </c>
    </row>
    <row r="542" spans="1:17" ht="14.25">
      <c r="A542" s="64">
        <v>34</v>
      </c>
      <c r="P542" s="57"/>
      <c r="Q542" s="58" t="s">
        <v>3</v>
      </c>
    </row>
    <row r="543" spans="1:17" ht="14.25">
      <c r="A543" s="64">
        <v>35</v>
      </c>
      <c r="P543" s="57"/>
      <c r="Q543" s="58" t="s">
        <v>3</v>
      </c>
    </row>
    <row r="544" spans="1:17" ht="14.25">
      <c r="A544" s="64">
        <v>36</v>
      </c>
      <c r="P544" s="57"/>
      <c r="Q544" s="58" t="s">
        <v>3</v>
      </c>
    </row>
    <row r="545" spans="1:17" ht="14.25">
      <c r="A545" s="64">
        <v>37</v>
      </c>
      <c r="P545" s="57"/>
      <c r="Q545" s="58" t="s">
        <v>3</v>
      </c>
    </row>
    <row r="546" spans="1:17" ht="14.25">
      <c r="A546" s="64">
        <v>38</v>
      </c>
      <c r="P546" s="57"/>
      <c r="Q546" s="58" t="s">
        <v>3</v>
      </c>
    </row>
    <row r="547" spans="1:17" ht="14.25">
      <c r="A547" s="64">
        <v>39</v>
      </c>
      <c r="P547" s="57"/>
      <c r="Q547" s="58" t="s">
        <v>3</v>
      </c>
    </row>
    <row r="548" spans="1:17" ht="14.25">
      <c r="A548" s="64">
        <v>40</v>
      </c>
      <c r="P548" s="57"/>
      <c r="Q548" s="58" t="s">
        <v>3</v>
      </c>
    </row>
    <row r="549" spans="1:17" ht="14.25">
      <c r="A549" s="64">
        <v>41</v>
      </c>
      <c r="P549" s="57"/>
      <c r="Q549" s="58" t="s">
        <v>3</v>
      </c>
    </row>
    <row r="550" spans="1:17" ht="14.25">
      <c r="A550" s="64">
        <v>42</v>
      </c>
      <c r="P550" s="57"/>
      <c r="Q550" s="58" t="s">
        <v>3</v>
      </c>
    </row>
    <row r="551" spans="1:17" ht="14.25">
      <c r="A551" s="64">
        <v>43</v>
      </c>
      <c r="P551" s="57"/>
      <c r="Q551" s="58" t="s">
        <v>3</v>
      </c>
    </row>
    <row r="552" spans="1:17" ht="14.25">
      <c r="A552" s="64">
        <v>44</v>
      </c>
      <c r="P552" s="57"/>
      <c r="Q552" s="58" t="s">
        <v>3</v>
      </c>
    </row>
    <row r="553" spans="1:17" ht="14.25">
      <c r="A553" s="64">
        <v>45</v>
      </c>
      <c r="P553" s="57"/>
      <c r="Q553" s="58" t="s">
        <v>3</v>
      </c>
    </row>
    <row r="554" spans="1:17" ht="14.25">
      <c r="A554" s="64">
        <v>46</v>
      </c>
      <c r="P554" s="57"/>
      <c r="Q554" s="58" t="s">
        <v>3</v>
      </c>
    </row>
    <row r="555" spans="1:17" ht="14.25">
      <c r="A555" s="64">
        <v>47</v>
      </c>
      <c r="P555" s="57"/>
      <c r="Q555" s="58" t="s">
        <v>3</v>
      </c>
    </row>
    <row r="556" spans="1:17" ht="14.25">
      <c r="A556" s="64">
        <v>48</v>
      </c>
      <c r="P556" s="57"/>
      <c r="Q556" s="58" t="s">
        <v>3</v>
      </c>
    </row>
    <row r="557" spans="1:17" ht="14.25">
      <c r="A557" s="64">
        <v>49</v>
      </c>
      <c r="P557" s="57"/>
      <c r="Q557" s="58" t="s">
        <v>3</v>
      </c>
    </row>
    <row r="558" spans="1:17" ht="14.25">
      <c r="A558" s="64">
        <v>50</v>
      </c>
      <c r="P558" s="57"/>
      <c r="Q558" s="58" t="s">
        <v>3</v>
      </c>
    </row>
    <row r="559" spans="1:86" ht="14.25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8" t="s">
        <v>3</v>
      </c>
      <c r="R559" s="57"/>
      <c r="S559" s="57"/>
      <c r="T559" s="57"/>
      <c r="U559" s="57"/>
      <c r="V559" s="57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/>
      <c r="AK559" s="57"/>
      <c r="AL559" s="57"/>
      <c r="AM559" s="57"/>
      <c r="AN559" s="57"/>
      <c r="AO559" s="57"/>
      <c r="AP559" s="57"/>
      <c r="AQ559" s="57"/>
      <c r="AR559" s="57"/>
      <c r="AS559" s="57"/>
      <c r="AT559" s="57"/>
      <c r="AU559" s="57"/>
      <c r="AV559" s="57"/>
      <c r="AW559" s="57"/>
      <c r="AX559" s="57"/>
      <c r="AY559" s="57"/>
      <c r="AZ559" s="57"/>
      <c r="BA559" s="57"/>
      <c r="BB559" s="57"/>
      <c r="BC559" s="57"/>
      <c r="BD559" s="57"/>
      <c r="BE559" s="57"/>
      <c r="BF559" s="57"/>
      <c r="BG559" s="57"/>
      <c r="BH559" s="57"/>
      <c r="BI559" s="57"/>
      <c r="BJ559" s="57"/>
      <c r="BK559" s="57"/>
      <c r="BL559" s="57"/>
      <c r="BM559" s="57"/>
      <c r="BN559" s="57"/>
      <c r="BO559" s="57"/>
      <c r="BP559" s="57"/>
      <c r="BQ559" s="57"/>
      <c r="BR559" s="57"/>
      <c r="BS559" s="57"/>
      <c r="BT559" s="57"/>
      <c r="BU559" s="57"/>
      <c r="BV559" s="57"/>
      <c r="BW559" s="57"/>
      <c r="BX559" s="57"/>
      <c r="BY559" s="57"/>
      <c r="BZ559" s="57"/>
      <c r="CA559" s="57"/>
      <c r="CB559" s="57"/>
      <c r="CC559" s="57"/>
      <c r="CD559" s="57"/>
      <c r="CE559" s="57"/>
      <c r="CF559" s="57"/>
      <c r="CG559" s="57"/>
      <c r="CH559" s="57"/>
    </row>
    <row r="560" ht="14.25">
      <c r="Q560" s="58" t="s">
        <v>3</v>
      </c>
    </row>
    <row r="561" ht="14.25">
      <c r="Q561" s="58" t="s">
        <v>3</v>
      </c>
    </row>
    <row r="562" ht="14.25">
      <c r="Q562" s="58" t="s">
        <v>3</v>
      </c>
    </row>
    <row r="563" ht="14.25">
      <c r="Q563" s="58" t="s">
        <v>3</v>
      </c>
    </row>
    <row r="564" ht="14.25">
      <c r="Q564" s="58" t="s">
        <v>3</v>
      </c>
    </row>
    <row r="565" ht="14.25">
      <c r="Q565" s="58" t="s">
        <v>3</v>
      </c>
    </row>
    <row r="566" ht="14.25">
      <c r="Q566" s="58" t="s">
        <v>3</v>
      </c>
    </row>
    <row r="567" ht="14.25">
      <c r="Q567" s="58" t="s">
        <v>3</v>
      </c>
    </row>
    <row r="568" ht="14.25">
      <c r="Q568" s="58" t="s">
        <v>3</v>
      </c>
    </row>
    <row r="569" ht="14.25">
      <c r="Q569" s="58" t="s">
        <v>3</v>
      </c>
    </row>
    <row r="570" ht="14.25">
      <c r="Q570" s="58" t="s">
        <v>3</v>
      </c>
    </row>
    <row r="571" ht="14.25">
      <c r="Q571" s="58" t="s">
        <v>3</v>
      </c>
    </row>
    <row r="572" ht="14.25">
      <c r="Q572" s="58" t="s">
        <v>3</v>
      </c>
    </row>
    <row r="573" ht="14.25">
      <c r="Q573" s="58" t="s">
        <v>3</v>
      </c>
    </row>
    <row r="574" ht="14.25">
      <c r="Q574" s="58" t="s">
        <v>3</v>
      </c>
    </row>
    <row r="575" ht="14.25">
      <c r="Q575" s="58" t="s">
        <v>3</v>
      </c>
    </row>
    <row r="576" ht="14.25">
      <c r="Q576" s="58" t="s">
        <v>3</v>
      </c>
    </row>
    <row r="577" ht="14.25">
      <c r="Q577" s="58" t="s">
        <v>3</v>
      </c>
    </row>
    <row r="578" ht="14.25">
      <c r="Q578" s="58" t="s">
        <v>3</v>
      </c>
    </row>
    <row r="579" ht="14.25">
      <c r="Q579" s="58" t="s">
        <v>3</v>
      </c>
    </row>
    <row r="580" ht="14.25">
      <c r="Q580" s="58" t="s">
        <v>3</v>
      </c>
    </row>
    <row r="581" ht="14.25">
      <c r="Q581" s="58" t="s">
        <v>3</v>
      </c>
    </row>
    <row r="582" ht="14.25">
      <c r="Q582" s="58" t="s">
        <v>3</v>
      </c>
    </row>
    <row r="583" ht="14.25">
      <c r="Q583" s="58" t="s">
        <v>3</v>
      </c>
    </row>
    <row r="584" ht="14.25">
      <c r="Q584" s="58" t="s">
        <v>3</v>
      </c>
    </row>
    <row r="585" ht="14.25">
      <c r="Q585" s="58" t="s">
        <v>3</v>
      </c>
    </row>
    <row r="586" ht="14.25">
      <c r="Q586" s="58" t="s">
        <v>3</v>
      </c>
    </row>
    <row r="587" ht="14.25">
      <c r="Q587" s="58" t="s">
        <v>3</v>
      </c>
    </row>
    <row r="588" ht="14.25">
      <c r="Q588" s="58" t="s">
        <v>3</v>
      </c>
    </row>
    <row r="589" ht="14.25">
      <c r="Q589" s="58" t="s">
        <v>3</v>
      </c>
    </row>
    <row r="590" ht="14.25">
      <c r="Q590" s="58" t="s">
        <v>3</v>
      </c>
    </row>
    <row r="591" ht="14.25">
      <c r="Q591" s="58" t="s">
        <v>3</v>
      </c>
    </row>
    <row r="592" ht="14.25">
      <c r="Q592" s="58" t="s">
        <v>3</v>
      </c>
    </row>
    <row r="593" ht="14.25">
      <c r="Q593" s="58" t="s">
        <v>3</v>
      </c>
    </row>
    <row r="594" ht="14.25">
      <c r="Q594" s="58" t="s">
        <v>3</v>
      </c>
    </row>
    <row r="595" ht="14.25">
      <c r="Q595" s="58" t="s">
        <v>3</v>
      </c>
    </row>
    <row r="596" ht="14.25">
      <c r="Q596" s="58" t="s">
        <v>3</v>
      </c>
    </row>
    <row r="597" ht="14.25">
      <c r="Q597" s="58" t="s">
        <v>3</v>
      </c>
    </row>
    <row r="598" ht="14.25">
      <c r="Q598" s="58" t="s">
        <v>3</v>
      </c>
    </row>
    <row r="599" ht="14.25">
      <c r="Q599" s="58" t="s">
        <v>3</v>
      </c>
    </row>
    <row r="600" ht="14.25">
      <c r="Q600" s="58" t="s">
        <v>3</v>
      </c>
    </row>
    <row r="601" ht="14.25">
      <c r="Q601" s="58" t="s">
        <v>3</v>
      </c>
    </row>
    <row r="602" ht="14.25">
      <c r="Q602" s="58" t="s">
        <v>3</v>
      </c>
    </row>
    <row r="603" ht="14.25">
      <c r="Q603" s="58" t="s">
        <v>3</v>
      </c>
    </row>
    <row r="604" ht="14.25">
      <c r="Q604" s="58" t="s">
        <v>3</v>
      </c>
    </row>
    <row r="605" ht="14.25">
      <c r="Q605" s="58" t="s">
        <v>3</v>
      </c>
    </row>
    <row r="606" ht="14.25">
      <c r="Q606" s="58" t="s">
        <v>3</v>
      </c>
    </row>
    <row r="607" ht="14.25">
      <c r="Q607" s="58" t="s">
        <v>3</v>
      </c>
    </row>
    <row r="608" ht="14.25">
      <c r="Q608" s="58" t="s">
        <v>3</v>
      </c>
    </row>
    <row r="609" ht="14.25">
      <c r="Q609" s="58" t="s">
        <v>3</v>
      </c>
    </row>
    <row r="610" ht="14.25">
      <c r="Q610" s="58" t="s">
        <v>3</v>
      </c>
    </row>
    <row r="611" ht="14.25">
      <c r="Q611" s="58" t="s">
        <v>3</v>
      </c>
    </row>
    <row r="612" ht="14.25">
      <c r="Q612" s="58" t="s">
        <v>3</v>
      </c>
    </row>
    <row r="613" ht="14.25">
      <c r="Q613" s="58" t="s">
        <v>3</v>
      </c>
    </row>
    <row r="614" ht="14.25">
      <c r="Q614" s="58" t="s">
        <v>3</v>
      </c>
    </row>
    <row r="615" ht="14.25">
      <c r="Q615" s="58" t="s">
        <v>3</v>
      </c>
    </row>
    <row r="616" ht="14.25">
      <c r="Q616" s="58" t="s">
        <v>3</v>
      </c>
    </row>
    <row r="617" ht="14.25">
      <c r="Q617" s="58" t="s">
        <v>3</v>
      </c>
    </row>
    <row r="618" ht="14.25">
      <c r="Q618" s="58" t="s">
        <v>3</v>
      </c>
    </row>
    <row r="619" ht="14.25">
      <c r="Q619" s="58" t="s">
        <v>3</v>
      </c>
    </row>
    <row r="620" ht="14.25">
      <c r="Q620" s="58" t="s">
        <v>3</v>
      </c>
    </row>
    <row r="621" ht="14.25">
      <c r="Q621" s="58" t="s">
        <v>3</v>
      </c>
    </row>
    <row r="622" ht="14.25">
      <c r="Q622" s="58" t="s">
        <v>3</v>
      </c>
    </row>
    <row r="623" ht="14.25">
      <c r="Q623" s="58" t="s">
        <v>3</v>
      </c>
    </row>
    <row r="624" ht="14.25">
      <c r="Q624" s="58" t="s">
        <v>3</v>
      </c>
    </row>
    <row r="625" ht="14.25">
      <c r="Q625" s="58" t="s">
        <v>3</v>
      </c>
    </row>
    <row r="626" ht="14.25">
      <c r="Q626" s="58" t="s">
        <v>3</v>
      </c>
    </row>
    <row r="627" ht="14.25">
      <c r="Q627" s="58" t="s">
        <v>3</v>
      </c>
    </row>
    <row r="628" ht="14.25">
      <c r="Q628" s="58" t="s">
        <v>3</v>
      </c>
    </row>
    <row r="629" ht="14.25">
      <c r="Q629" s="58" t="s">
        <v>3</v>
      </c>
    </row>
    <row r="630" ht="14.25">
      <c r="Q630" s="58" t="s">
        <v>3</v>
      </c>
    </row>
    <row r="631" ht="14.25">
      <c r="Q631" s="58" t="s">
        <v>3</v>
      </c>
    </row>
    <row r="632" ht="14.25">
      <c r="Q632" s="58" t="s">
        <v>3</v>
      </c>
    </row>
    <row r="633" ht="14.25">
      <c r="Q633" s="58" t="s">
        <v>3</v>
      </c>
    </row>
    <row r="634" ht="14.25">
      <c r="Q634" s="58" t="s">
        <v>3</v>
      </c>
    </row>
    <row r="635" ht="14.25">
      <c r="Q635" s="58" t="s">
        <v>3</v>
      </c>
    </row>
    <row r="636" ht="14.25">
      <c r="Q636" s="58" t="s">
        <v>3</v>
      </c>
    </row>
    <row r="637" ht="14.25">
      <c r="Q637" s="58" t="s">
        <v>3</v>
      </c>
    </row>
    <row r="638" ht="14.25">
      <c r="Q638" s="58" t="s">
        <v>3</v>
      </c>
    </row>
    <row r="639" ht="14.25">
      <c r="Q639" s="58" t="s">
        <v>3</v>
      </c>
    </row>
    <row r="640" ht="14.25">
      <c r="Q640" s="58" t="s">
        <v>3</v>
      </c>
    </row>
    <row r="641" ht="14.25">
      <c r="Q641" s="58" t="s">
        <v>3</v>
      </c>
    </row>
    <row r="642" ht="14.25">
      <c r="Q642" s="58" t="s">
        <v>3</v>
      </c>
    </row>
    <row r="643" ht="14.25">
      <c r="Q643" s="58" t="s">
        <v>3</v>
      </c>
    </row>
    <row r="644" ht="14.25">
      <c r="Q644" s="58" t="s">
        <v>3</v>
      </c>
    </row>
    <row r="645" ht="14.25">
      <c r="Q645" s="58" t="s">
        <v>3</v>
      </c>
    </row>
    <row r="646" ht="14.25">
      <c r="Q646" s="58" t="s">
        <v>3</v>
      </c>
    </row>
    <row r="647" ht="14.25">
      <c r="Q647" s="58" t="s">
        <v>3</v>
      </c>
    </row>
    <row r="648" ht="14.25">
      <c r="Q648" s="58" t="s">
        <v>3</v>
      </c>
    </row>
    <row r="649" ht="14.25">
      <c r="Q649" s="58" t="s">
        <v>3</v>
      </c>
    </row>
    <row r="650" ht="14.25">
      <c r="Q650" s="58" t="s">
        <v>3</v>
      </c>
    </row>
    <row r="651" ht="14.25">
      <c r="Q651" s="58" t="s">
        <v>3</v>
      </c>
    </row>
    <row r="652" ht="14.25">
      <c r="Q652" s="58" t="s">
        <v>3</v>
      </c>
    </row>
    <row r="653" ht="14.25">
      <c r="Q653" s="58" t="s">
        <v>3</v>
      </c>
    </row>
    <row r="654" ht="14.25">
      <c r="Q654" s="58" t="s">
        <v>3</v>
      </c>
    </row>
    <row r="655" ht="14.25">
      <c r="Q655" s="58" t="s">
        <v>3</v>
      </c>
    </row>
    <row r="656" ht="14.25">
      <c r="Q656" s="58" t="s">
        <v>3</v>
      </c>
    </row>
    <row r="657" ht="14.25">
      <c r="Q657" s="58" t="s">
        <v>3</v>
      </c>
    </row>
    <row r="658" ht="14.25">
      <c r="Q658" s="58" t="s">
        <v>3</v>
      </c>
    </row>
    <row r="659" ht="14.25">
      <c r="Q659" s="58" t="s">
        <v>3</v>
      </c>
    </row>
    <row r="660" ht="14.25">
      <c r="Q660" s="58" t="s">
        <v>3</v>
      </c>
    </row>
    <row r="661" ht="14.25">
      <c r="Q661" s="58" t="s">
        <v>3</v>
      </c>
    </row>
    <row r="662" ht="14.25">
      <c r="Q662" s="58" t="s">
        <v>3</v>
      </c>
    </row>
    <row r="663" ht="14.25">
      <c r="Q663" s="58" t="s">
        <v>3</v>
      </c>
    </row>
    <row r="664" ht="14.25">
      <c r="Q664" s="58" t="s">
        <v>3</v>
      </c>
    </row>
    <row r="665" ht="14.25">
      <c r="Q665" s="58" t="s">
        <v>3</v>
      </c>
    </row>
    <row r="666" ht="14.25">
      <c r="Q666" s="58" t="s">
        <v>3</v>
      </c>
    </row>
    <row r="667" ht="14.25">
      <c r="Q667" s="58" t="s">
        <v>3</v>
      </c>
    </row>
    <row r="668" ht="14.25">
      <c r="Q668" s="58" t="s">
        <v>3</v>
      </c>
    </row>
    <row r="669" ht="14.25">
      <c r="Q669" s="58" t="s">
        <v>3</v>
      </c>
    </row>
    <row r="670" ht="14.25">
      <c r="Q670" s="58" t="s">
        <v>3</v>
      </c>
    </row>
    <row r="671" ht="14.25">
      <c r="Q671" s="58" t="s">
        <v>3</v>
      </c>
    </row>
    <row r="672" ht="14.25">
      <c r="Q672" s="58" t="s">
        <v>3</v>
      </c>
    </row>
    <row r="673" ht="14.25">
      <c r="Q673" s="58" t="s">
        <v>3</v>
      </c>
    </row>
    <row r="674" ht="14.25">
      <c r="Q674" s="58" t="s">
        <v>3</v>
      </c>
    </row>
    <row r="675" ht="14.25">
      <c r="Q675" s="58" t="s">
        <v>3</v>
      </c>
    </row>
    <row r="676" ht="14.25">
      <c r="Q676" s="58" t="s">
        <v>3</v>
      </c>
    </row>
    <row r="677" ht="14.25">
      <c r="Q677" s="58" t="s">
        <v>3</v>
      </c>
    </row>
    <row r="678" ht="14.25">
      <c r="Q678" s="58" t="s">
        <v>3</v>
      </c>
    </row>
    <row r="679" ht="14.25">
      <c r="Q679" s="58" t="s">
        <v>3</v>
      </c>
    </row>
    <row r="680" ht="14.25">
      <c r="Q680" s="58" t="s">
        <v>3</v>
      </c>
    </row>
    <row r="681" ht="14.25">
      <c r="Q681" s="58" t="s">
        <v>3</v>
      </c>
    </row>
    <row r="682" ht="14.25">
      <c r="Q682" s="58" t="s">
        <v>3</v>
      </c>
    </row>
    <row r="683" ht="14.25">
      <c r="Q683" s="58" t="s">
        <v>3</v>
      </c>
    </row>
    <row r="684" ht="14.25">
      <c r="Q684" s="58" t="s">
        <v>3</v>
      </c>
    </row>
    <row r="685" ht="14.25">
      <c r="Q685" s="58" t="s">
        <v>3</v>
      </c>
    </row>
    <row r="686" ht="14.25">
      <c r="Q686" s="58" t="s">
        <v>3</v>
      </c>
    </row>
    <row r="687" ht="14.25">
      <c r="Q687" s="58" t="s">
        <v>3</v>
      </c>
    </row>
    <row r="688" ht="14.25">
      <c r="Q688" s="58" t="s">
        <v>3</v>
      </c>
    </row>
    <row r="689" ht="14.25">
      <c r="Q689" s="58" t="s">
        <v>3</v>
      </c>
    </row>
    <row r="690" ht="14.25">
      <c r="Q690" s="58" t="s">
        <v>3</v>
      </c>
    </row>
    <row r="691" ht="14.25">
      <c r="Q691" s="58" t="s">
        <v>3</v>
      </c>
    </row>
    <row r="692" ht="14.25">
      <c r="Q692" s="58" t="s">
        <v>3</v>
      </c>
    </row>
    <row r="693" ht="14.25">
      <c r="Q693" s="58" t="s">
        <v>3</v>
      </c>
    </row>
    <row r="694" ht="14.25">
      <c r="Q694" s="58" t="s">
        <v>3</v>
      </c>
    </row>
    <row r="695" ht="14.25">
      <c r="Q695" s="58" t="s">
        <v>3</v>
      </c>
    </row>
    <row r="696" ht="14.25">
      <c r="Q696" s="58" t="s">
        <v>3</v>
      </c>
    </row>
    <row r="697" ht="14.25">
      <c r="Q697" s="58" t="s">
        <v>3</v>
      </c>
    </row>
    <row r="698" ht="14.25">
      <c r="Q698" s="58" t="s">
        <v>3</v>
      </c>
    </row>
    <row r="699" ht="14.25">
      <c r="Q699" s="58" t="s">
        <v>3</v>
      </c>
    </row>
    <row r="700" ht="14.25">
      <c r="Q700" s="58" t="s">
        <v>3</v>
      </c>
    </row>
    <row r="701" ht="14.25">
      <c r="Q701" s="58" t="s">
        <v>3</v>
      </c>
    </row>
    <row r="702" ht="14.25">
      <c r="Q702" s="58" t="s">
        <v>3</v>
      </c>
    </row>
    <row r="703" ht="14.25">
      <c r="Q703" s="58" t="s">
        <v>3</v>
      </c>
    </row>
    <row r="704" ht="14.25">
      <c r="Q704" s="58" t="s">
        <v>3</v>
      </c>
    </row>
    <row r="705" ht="14.25">
      <c r="Q705" s="58" t="s">
        <v>3</v>
      </c>
    </row>
    <row r="706" ht="14.25">
      <c r="Q706" s="58" t="s">
        <v>3</v>
      </c>
    </row>
    <row r="707" ht="14.25">
      <c r="Q707" s="58" t="s">
        <v>3</v>
      </c>
    </row>
    <row r="708" ht="14.25">
      <c r="Q708" s="58" t="s">
        <v>3</v>
      </c>
    </row>
    <row r="709" ht="14.25">
      <c r="Q709" s="58" t="s">
        <v>3</v>
      </c>
    </row>
    <row r="710" ht="14.25">
      <c r="Q710" s="58" t="s">
        <v>3</v>
      </c>
    </row>
    <row r="711" ht="14.25">
      <c r="Q711" s="58" t="s">
        <v>3</v>
      </c>
    </row>
    <row r="712" ht="14.25">
      <c r="Q712" s="58" t="s">
        <v>3</v>
      </c>
    </row>
    <row r="713" ht="14.25">
      <c r="Q713" s="58" t="s">
        <v>3</v>
      </c>
    </row>
    <row r="714" ht="14.25">
      <c r="Q714" s="58" t="s">
        <v>3</v>
      </c>
    </row>
    <row r="715" ht="14.25">
      <c r="Q715" s="58" t="s">
        <v>3</v>
      </c>
    </row>
    <row r="716" ht="14.25">
      <c r="Q716" s="58" t="s">
        <v>3</v>
      </c>
    </row>
    <row r="717" ht="14.25">
      <c r="Q717" s="58" t="s">
        <v>3</v>
      </c>
    </row>
    <row r="718" ht="14.25">
      <c r="Q718" s="58" t="s">
        <v>3</v>
      </c>
    </row>
    <row r="719" ht="14.25">
      <c r="Q719" s="58" t="s">
        <v>3</v>
      </c>
    </row>
    <row r="720" ht="14.25">
      <c r="Q720" s="58" t="s">
        <v>3</v>
      </c>
    </row>
    <row r="721" ht="14.25">
      <c r="Q721" s="58" t="s">
        <v>3</v>
      </c>
    </row>
    <row r="722" ht="14.25">
      <c r="Q722" s="58" t="s">
        <v>3</v>
      </c>
    </row>
    <row r="723" ht="14.25">
      <c r="Q723" s="58" t="s">
        <v>3</v>
      </c>
    </row>
    <row r="724" ht="14.25">
      <c r="Q724" s="58" t="s">
        <v>3</v>
      </c>
    </row>
    <row r="725" ht="14.25">
      <c r="Q725" s="58" t="s">
        <v>3</v>
      </c>
    </row>
    <row r="726" ht="14.25">
      <c r="Q726" s="58" t="s">
        <v>3</v>
      </c>
    </row>
    <row r="727" ht="14.25">
      <c r="Q727" s="58" t="s">
        <v>3</v>
      </c>
    </row>
    <row r="728" ht="14.25">
      <c r="Q728" s="58" t="s">
        <v>3</v>
      </c>
    </row>
    <row r="729" ht="14.25">
      <c r="Q729" s="58" t="s">
        <v>3</v>
      </c>
    </row>
    <row r="730" ht="14.25">
      <c r="Q730" s="58" t="s">
        <v>3</v>
      </c>
    </row>
    <row r="731" ht="14.25">
      <c r="Q731" s="58" t="s">
        <v>3</v>
      </c>
    </row>
    <row r="732" ht="14.25">
      <c r="Q732" s="58" t="s">
        <v>3</v>
      </c>
    </row>
    <row r="733" ht="14.25">
      <c r="Q733" s="58" t="s">
        <v>3</v>
      </c>
    </row>
    <row r="734" ht="14.25">
      <c r="Q734" s="58" t="s">
        <v>3</v>
      </c>
    </row>
    <row r="735" ht="14.25">
      <c r="Q735" s="58" t="s">
        <v>3</v>
      </c>
    </row>
    <row r="736" ht="14.25">
      <c r="Q736" s="58" t="s">
        <v>3</v>
      </c>
    </row>
    <row r="737" ht="14.25">
      <c r="Q737" s="58" t="s">
        <v>3</v>
      </c>
    </row>
    <row r="738" ht="14.25">
      <c r="Q738" s="58" t="s">
        <v>3</v>
      </c>
    </row>
    <row r="739" ht="14.25">
      <c r="Q739" s="58" t="s">
        <v>3</v>
      </c>
    </row>
    <row r="740" ht="14.25">
      <c r="Q740" s="58" t="s">
        <v>3</v>
      </c>
    </row>
    <row r="741" ht="14.25">
      <c r="Q741" s="58" t="s">
        <v>3</v>
      </c>
    </row>
    <row r="742" ht="14.25">
      <c r="Q742" s="58" t="s">
        <v>3</v>
      </c>
    </row>
    <row r="743" ht="14.25">
      <c r="Q743" s="58" t="s">
        <v>3</v>
      </c>
    </row>
    <row r="744" ht="14.25">
      <c r="Q744" s="58" t="s">
        <v>3</v>
      </c>
    </row>
    <row r="745" ht="14.25">
      <c r="Q745" s="58" t="s">
        <v>3</v>
      </c>
    </row>
    <row r="746" ht="14.25">
      <c r="Q746" s="58" t="s">
        <v>3</v>
      </c>
    </row>
    <row r="747" ht="14.25">
      <c r="Q747" s="58" t="s">
        <v>3</v>
      </c>
    </row>
    <row r="748" ht="14.25">
      <c r="Q748" s="58" t="s">
        <v>3</v>
      </c>
    </row>
    <row r="749" ht="14.25">
      <c r="Q749" s="58" t="s">
        <v>3</v>
      </c>
    </row>
    <row r="750" ht="14.25">
      <c r="Q750" s="58" t="s">
        <v>3</v>
      </c>
    </row>
    <row r="751" ht="14.25">
      <c r="Q751" s="58" t="s">
        <v>3</v>
      </c>
    </row>
    <row r="752" ht="14.25">
      <c r="Q752" s="58" t="s">
        <v>3</v>
      </c>
    </row>
    <row r="753" ht="14.25">
      <c r="Q753" s="58" t="s">
        <v>3</v>
      </c>
    </row>
    <row r="754" ht="14.25">
      <c r="Q754" s="58" t="s">
        <v>3</v>
      </c>
    </row>
    <row r="755" ht="14.25">
      <c r="Q755" s="58" t="s">
        <v>3</v>
      </c>
    </row>
    <row r="756" ht="14.25">
      <c r="Q756" s="58" t="s">
        <v>3</v>
      </c>
    </row>
    <row r="757" ht="14.25">
      <c r="Q757" s="58" t="s">
        <v>3</v>
      </c>
    </row>
    <row r="758" ht="14.25">
      <c r="Q758" s="58" t="s">
        <v>3</v>
      </c>
    </row>
    <row r="759" ht="14.25">
      <c r="Q759" s="58" t="s">
        <v>3</v>
      </c>
    </row>
    <row r="760" ht="14.25">
      <c r="Q760" s="58" t="s">
        <v>3</v>
      </c>
    </row>
    <row r="761" ht="14.25">
      <c r="Q761" s="58" t="s">
        <v>3</v>
      </c>
    </row>
    <row r="762" ht="14.25">
      <c r="Q762" s="58" t="s">
        <v>3</v>
      </c>
    </row>
    <row r="763" ht="14.25">
      <c r="Q763" s="58" t="s">
        <v>3</v>
      </c>
    </row>
    <row r="764" ht="14.25">
      <c r="Q764" s="58" t="s">
        <v>3</v>
      </c>
    </row>
    <row r="765" ht="14.25">
      <c r="Q765" s="58" t="s">
        <v>3</v>
      </c>
    </row>
    <row r="766" ht="14.25">
      <c r="Q766" s="58" t="s">
        <v>3</v>
      </c>
    </row>
    <row r="767" ht="14.25">
      <c r="Q767" s="58" t="s">
        <v>3</v>
      </c>
    </row>
    <row r="768" ht="14.25">
      <c r="Q768" s="58" t="s">
        <v>3</v>
      </c>
    </row>
    <row r="769" ht="14.25">
      <c r="Q769" s="58" t="s">
        <v>3</v>
      </c>
    </row>
    <row r="770" ht="14.25">
      <c r="Q770" s="58" t="s">
        <v>3</v>
      </c>
    </row>
    <row r="771" ht="14.25">
      <c r="Q771" s="58" t="s">
        <v>3</v>
      </c>
    </row>
    <row r="772" ht="14.25">
      <c r="Q772" s="58" t="s">
        <v>3</v>
      </c>
    </row>
    <row r="773" ht="14.25">
      <c r="Q773" s="58" t="s">
        <v>3</v>
      </c>
    </row>
    <row r="774" ht="14.25">
      <c r="Q774" s="58" t="s">
        <v>3</v>
      </c>
    </row>
    <row r="775" ht="14.25">
      <c r="Q775" s="58" t="s">
        <v>3</v>
      </c>
    </row>
    <row r="776" ht="14.25">
      <c r="Q776" s="58" t="s">
        <v>3</v>
      </c>
    </row>
    <row r="777" ht="14.25">
      <c r="Q777" s="58" t="s">
        <v>3</v>
      </c>
    </row>
    <row r="778" ht="14.25">
      <c r="Q778" s="58" t="s">
        <v>3</v>
      </c>
    </row>
    <row r="779" ht="14.25">
      <c r="Q779" s="58" t="s">
        <v>3</v>
      </c>
    </row>
    <row r="780" ht="14.25">
      <c r="Q780" s="58" t="s">
        <v>3</v>
      </c>
    </row>
    <row r="781" ht="14.25">
      <c r="Q781" s="58" t="s">
        <v>3</v>
      </c>
    </row>
    <row r="782" ht="14.25">
      <c r="Q782" s="58" t="s">
        <v>3</v>
      </c>
    </row>
    <row r="783" ht="14.25">
      <c r="Q783" s="58" t="s">
        <v>3</v>
      </c>
    </row>
    <row r="784" ht="14.25">
      <c r="Q784" s="58" t="s">
        <v>3</v>
      </c>
    </row>
    <row r="785" ht="14.25">
      <c r="Q785" s="58" t="s">
        <v>3</v>
      </c>
    </row>
    <row r="786" ht="14.25">
      <c r="Q786" s="58" t="s">
        <v>3</v>
      </c>
    </row>
    <row r="787" ht="14.25">
      <c r="Q787" s="58" t="s">
        <v>3</v>
      </c>
    </row>
    <row r="788" ht="14.25">
      <c r="Q788" s="58" t="s">
        <v>3</v>
      </c>
    </row>
    <row r="789" ht="14.25">
      <c r="Q789" s="58" t="s">
        <v>3</v>
      </c>
    </row>
    <row r="790" ht="14.25">
      <c r="Q790" s="58" t="s">
        <v>3</v>
      </c>
    </row>
    <row r="791" ht="14.25">
      <c r="Q791" s="58" t="s">
        <v>3</v>
      </c>
    </row>
    <row r="792" ht="14.25">
      <c r="Q792" s="58" t="s">
        <v>3</v>
      </c>
    </row>
    <row r="793" ht="14.25">
      <c r="Q793" s="58" t="s">
        <v>3</v>
      </c>
    </row>
    <row r="794" ht="14.25">
      <c r="Q794" s="58" t="s">
        <v>3</v>
      </c>
    </row>
    <row r="795" ht="14.25">
      <c r="Q795" s="58" t="s">
        <v>3</v>
      </c>
    </row>
    <row r="796" ht="14.25">
      <c r="Q796" s="58" t="s">
        <v>3</v>
      </c>
    </row>
    <row r="797" ht="14.25">
      <c r="Q797" s="58" t="s">
        <v>3</v>
      </c>
    </row>
    <row r="798" ht="14.25">
      <c r="Q798" s="58" t="s">
        <v>3</v>
      </c>
    </row>
    <row r="799" ht="14.25">
      <c r="Q799" s="58" t="s">
        <v>3</v>
      </c>
    </row>
    <row r="800" ht="14.25">
      <c r="Q800" s="58" t="s">
        <v>3</v>
      </c>
    </row>
    <row r="801" ht="14.25">
      <c r="Q801" s="58" t="s">
        <v>3</v>
      </c>
    </row>
    <row r="802" ht="14.25">
      <c r="Q802" s="58" t="s">
        <v>3</v>
      </c>
    </row>
    <row r="803" ht="14.25">
      <c r="Q803" s="58" t="s">
        <v>3</v>
      </c>
    </row>
    <row r="804" ht="14.25">
      <c r="Q804" s="58" t="s">
        <v>3</v>
      </c>
    </row>
    <row r="805" ht="14.25">
      <c r="Q805" s="58" t="s">
        <v>3</v>
      </c>
    </row>
    <row r="806" ht="14.25">
      <c r="Q806" s="58" t="s">
        <v>3</v>
      </c>
    </row>
    <row r="807" ht="14.25">
      <c r="Q807" s="58" t="s">
        <v>3</v>
      </c>
    </row>
    <row r="808" ht="14.25">
      <c r="Q808" s="58" t="s">
        <v>3</v>
      </c>
    </row>
    <row r="809" ht="14.25">
      <c r="Q809" s="58" t="s">
        <v>3</v>
      </c>
    </row>
    <row r="810" ht="14.25">
      <c r="Q810" s="58" t="s">
        <v>3</v>
      </c>
    </row>
    <row r="811" ht="14.25">
      <c r="Q811" s="58" t="s">
        <v>3</v>
      </c>
    </row>
    <row r="812" ht="14.25">
      <c r="Q812" s="58" t="s">
        <v>3</v>
      </c>
    </row>
    <row r="813" ht="14.25">
      <c r="Q813" s="58" t="s">
        <v>3</v>
      </c>
    </row>
    <row r="814" ht="14.25">
      <c r="Q814" s="58" t="s">
        <v>3</v>
      </c>
    </row>
    <row r="815" ht="14.25">
      <c r="Q815" s="58" t="s">
        <v>3</v>
      </c>
    </row>
    <row r="816" ht="14.25">
      <c r="Q816" s="58" t="s">
        <v>3</v>
      </c>
    </row>
    <row r="817" ht="14.25">
      <c r="Q817" s="58" t="s">
        <v>3</v>
      </c>
    </row>
    <row r="818" ht="14.25">
      <c r="Q818" s="58" t="s">
        <v>3</v>
      </c>
    </row>
    <row r="819" ht="14.25">
      <c r="Q819" s="58" t="s">
        <v>3</v>
      </c>
    </row>
    <row r="820" ht="14.25">
      <c r="Q820" s="58" t="s">
        <v>3</v>
      </c>
    </row>
    <row r="821" ht="14.25">
      <c r="Q821" s="58" t="s">
        <v>3</v>
      </c>
    </row>
    <row r="822" ht="14.25">
      <c r="Q822" s="58" t="s">
        <v>3</v>
      </c>
    </row>
    <row r="823" ht="14.25">
      <c r="Q823" s="58" t="s">
        <v>3</v>
      </c>
    </row>
    <row r="824" ht="14.25">
      <c r="Q824" s="58" t="s">
        <v>3</v>
      </c>
    </row>
    <row r="825" ht="14.25">
      <c r="Q825" s="58" t="s">
        <v>3</v>
      </c>
    </row>
    <row r="826" ht="14.25">
      <c r="Q826" s="58" t="s">
        <v>3</v>
      </c>
    </row>
    <row r="827" ht="14.25">
      <c r="Q827" s="58" t="s">
        <v>3</v>
      </c>
    </row>
    <row r="828" ht="14.25">
      <c r="Q828" s="58" t="s">
        <v>3</v>
      </c>
    </row>
    <row r="829" ht="14.25">
      <c r="Q829" s="58" t="s">
        <v>3</v>
      </c>
    </row>
    <row r="830" ht="14.25">
      <c r="Q830" s="58" t="s">
        <v>3</v>
      </c>
    </row>
    <row r="831" ht="14.25">
      <c r="Q831" s="58" t="s">
        <v>3</v>
      </c>
    </row>
    <row r="832" ht="14.25">
      <c r="Q832" s="58" t="s">
        <v>3</v>
      </c>
    </row>
    <row r="833" ht="14.25">
      <c r="Q833" s="58" t="s">
        <v>3</v>
      </c>
    </row>
    <row r="834" ht="14.25">
      <c r="Q834" s="58" t="s">
        <v>3</v>
      </c>
    </row>
    <row r="835" ht="14.25">
      <c r="Q835" s="58" t="s">
        <v>3</v>
      </c>
    </row>
    <row r="836" ht="14.25">
      <c r="Q836" s="58" t="s">
        <v>3</v>
      </c>
    </row>
    <row r="837" ht="14.25">
      <c r="Q837" s="58" t="s">
        <v>3</v>
      </c>
    </row>
    <row r="838" ht="14.25">
      <c r="Q838" s="58" t="s">
        <v>3</v>
      </c>
    </row>
    <row r="839" ht="14.25">
      <c r="Q839" s="58" t="s">
        <v>3</v>
      </c>
    </row>
    <row r="840" ht="14.25">
      <c r="Q840" s="58" t="s">
        <v>3</v>
      </c>
    </row>
    <row r="841" ht="14.25">
      <c r="Q841" s="58" t="s">
        <v>3</v>
      </c>
    </row>
    <row r="842" ht="14.25">
      <c r="Q842" s="58" t="s">
        <v>3</v>
      </c>
    </row>
    <row r="843" ht="14.25">
      <c r="Q843" s="58" t="s">
        <v>3</v>
      </c>
    </row>
    <row r="844" ht="14.25">
      <c r="Q844" s="58" t="s">
        <v>3</v>
      </c>
    </row>
    <row r="845" ht="14.25">
      <c r="Q845" s="58" t="s">
        <v>3</v>
      </c>
    </row>
    <row r="846" ht="14.25">
      <c r="Q846" s="58" t="s">
        <v>3</v>
      </c>
    </row>
    <row r="847" ht="14.25">
      <c r="Q847" s="58" t="s">
        <v>3</v>
      </c>
    </row>
    <row r="848" ht="14.25">
      <c r="Q848" s="58" t="s">
        <v>3</v>
      </c>
    </row>
    <row r="849" ht="14.25">
      <c r="Q849" s="58" t="s">
        <v>3</v>
      </c>
    </row>
    <row r="850" ht="14.25">
      <c r="Q850" s="58" t="s">
        <v>3</v>
      </c>
    </row>
    <row r="851" ht="14.25">
      <c r="Q851" s="58" t="s">
        <v>3</v>
      </c>
    </row>
    <row r="852" ht="14.25">
      <c r="Q852" s="58" t="s">
        <v>3</v>
      </c>
    </row>
    <row r="853" ht="14.25">
      <c r="Q853" s="58" t="s">
        <v>3</v>
      </c>
    </row>
    <row r="854" ht="14.25">
      <c r="Q854" s="58" t="s">
        <v>3</v>
      </c>
    </row>
    <row r="855" ht="14.25">
      <c r="Q855" s="58" t="s">
        <v>3</v>
      </c>
    </row>
    <row r="856" ht="14.25">
      <c r="Q856" s="58" t="s">
        <v>3</v>
      </c>
    </row>
    <row r="857" ht="14.25">
      <c r="Q857" s="58" t="s">
        <v>3</v>
      </c>
    </row>
    <row r="858" ht="14.25">
      <c r="Q858" s="58" t="s">
        <v>3</v>
      </c>
    </row>
    <row r="859" ht="14.25">
      <c r="Q859" s="58" t="s">
        <v>3</v>
      </c>
    </row>
    <row r="860" ht="14.25">
      <c r="Q860" s="58" t="s">
        <v>3</v>
      </c>
    </row>
    <row r="861" ht="14.25">
      <c r="Q861" s="58" t="s">
        <v>3</v>
      </c>
    </row>
    <row r="862" ht="14.25">
      <c r="Q862" s="58" t="s">
        <v>3</v>
      </c>
    </row>
    <row r="863" ht="14.25">
      <c r="Q863" s="58" t="s">
        <v>3</v>
      </c>
    </row>
    <row r="864" ht="14.25">
      <c r="Q864" s="58" t="s">
        <v>3</v>
      </c>
    </row>
    <row r="865" ht="14.25">
      <c r="Q865" s="58" t="s">
        <v>3</v>
      </c>
    </row>
    <row r="866" ht="14.25">
      <c r="Q866" s="58" t="s">
        <v>3</v>
      </c>
    </row>
    <row r="867" ht="14.25">
      <c r="Q867" s="58" t="s">
        <v>3</v>
      </c>
    </row>
    <row r="868" ht="14.25">
      <c r="Q868" s="58" t="s">
        <v>3</v>
      </c>
    </row>
    <row r="869" ht="14.25">
      <c r="Q869" s="58" t="s">
        <v>3</v>
      </c>
    </row>
    <row r="870" ht="14.25">
      <c r="Q870" s="58" t="s">
        <v>3</v>
      </c>
    </row>
    <row r="871" ht="14.25">
      <c r="Q871" s="58" t="s">
        <v>3</v>
      </c>
    </row>
    <row r="872" ht="14.25">
      <c r="Q872" s="58" t="s">
        <v>3</v>
      </c>
    </row>
    <row r="873" ht="14.25">
      <c r="Q873" s="58" t="s">
        <v>3</v>
      </c>
    </row>
    <row r="874" ht="14.25">
      <c r="Q874" s="58" t="s">
        <v>3</v>
      </c>
    </row>
    <row r="875" ht="14.25">
      <c r="Q875" s="58" t="s">
        <v>3</v>
      </c>
    </row>
    <row r="876" ht="14.25">
      <c r="Q876" s="58" t="s">
        <v>3</v>
      </c>
    </row>
    <row r="877" ht="14.25">
      <c r="Q877" s="58" t="s">
        <v>3</v>
      </c>
    </row>
    <row r="878" ht="14.25">
      <c r="Q878" s="58" t="s">
        <v>3</v>
      </c>
    </row>
    <row r="879" ht="14.25">
      <c r="Q879" s="58" t="s">
        <v>3</v>
      </c>
    </row>
    <row r="880" ht="14.25">
      <c r="Q880" s="58" t="s">
        <v>3</v>
      </c>
    </row>
    <row r="881" ht="14.25">
      <c r="Q881" s="58" t="s">
        <v>3</v>
      </c>
    </row>
    <row r="882" ht="14.25">
      <c r="Q882" s="58" t="s">
        <v>3</v>
      </c>
    </row>
    <row r="883" ht="14.25">
      <c r="Q883" s="58" t="s">
        <v>3</v>
      </c>
    </row>
    <row r="884" ht="14.25">
      <c r="Q884" s="58" t="s">
        <v>3</v>
      </c>
    </row>
    <row r="885" ht="14.25">
      <c r="Q885" s="58" t="s">
        <v>3</v>
      </c>
    </row>
    <row r="886" ht="14.25">
      <c r="Q886" s="58" t="s">
        <v>3</v>
      </c>
    </row>
    <row r="887" ht="14.25">
      <c r="Q887" s="58" t="s">
        <v>3</v>
      </c>
    </row>
    <row r="888" ht="14.25">
      <c r="Q888" s="58" t="s">
        <v>3</v>
      </c>
    </row>
    <row r="889" ht="14.25">
      <c r="Q889" s="58" t="s">
        <v>3</v>
      </c>
    </row>
    <row r="890" ht="14.25">
      <c r="Q890" s="58" t="s">
        <v>3</v>
      </c>
    </row>
    <row r="891" ht="14.25">
      <c r="Q891" s="58" t="s">
        <v>3</v>
      </c>
    </row>
    <row r="892" ht="14.25">
      <c r="Q892" s="58" t="s">
        <v>3</v>
      </c>
    </row>
    <row r="893" ht="14.25">
      <c r="Q893" s="58" t="s">
        <v>3</v>
      </c>
    </row>
    <row r="894" ht="14.25">
      <c r="Q894" s="58" t="s">
        <v>3</v>
      </c>
    </row>
    <row r="895" ht="14.25">
      <c r="Q895" s="58" t="s">
        <v>3</v>
      </c>
    </row>
    <row r="896" ht="14.25">
      <c r="Q896" s="58" t="s">
        <v>3</v>
      </c>
    </row>
    <row r="897" ht="14.25">
      <c r="Q897" s="58" t="s">
        <v>3</v>
      </c>
    </row>
    <row r="898" ht="14.25">
      <c r="Q898" s="58" t="s">
        <v>3</v>
      </c>
    </row>
    <row r="899" ht="14.25">
      <c r="Q899" s="105" t="s">
        <v>3</v>
      </c>
    </row>
    <row r="900" ht="14.25">
      <c r="Q900" s="58" t="s">
        <v>3</v>
      </c>
    </row>
    <row r="901" ht="14.25">
      <c r="Q901" s="58" t="s">
        <v>3</v>
      </c>
    </row>
    <row r="902" ht="14.25">
      <c r="Q902" s="58" t="s">
        <v>3</v>
      </c>
    </row>
    <row r="903" ht="14.25">
      <c r="Q903" s="58" t="s">
        <v>3</v>
      </c>
    </row>
    <row r="904" ht="14.25">
      <c r="Q904" s="58" t="s">
        <v>3</v>
      </c>
    </row>
    <row r="905" ht="14.25">
      <c r="Q905" s="58" t="s">
        <v>3</v>
      </c>
    </row>
    <row r="906" ht="14.25">
      <c r="Q906" s="58" t="s">
        <v>3</v>
      </c>
    </row>
    <row r="907" ht="14.25">
      <c r="Q907" s="58" t="s">
        <v>3</v>
      </c>
    </row>
    <row r="908" ht="14.25">
      <c r="Q908" s="58" t="s">
        <v>3</v>
      </c>
    </row>
    <row r="909" ht="14.25">
      <c r="Q909" s="58" t="s">
        <v>3</v>
      </c>
    </row>
    <row r="910" ht="14.25">
      <c r="Q910" s="58" t="s">
        <v>3</v>
      </c>
    </row>
    <row r="911" ht="14.25">
      <c r="Q911" s="58" t="s">
        <v>3</v>
      </c>
    </row>
    <row r="912" ht="14.25">
      <c r="Q912" s="58" t="s">
        <v>3</v>
      </c>
    </row>
    <row r="913" ht="14.25">
      <c r="Q913" s="58" t="s">
        <v>3</v>
      </c>
    </row>
    <row r="914" ht="14.25">
      <c r="Q914" s="58" t="s">
        <v>3</v>
      </c>
    </row>
    <row r="915" ht="14.25">
      <c r="Q915" s="58" t="s">
        <v>3</v>
      </c>
    </row>
    <row r="916" ht="14.25">
      <c r="Q916" s="58" t="s">
        <v>3</v>
      </c>
    </row>
    <row r="917" ht="14.25">
      <c r="Q917" s="58" t="s">
        <v>3</v>
      </c>
    </row>
    <row r="918" ht="14.25">
      <c r="Q918" s="58" t="s">
        <v>3</v>
      </c>
    </row>
    <row r="919" ht="14.25">
      <c r="Q919" s="58" t="s">
        <v>3</v>
      </c>
    </row>
    <row r="920" ht="14.25">
      <c r="Q920" s="58" t="s">
        <v>3</v>
      </c>
    </row>
    <row r="921" ht="14.25">
      <c r="Q921" s="58" t="s">
        <v>3</v>
      </c>
    </row>
    <row r="922" ht="14.25">
      <c r="Q922" s="58" t="s">
        <v>3</v>
      </c>
    </row>
    <row r="923" ht="14.25">
      <c r="Q923" s="58" t="s">
        <v>3</v>
      </c>
    </row>
    <row r="924" ht="14.25">
      <c r="Q924" s="58" t="s">
        <v>3</v>
      </c>
    </row>
    <row r="925" ht="14.25">
      <c r="Q925" s="58" t="s">
        <v>3</v>
      </c>
    </row>
    <row r="926" ht="14.25">
      <c r="Q926" s="58" t="s">
        <v>3</v>
      </c>
    </row>
    <row r="927" ht="14.25">
      <c r="Q927" s="58" t="s">
        <v>3</v>
      </c>
    </row>
    <row r="928" ht="14.25">
      <c r="Q928" s="58" t="s">
        <v>3</v>
      </c>
    </row>
    <row r="929" ht="14.25">
      <c r="Q929" s="58" t="s">
        <v>3</v>
      </c>
    </row>
    <row r="930" ht="14.25">
      <c r="Q930" s="58" t="s">
        <v>3</v>
      </c>
    </row>
    <row r="931" ht="14.25">
      <c r="Q931" s="58" t="s">
        <v>3</v>
      </c>
    </row>
    <row r="932" ht="14.25">
      <c r="Q932" s="58" t="s">
        <v>3</v>
      </c>
    </row>
    <row r="933" ht="14.25">
      <c r="Q933" s="58" t="s">
        <v>3</v>
      </c>
    </row>
    <row r="934" ht="14.25">
      <c r="Q934" s="58" t="s">
        <v>3</v>
      </c>
    </row>
    <row r="935" ht="14.25">
      <c r="Q935" s="58" t="s">
        <v>3</v>
      </c>
    </row>
    <row r="936" ht="14.25">
      <c r="Q936" s="58" t="s">
        <v>3</v>
      </c>
    </row>
    <row r="937" ht="14.25">
      <c r="Q937" s="58" t="s">
        <v>3</v>
      </c>
    </row>
    <row r="938" ht="14.25">
      <c r="Q938" s="58" t="s">
        <v>3</v>
      </c>
    </row>
    <row r="939" ht="14.25">
      <c r="Q939" s="58" t="s">
        <v>3</v>
      </c>
    </row>
    <row r="940" ht="14.25">
      <c r="Q940" s="58" t="s">
        <v>3</v>
      </c>
    </row>
    <row r="941" ht="14.25">
      <c r="Q941" s="58" t="s">
        <v>3</v>
      </c>
    </row>
    <row r="942" ht="14.25">
      <c r="Q942" s="58" t="s">
        <v>3</v>
      </c>
    </row>
    <row r="943" ht="14.25">
      <c r="Q943" s="58" t="s">
        <v>3</v>
      </c>
    </row>
    <row r="944" ht="14.25">
      <c r="Q944" s="58" t="s">
        <v>3</v>
      </c>
    </row>
    <row r="945" ht="14.25">
      <c r="Q945" s="58" t="s">
        <v>3</v>
      </c>
    </row>
    <row r="946" ht="14.25">
      <c r="Q946" s="58" t="s">
        <v>3</v>
      </c>
    </row>
    <row r="947" ht="14.25">
      <c r="Q947" s="58" t="s">
        <v>3</v>
      </c>
    </row>
    <row r="948" ht="14.25">
      <c r="Q948" s="58" t="s">
        <v>3</v>
      </c>
    </row>
    <row r="949" ht="14.25">
      <c r="Q949" s="58" t="s">
        <v>3</v>
      </c>
    </row>
    <row r="950" ht="14.25">
      <c r="Q950" s="58" t="s">
        <v>3</v>
      </c>
    </row>
    <row r="951" ht="14.25">
      <c r="Q951" s="58" t="s">
        <v>3</v>
      </c>
    </row>
    <row r="952" ht="14.25">
      <c r="Q952" s="58" t="s">
        <v>3</v>
      </c>
    </row>
    <row r="953" ht="14.25">
      <c r="Q953" s="58" t="s">
        <v>3</v>
      </c>
    </row>
    <row r="954" ht="14.25">
      <c r="Q954" s="58" t="s">
        <v>3</v>
      </c>
    </row>
    <row r="955" ht="14.25">
      <c r="Q955" s="58" t="s">
        <v>3</v>
      </c>
    </row>
    <row r="956" ht="14.25">
      <c r="Q956" s="58" t="s">
        <v>3</v>
      </c>
    </row>
    <row r="957" ht="14.25">
      <c r="Q957" s="58" t="s">
        <v>3</v>
      </c>
    </row>
    <row r="958" ht="14.25">
      <c r="Q958" s="58" t="s">
        <v>3</v>
      </c>
    </row>
    <row r="959" ht="14.25">
      <c r="Q959" s="58" t="s">
        <v>3</v>
      </c>
    </row>
    <row r="960" ht="14.25">
      <c r="Q960" s="58" t="s">
        <v>3</v>
      </c>
    </row>
    <row r="961" ht="14.25">
      <c r="Q961" s="58" t="s">
        <v>3</v>
      </c>
    </row>
    <row r="962" ht="14.25">
      <c r="Q962" s="58" t="s">
        <v>3</v>
      </c>
    </row>
    <row r="963" ht="14.25">
      <c r="Q963" s="58" t="s">
        <v>3</v>
      </c>
    </row>
    <row r="964" ht="14.25">
      <c r="Q964" s="58" t="s">
        <v>3</v>
      </c>
    </row>
    <row r="965" ht="14.25">
      <c r="Q965" s="58" t="s">
        <v>3</v>
      </c>
    </row>
    <row r="966" ht="14.25">
      <c r="Q966" s="58" t="s">
        <v>3</v>
      </c>
    </row>
    <row r="967" ht="14.25">
      <c r="Q967" s="58" t="s">
        <v>3</v>
      </c>
    </row>
    <row r="968" ht="14.25">
      <c r="Q968" s="58" t="s">
        <v>3</v>
      </c>
    </row>
    <row r="969" ht="14.25">
      <c r="Q969" s="58" t="s">
        <v>3</v>
      </c>
    </row>
    <row r="970" ht="14.25">
      <c r="Q970" s="58" t="s">
        <v>3</v>
      </c>
    </row>
    <row r="971" ht="14.25">
      <c r="Q971" s="58" t="s">
        <v>3</v>
      </c>
    </row>
    <row r="972" ht="14.25">
      <c r="Q972" s="58" t="s">
        <v>3</v>
      </c>
    </row>
    <row r="973" ht="14.25">
      <c r="Q973" s="58" t="s">
        <v>3</v>
      </c>
    </row>
    <row r="974" ht="14.25">
      <c r="Q974" s="58" t="s">
        <v>3</v>
      </c>
    </row>
    <row r="975" ht="14.25">
      <c r="Q975" s="58" t="s">
        <v>3</v>
      </c>
    </row>
    <row r="976" ht="14.25">
      <c r="Q976" s="58" t="s">
        <v>3</v>
      </c>
    </row>
    <row r="977" ht="14.25">
      <c r="Q977" s="58" t="s">
        <v>3</v>
      </c>
    </row>
    <row r="978" ht="14.25">
      <c r="Q978" s="58" t="s">
        <v>3</v>
      </c>
    </row>
    <row r="979" ht="14.25">
      <c r="Q979" s="58" t="s">
        <v>3</v>
      </c>
    </row>
    <row r="980" ht="14.25">
      <c r="Q980" s="58" t="s">
        <v>3</v>
      </c>
    </row>
    <row r="981" ht="14.25">
      <c r="Q981" s="58" t="s">
        <v>3</v>
      </c>
    </row>
    <row r="982" ht="14.25">
      <c r="Q982" s="58" t="s">
        <v>3</v>
      </c>
    </row>
    <row r="983" ht="14.25">
      <c r="Q983" s="58" t="s">
        <v>3</v>
      </c>
    </row>
    <row r="984" ht="14.25">
      <c r="Q984" s="58" t="s">
        <v>3</v>
      </c>
    </row>
    <row r="985" ht="14.25">
      <c r="Q985" s="58" t="s">
        <v>3</v>
      </c>
    </row>
    <row r="986" ht="14.25">
      <c r="Q986" s="58" t="s">
        <v>3</v>
      </c>
    </row>
    <row r="987" ht="14.25">
      <c r="Q987" s="58" t="s">
        <v>3</v>
      </c>
    </row>
    <row r="988" ht="14.25">
      <c r="Q988" s="58" t="s">
        <v>3</v>
      </c>
    </row>
    <row r="989" ht="14.25">
      <c r="Q989" s="58" t="s">
        <v>3</v>
      </c>
    </row>
    <row r="990" ht="14.25">
      <c r="Q990" s="58" t="s">
        <v>3</v>
      </c>
    </row>
    <row r="991" ht="14.25">
      <c r="Q991" s="58" t="s">
        <v>3</v>
      </c>
    </row>
    <row r="992" ht="14.25">
      <c r="Q992" s="58" t="s">
        <v>3</v>
      </c>
    </row>
    <row r="993" ht="14.25">
      <c r="Q993" s="58" t="s">
        <v>3</v>
      </c>
    </row>
    <row r="994" ht="14.25">
      <c r="Q994" s="58" t="s">
        <v>3</v>
      </c>
    </row>
    <row r="995" ht="14.25">
      <c r="Q995" s="58" t="s">
        <v>3</v>
      </c>
    </row>
    <row r="996" ht="14.25">
      <c r="Q996" s="58" t="s">
        <v>3</v>
      </c>
    </row>
    <row r="997" ht="14.25">
      <c r="Q997" s="58" t="s">
        <v>3</v>
      </c>
    </row>
    <row r="998" ht="14.25">
      <c r="Q998" s="58" t="s">
        <v>3</v>
      </c>
    </row>
    <row r="999" ht="14.25">
      <c r="Q999" s="58" t="s">
        <v>3</v>
      </c>
    </row>
    <row r="1000" ht="14.25">
      <c r="Q1000" s="58" t="s">
        <v>3</v>
      </c>
    </row>
    <row r="1001" ht="14.25">
      <c r="Q1001" s="58" t="s">
        <v>3</v>
      </c>
    </row>
    <row r="1002" ht="14.25">
      <c r="Q1002" s="58" t="s">
        <v>3</v>
      </c>
    </row>
    <row r="1003" ht="14.25">
      <c r="Q1003" s="58" t="s">
        <v>3</v>
      </c>
    </row>
    <row r="1004" ht="14.25">
      <c r="Q1004" s="58" t="s">
        <v>3</v>
      </c>
    </row>
    <row r="1005" ht="14.25">
      <c r="Q1005" s="58" t="s">
        <v>3</v>
      </c>
    </row>
    <row r="1006" ht="14.25">
      <c r="Q1006" s="58" t="s">
        <v>3</v>
      </c>
    </row>
    <row r="1007" ht="14.25">
      <c r="Q1007" s="58" t="s">
        <v>3</v>
      </c>
    </row>
    <row r="1008" ht="14.25">
      <c r="Q1008" s="58" t="s">
        <v>3</v>
      </c>
    </row>
    <row r="1009" ht="14.25">
      <c r="Q1009" s="58" t="s">
        <v>3</v>
      </c>
    </row>
    <row r="1010" ht="14.25">
      <c r="Q1010" s="58" t="s">
        <v>3</v>
      </c>
    </row>
    <row r="1011" ht="14.25">
      <c r="Q1011" s="58" t="s">
        <v>3</v>
      </c>
    </row>
    <row r="1012" ht="14.25">
      <c r="Q1012" s="58" t="s">
        <v>3</v>
      </c>
    </row>
    <row r="1013" ht="14.25">
      <c r="Q1013" s="58" t="s">
        <v>3</v>
      </c>
    </row>
    <row r="1014" ht="14.25">
      <c r="Q1014" s="58" t="s">
        <v>3</v>
      </c>
    </row>
    <row r="1015" ht="14.25">
      <c r="Q1015" s="58" t="s">
        <v>3</v>
      </c>
    </row>
    <row r="1016" ht="14.25">
      <c r="Q1016" s="58" t="s">
        <v>3</v>
      </c>
    </row>
    <row r="1017" ht="14.25">
      <c r="Q1017" s="58" t="s">
        <v>3</v>
      </c>
    </row>
    <row r="1018" ht="14.25">
      <c r="Q1018" s="58" t="s">
        <v>3</v>
      </c>
    </row>
    <row r="1019" ht="14.25">
      <c r="Q1019" s="58" t="s">
        <v>3</v>
      </c>
    </row>
    <row r="1020" ht="14.25">
      <c r="Q1020" s="58" t="s">
        <v>3</v>
      </c>
    </row>
    <row r="1021" ht="14.25">
      <c r="Q1021" s="58" t="s">
        <v>3</v>
      </c>
    </row>
    <row r="1022" ht="14.25">
      <c r="Q1022" s="58" t="s">
        <v>3</v>
      </c>
    </row>
    <row r="1023" ht="14.25">
      <c r="Q1023" s="58" t="s">
        <v>3</v>
      </c>
    </row>
    <row r="1024" ht="14.25">
      <c r="Q1024" s="58" t="s">
        <v>3</v>
      </c>
    </row>
    <row r="1025" ht="14.25">
      <c r="Q1025" s="58" t="s">
        <v>3</v>
      </c>
    </row>
    <row r="1026" ht="14.25">
      <c r="Q1026" s="58" t="s">
        <v>3</v>
      </c>
    </row>
    <row r="1027" ht="14.25">
      <c r="Q1027" s="58" t="s">
        <v>3</v>
      </c>
    </row>
    <row r="1028" ht="14.25">
      <c r="Q1028" s="58" t="s">
        <v>3</v>
      </c>
    </row>
    <row r="1029" ht="14.25">
      <c r="Q1029" s="58" t="s">
        <v>3</v>
      </c>
    </row>
    <row r="1030" ht="14.25">
      <c r="Q1030" s="58" t="s">
        <v>3</v>
      </c>
    </row>
    <row r="1031" ht="14.25">
      <c r="Q1031" s="58" t="s">
        <v>3</v>
      </c>
    </row>
    <row r="1032" ht="14.25">
      <c r="Q1032" s="58" t="s">
        <v>3</v>
      </c>
    </row>
    <row r="1033" ht="14.25">
      <c r="Q1033" s="58" t="s">
        <v>3</v>
      </c>
    </row>
    <row r="1034" ht="14.25">
      <c r="Q1034" s="58" t="s">
        <v>3</v>
      </c>
    </row>
    <row r="1035" ht="14.25">
      <c r="Q1035" s="58" t="s">
        <v>3</v>
      </c>
    </row>
    <row r="1036" ht="14.25">
      <c r="Q1036" s="58" t="s">
        <v>3</v>
      </c>
    </row>
    <row r="1037" ht="14.25">
      <c r="Q1037" s="58" t="s">
        <v>3</v>
      </c>
    </row>
    <row r="1038" ht="14.25">
      <c r="Q1038" s="58" t="s">
        <v>3</v>
      </c>
    </row>
    <row r="1039" ht="14.25">
      <c r="Q1039" s="58" t="s">
        <v>3</v>
      </c>
    </row>
    <row r="1040" ht="14.25">
      <c r="Q1040" s="58" t="s">
        <v>3</v>
      </c>
    </row>
    <row r="1041" ht="14.25">
      <c r="Q1041" s="58" t="s">
        <v>3</v>
      </c>
    </row>
    <row r="1042" ht="14.25">
      <c r="Q1042" s="58" t="s">
        <v>3</v>
      </c>
    </row>
    <row r="1043" ht="14.25">
      <c r="Q1043" s="58" t="s">
        <v>3</v>
      </c>
    </row>
  </sheetData>
  <printOptions horizontalCentered="1"/>
  <pageMargins left="0.5" right="0.5" top="0.65" bottom="0.5" header="0" footer="0.25"/>
  <pageSetup horizontalDpi="600" verticalDpi="600" orientation="landscape" scale="56" r:id="rId1"/>
  <rowBreaks count="8" manualBreakCount="8">
    <brk id="62" max="14" man="1"/>
    <brk id="124" max="14" man="1"/>
    <brk id="186" max="14" man="1"/>
    <brk id="248" max="14" man="1"/>
    <brk id="310" max="14" man="1"/>
    <brk id="372" max="14" man="1"/>
    <brk id="434" max="14" man="1"/>
    <brk id="49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BC527"/>
  <sheetViews>
    <sheetView zoomScale="75" zoomScaleNormal="75" workbookViewId="0" topLeftCell="A369">
      <selection activeCell="D357" sqref="D357"/>
    </sheetView>
  </sheetViews>
  <sheetFormatPr defaultColWidth="9.140625" defaultRowHeight="12.75"/>
  <cols>
    <col min="1" max="1" width="6.8515625" style="3" customWidth="1"/>
    <col min="2" max="2" width="21.7109375" style="3" customWidth="1"/>
    <col min="3" max="3" width="12.7109375" style="2" customWidth="1"/>
    <col min="4" max="4" width="13.8515625" style="3" customWidth="1"/>
    <col min="5" max="5" width="14.00390625" style="3" customWidth="1"/>
    <col min="6" max="6" width="14.7109375" style="3" customWidth="1"/>
    <col min="7" max="10" width="13.7109375" style="3" customWidth="1"/>
    <col min="11" max="12" width="14.00390625" style="3" customWidth="1"/>
    <col min="13" max="13" width="14.28125" style="3" customWidth="1"/>
    <col min="14" max="14" width="14.00390625" style="3" customWidth="1"/>
    <col min="15" max="15" width="14.28125" style="3" customWidth="1"/>
    <col min="16" max="16" width="14.00390625" style="1" customWidth="1"/>
    <col min="17" max="17" width="14.00390625" style="3" customWidth="1"/>
    <col min="18" max="21" width="13.28125" style="3" customWidth="1"/>
    <col min="22" max="22" width="14.00390625" style="3" customWidth="1"/>
    <col min="23" max="23" width="14.140625" style="3" customWidth="1"/>
    <col min="24" max="24" width="14.00390625" style="3" customWidth="1"/>
    <col min="25" max="25" width="14.140625" style="3" customWidth="1"/>
    <col min="26" max="26" width="14.421875" style="3" customWidth="1"/>
    <col min="27" max="27" width="13.28125" style="3" customWidth="1"/>
    <col min="28" max="28" width="4.421875" style="3" customWidth="1"/>
    <col min="29" max="30" width="14.28125" style="3" customWidth="1"/>
    <col min="31" max="37" width="13.28125" style="3" customWidth="1"/>
    <col min="38" max="39" width="11.7109375" style="3" customWidth="1"/>
    <col min="40" max="40" width="19.140625" style="3" customWidth="1"/>
    <col min="41" max="41" width="11.7109375" style="3" customWidth="1"/>
    <col min="42" max="48" width="15.421875" style="3" customWidth="1"/>
    <col min="49" max="49" width="11.7109375" style="3" customWidth="1"/>
    <col min="50" max="50" width="8.140625" style="3" customWidth="1"/>
    <col min="51" max="51" width="11.7109375" style="3" customWidth="1"/>
    <col min="52" max="52" width="19.140625" style="3" customWidth="1"/>
    <col min="53" max="16384" width="11.7109375" style="3" customWidth="1"/>
  </cols>
  <sheetData>
    <row r="1" spans="1:50" ht="12.75">
      <c r="A1" s="4" t="s">
        <v>2</v>
      </c>
      <c r="P1" s="5"/>
      <c r="AB1" s="6" t="s">
        <v>101</v>
      </c>
      <c r="AC1" s="4" t="s">
        <v>2</v>
      </c>
      <c r="AH1" s="11"/>
      <c r="AN1" s="4" t="s">
        <v>2</v>
      </c>
      <c r="AX1" s="4"/>
    </row>
    <row r="2" spans="1:50" ht="12.75">
      <c r="A2" s="4" t="s">
        <v>102</v>
      </c>
      <c r="P2" s="5"/>
      <c r="AB2" s="6" t="s">
        <v>101</v>
      </c>
      <c r="AC2" s="4" t="s">
        <v>103</v>
      </c>
      <c r="AH2" s="12"/>
      <c r="AN2" s="4" t="s">
        <v>104</v>
      </c>
      <c r="AX2" s="4"/>
    </row>
    <row r="3" spans="1:54" ht="12.75">
      <c r="A3" s="7" t="s">
        <v>105</v>
      </c>
      <c r="P3" s="5"/>
      <c r="AB3" s="6" t="s">
        <v>101</v>
      </c>
      <c r="AC3" s="4" t="s">
        <v>45</v>
      </c>
      <c r="AN3" s="4" t="s">
        <v>45</v>
      </c>
      <c r="AX3" s="4"/>
      <c r="BB3" s="7"/>
    </row>
    <row r="4" spans="1:55" ht="12.75">
      <c r="A4" s="109"/>
      <c r="B4" s="109" t="s">
        <v>63</v>
      </c>
      <c r="C4" s="109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6" t="s">
        <v>101</v>
      </c>
      <c r="AC4" s="109" t="s">
        <v>63</v>
      </c>
      <c r="AD4" s="109"/>
      <c r="AE4" s="109"/>
      <c r="AF4" s="109"/>
      <c r="AG4" s="109"/>
      <c r="AH4" s="109" t="s">
        <v>106</v>
      </c>
      <c r="AI4" s="109"/>
      <c r="AJ4" s="109" t="s">
        <v>20</v>
      </c>
      <c r="AK4" s="109" t="s">
        <v>13</v>
      </c>
      <c r="AN4" s="109" t="s">
        <v>63</v>
      </c>
      <c r="AO4" s="109"/>
      <c r="AP4" s="109"/>
      <c r="AQ4" s="109"/>
      <c r="AR4" s="109"/>
      <c r="AS4" s="109" t="s">
        <v>106</v>
      </c>
      <c r="AT4" s="109"/>
      <c r="AU4" s="109" t="s">
        <v>20</v>
      </c>
      <c r="AV4" s="109" t="s">
        <v>13</v>
      </c>
      <c r="BA4" s="6"/>
      <c r="BC4" s="6"/>
    </row>
    <row r="5" spans="1:55" ht="12.75">
      <c r="A5" s="6" t="s">
        <v>15</v>
      </c>
      <c r="B5" s="6" t="s">
        <v>107</v>
      </c>
      <c r="C5" s="6" t="s">
        <v>51</v>
      </c>
      <c r="D5" s="6" t="s">
        <v>108</v>
      </c>
      <c r="E5" s="6" t="s">
        <v>108</v>
      </c>
      <c r="F5" s="6" t="s">
        <v>108</v>
      </c>
      <c r="G5" s="6" t="s">
        <v>108</v>
      </c>
      <c r="H5" s="6" t="s">
        <v>108</v>
      </c>
      <c r="I5" s="6" t="s">
        <v>108</v>
      </c>
      <c r="J5" s="6" t="s">
        <v>108</v>
      </c>
      <c r="K5" s="6" t="s">
        <v>108</v>
      </c>
      <c r="L5" s="6" t="s">
        <v>108</v>
      </c>
      <c r="M5" s="6" t="s">
        <v>108</v>
      </c>
      <c r="N5" s="6" t="s">
        <v>108</v>
      </c>
      <c r="O5" s="6" t="s">
        <v>108</v>
      </c>
      <c r="P5" s="6" t="s">
        <v>108</v>
      </c>
      <c r="Q5" s="6" t="s">
        <v>108</v>
      </c>
      <c r="R5" s="6" t="s">
        <v>108</v>
      </c>
      <c r="S5" s="6" t="s">
        <v>108</v>
      </c>
      <c r="T5" s="6" t="s">
        <v>108</v>
      </c>
      <c r="U5" s="6" t="s">
        <v>108</v>
      </c>
      <c r="V5" s="6" t="s">
        <v>108</v>
      </c>
      <c r="W5" s="6" t="s">
        <v>108</v>
      </c>
      <c r="X5" s="6" t="s">
        <v>108</v>
      </c>
      <c r="Y5" s="6" t="s">
        <v>108</v>
      </c>
      <c r="Z5" s="6" t="s">
        <v>108</v>
      </c>
      <c r="AA5" s="6" t="s">
        <v>14</v>
      </c>
      <c r="AB5" s="6" t="s">
        <v>101</v>
      </c>
      <c r="AC5" s="6" t="s">
        <v>107</v>
      </c>
      <c r="AD5" s="6"/>
      <c r="AE5" s="6" t="s">
        <v>14</v>
      </c>
      <c r="AF5" s="6" t="s">
        <v>27</v>
      </c>
      <c r="AG5" s="6" t="s">
        <v>27</v>
      </c>
      <c r="AH5" s="6" t="s">
        <v>109</v>
      </c>
      <c r="AI5" s="6" t="s">
        <v>66</v>
      </c>
      <c r="AJ5" s="6" t="s">
        <v>61</v>
      </c>
      <c r="AK5" s="6" t="s">
        <v>17</v>
      </c>
      <c r="AN5" s="6" t="s">
        <v>107</v>
      </c>
      <c r="AO5" s="6"/>
      <c r="AP5" s="6" t="s">
        <v>14</v>
      </c>
      <c r="AQ5" s="6" t="s">
        <v>27</v>
      </c>
      <c r="AR5" s="6" t="s">
        <v>27</v>
      </c>
      <c r="AS5" s="6" t="s">
        <v>109</v>
      </c>
      <c r="AT5" s="6" t="s">
        <v>66</v>
      </c>
      <c r="AU5" s="6" t="s">
        <v>61</v>
      </c>
      <c r="AV5" s="6" t="s">
        <v>17</v>
      </c>
      <c r="AZ5" s="15"/>
      <c r="BA5" s="13"/>
      <c r="BC5" s="15"/>
    </row>
    <row r="6" spans="1:54" ht="12.75">
      <c r="A6" s="110" t="s">
        <v>21</v>
      </c>
      <c r="B6" s="110" t="s">
        <v>54</v>
      </c>
      <c r="C6" s="110" t="s">
        <v>54</v>
      </c>
      <c r="D6" s="113">
        <f>DATE(2007,1,31)</f>
        <v>39113</v>
      </c>
      <c r="E6" s="113">
        <f>D6+28</f>
        <v>39141</v>
      </c>
      <c r="F6" s="113">
        <f>E6+31</f>
        <v>39172</v>
      </c>
      <c r="G6" s="113">
        <f>F6+30</f>
        <v>39202</v>
      </c>
      <c r="H6" s="113">
        <f>G6+31</f>
        <v>39233</v>
      </c>
      <c r="I6" s="113">
        <f>H6+30</f>
        <v>39263</v>
      </c>
      <c r="J6" s="113">
        <f>I6+31</f>
        <v>39294</v>
      </c>
      <c r="K6" s="113">
        <f>J6+31</f>
        <v>39325</v>
      </c>
      <c r="L6" s="113">
        <f>K6+30</f>
        <v>39355</v>
      </c>
      <c r="M6" s="113">
        <f>L6+31</f>
        <v>39386</v>
      </c>
      <c r="N6" s="113">
        <f>M6+30</f>
        <v>39416</v>
      </c>
      <c r="O6" s="113">
        <f>N6+31</f>
        <v>39447</v>
      </c>
      <c r="P6" s="113">
        <f>O6+31</f>
        <v>39478</v>
      </c>
      <c r="Q6" s="113">
        <f>P6+28</f>
        <v>39506</v>
      </c>
      <c r="R6" s="113">
        <f>Q6+31</f>
        <v>39537</v>
      </c>
      <c r="S6" s="113">
        <f>R6+30</f>
        <v>39567</v>
      </c>
      <c r="T6" s="113">
        <f>S6+31</f>
        <v>39598</v>
      </c>
      <c r="U6" s="113">
        <f>T6+30</f>
        <v>39628</v>
      </c>
      <c r="V6" s="113">
        <f>U6+31</f>
        <v>39659</v>
      </c>
      <c r="W6" s="113">
        <f>V6+31</f>
        <v>39690</v>
      </c>
      <c r="X6" s="113">
        <f>W6+30</f>
        <v>39720</v>
      </c>
      <c r="Y6" s="113">
        <f>X6+31</f>
        <v>39751</v>
      </c>
      <c r="Z6" s="113">
        <f>Y6+30</f>
        <v>39781</v>
      </c>
      <c r="AA6" s="111" t="s">
        <v>20</v>
      </c>
      <c r="AB6" s="6" t="s">
        <v>101</v>
      </c>
      <c r="AC6" s="110" t="s">
        <v>54</v>
      </c>
      <c r="AD6" s="110"/>
      <c r="AE6" s="111" t="s">
        <v>20</v>
      </c>
      <c r="AF6" s="110" t="s">
        <v>110</v>
      </c>
      <c r="AG6" s="110" t="s">
        <v>111</v>
      </c>
      <c r="AH6" s="110" t="s">
        <v>112</v>
      </c>
      <c r="AI6" s="110" t="s">
        <v>28</v>
      </c>
      <c r="AJ6" s="110" t="s">
        <v>113</v>
      </c>
      <c r="AK6" s="110" t="s">
        <v>78</v>
      </c>
      <c r="AN6" s="110" t="s">
        <v>54</v>
      </c>
      <c r="AO6" s="110"/>
      <c r="AP6" s="111" t="s">
        <v>20</v>
      </c>
      <c r="AQ6" s="110" t="s">
        <v>110</v>
      </c>
      <c r="AR6" s="110" t="s">
        <v>111</v>
      </c>
      <c r="AS6" s="110" t="s">
        <v>112</v>
      </c>
      <c r="AT6" s="110" t="s">
        <v>28</v>
      </c>
      <c r="AU6" s="110" t="s">
        <v>113</v>
      </c>
      <c r="AV6" s="110" t="s">
        <v>78</v>
      </c>
      <c r="BB6" s="1"/>
    </row>
    <row r="7" spans="1:53" ht="12.75">
      <c r="A7" s="6">
        <v>1</v>
      </c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 t="s">
        <v>101</v>
      </c>
      <c r="AC7" s="5"/>
      <c r="AD7" s="5"/>
      <c r="AE7" s="5"/>
      <c r="AF7" s="5"/>
      <c r="AG7" s="5"/>
      <c r="AH7" s="5"/>
      <c r="AI7" s="5"/>
      <c r="AJ7" s="5"/>
      <c r="AK7" s="5"/>
      <c r="AN7" s="5"/>
      <c r="AO7" s="5"/>
      <c r="AP7" s="5"/>
      <c r="AQ7" s="5"/>
      <c r="AR7" s="5"/>
      <c r="AS7" s="5"/>
      <c r="AT7" s="5"/>
      <c r="AU7" s="5"/>
      <c r="AV7" s="5"/>
      <c r="AX7" s="16"/>
      <c r="AY7" s="1"/>
      <c r="AZ7" s="5"/>
      <c r="BA7" s="5"/>
    </row>
    <row r="8" spans="1:54" ht="12.75">
      <c r="A8" s="6">
        <v>2</v>
      </c>
      <c r="P8" s="5"/>
      <c r="AB8" s="6" t="s">
        <v>101</v>
      </c>
      <c r="AH8" s="17"/>
      <c r="AX8" s="16"/>
      <c r="AY8" s="1"/>
      <c r="AZ8" s="5"/>
      <c r="BB8" s="5"/>
    </row>
    <row r="9" spans="1:52" ht="12.75">
      <c r="A9" s="6">
        <v>3</v>
      </c>
      <c r="B9" s="28" t="s">
        <v>114</v>
      </c>
      <c r="P9" s="5"/>
      <c r="AB9" s="6" t="s">
        <v>101</v>
      </c>
      <c r="AC9" s="46" t="s">
        <v>114</v>
      </c>
      <c r="AN9" s="7"/>
      <c r="AP9" s="8"/>
      <c r="AQ9" s="9"/>
      <c r="AR9" s="9"/>
      <c r="AS9" s="8"/>
      <c r="AT9" s="8"/>
      <c r="AU9" s="8"/>
      <c r="AV9" s="8"/>
      <c r="AX9" s="16"/>
      <c r="AY9" s="1"/>
      <c r="AZ9" s="5"/>
    </row>
    <row r="10" spans="1:52" ht="12.75">
      <c r="A10" s="6">
        <v>4</v>
      </c>
      <c r="B10" s="26"/>
      <c r="C10" s="27"/>
      <c r="D10" s="2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25"/>
      <c r="Y10" s="8"/>
      <c r="Z10" s="8"/>
      <c r="AA10" s="8"/>
      <c r="AB10" s="6"/>
      <c r="AC10" s="23"/>
      <c r="AE10" s="8"/>
      <c r="AF10" s="18"/>
      <c r="AG10" s="18"/>
      <c r="AH10" s="8"/>
      <c r="AI10" s="8"/>
      <c r="AJ10" s="8"/>
      <c r="AK10" s="8"/>
      <c r="AQ10" s="10"/>
      <c r="AX10" s="16"/>
      <c r="AY10" s="1"/>
      <c r="AZ10" s="5"/>
    </row>
    <row r="11" spans="1:52" ht="12.75">
      <c r="A11" s="6">
        <v>5</v>
      </c>
      <c r="B11" s="26" t="s">
        <v>145</v>
      </c>
      <c r="C11" s="27">
        <v>0.0687</v>
      </c>
      <c r="D11" s="121">
        <v>15500000</v>
      </c>
      <c r="E11" s="12">
        <f aca="true" t="shared" si="0" ref="E11:Z11">D11</f>
        <v>15500000</v>
      </c>
      <c r="F11" s="45">
        <f>E11-3100000</f>
        <v>12400000</v>
      </c>
      <c r="G11" s="12">
        <f t="shared" si="0"/>
        <v>12400000</v>
      </c>
      <c r="H11" s="12">
        <f t="shared" si="0"/>
        <v>12400000</v>
      </c>
      <c r="I11" s="12">
        <f t="shared" si="0"/>
        <v>12400000</v>
      </c>
      <c r="J11" s="12">
        <f t="shared" si="0"/>
        <v>12400000</v>
      </c>
      <c r="K11" s="12">
        <f t="shared" si="0"/>
        <v>12400000</v>
      </c>
      <c r="L11" s="12">
        <f t="shared" si="0"/>
        <v>12400000</v>
      </c>
      <c r="M11" s="12">
        <f t="shared" si="0"/>
        <v>12400000</v>
      </c>
      <c r="N11" s="12">
        <f t="shared" si="0"/>
        <v>12400000</v>
      </c>
      <c r="O11" s="12">
        <f t="shared" si="0"/>
        <v>12400000</v>
      </c>
      <c r="P11" s="12">
        <f t="shared" si="0"/>
        <v>12400000</v>
      </c>
      <c r="Q11" s="12">
        <f t="shared" si="0"/>
        <v>12400000</v>
      </c>
      <c r="R11" s="12">
        <f>Q11-3100000</f>
        <v>9300000</v>
      </c>
      <c r="S11" s="12">
        <f t="shared" si="0"/>
        <v>9300000</v>
      </c>
      <c r="T11" s="12">
        <f t="shared" si="0"/>
        <v>9300000</v>
      </c>
      <c r="U11" s="12">
        <f t="shared" si="0"/>
        <v>9300000</v>
      </c>
      <c r="V11" s="12">
        <f t="shared" si="0"/>
        <v>9300000</v>
      </c>
      <c r="W11" s="12">
        <f t="shared" si="0"/>
        <v>9300000</v>
      </c>
      <c r="X11" s="12">
        <f t="shared" si="0"/>
        <v>9300000</v>
      </c>
      <c r="Y11" s="12">
        <f t="shared" si="0"/>
        <v>9300000</v>
      </c>
      <c r="Z11" s="12">
        <f t="shared" si="0"/>
        <v>9300000</v>
      </c>
      <c r="AA11" s="12">
        <f aca="true" t="shared" si="1" ref="AA11:AA19">AVERAGE(N11:Z11)</f>
        <v>10253846.153846154</v>
      </c>
      <c r="AB11" s="6" t="s">
        <v>101</v>
      </c>
      <c r="AC11" s="2" t="str">
        <f aca="true" t="shared" si="2" ref="AC11:AC19">B11</f>
        <v>Series 6.87%</v>
      </c>
      <c r="AE11" s="12">
        <f aca="true" t="shared" si="3" ref="AE11:AE19">AA11</f>
        <v>10253846.153846154</v>
      </c>
      <c r="AF11" s="18">
        <f aca="true" t="shared" si="4" ref="AF11:AF18">C11</f>
        <v>0.0687</v>
      </c>
      <c r="AG11" s="18">
        <f aca="true" t="shared" si="5" ref="AG11:AG18">IF(AE11=0,0,ROUND(((AE11*AF11)+AH11)/AE11,5))</f>
        <v>0.07479</v>
      </c>
      <c r="AH11" s="12">
        <f aca="true" t="shared" si="6" ref="AH11:AH18">SUM(O109:Z109)</f>
        <v>62496</v>
      </c>
      <c r="AI11" s="12">
        <f aca="true" t="shared" si="7" ref="AI11:AI18">ROUND(AG11*AE11,0)</f>
        <v>766885</v>
      </c>
      <c r="AJ11" s="12">
        <f aca="true" t="shared" si="8" ref="AJ11:AJ18">AA60</f>
        <v>177062</v>
      </c>
      <c r="AK11" s="12">
        <f aca="true" t="shared" si="9" ref="AK11:AK18">AE11-AJ11</f>
        <v>10076784.153846154</v>
      </c>
      <c r="AN11" s="7" t="str">
        <f>B207</f>
        <v>Series B, 5 3/4%, $100 Par</v>
      </c>
      <c r="AP11" s="11">
        <f>AA207</f>
        <v>391800</v>
      </c>
      <c r="AQ11" s="9">
        <f>C207</f>
        <v>0.0575</v>
      </c>
      <c r="AR11" s="9">
        <f>IF(AP11=0,0,ROUND(((AP11*AQ11)+AS11)/AP11,5))</f>
        <v>0.0575</v>
      </c>
      <c r="AS11" s="11">
        <f>AA305</f>
        <v>0</v>
      </c>
      <c r="AT11" s="11">
        <f>ROUND(AR11*AP11,0)</f>
        <v>22529</v>
      </c>
      <c r="AU11" s="11">
        <f>AA254</f>
        <v>0</v>
      </c>
      <c r="AV11" s="11">
        <f>AP11-AU11</f>
        <v>391800</v>
      </c>
      <c r="AX11" s="16"/>
      <c r="AY11" s="1"/>
      <c r="AZ11" s="5"/>
    </row>
    <row r="12" spans="1:52" ht="12.75">
      <c r="A12" s="6">
        <v>6</v>
      </c>
      <c r="B12" s="28" t="s">
        <v>115</v>
      </c>
      <c r="C12" s="27">
        <v>0.0696</v>
      </c>
      <c r="D12" s="122">
        <v>7000000</v>
      </c>
      <c r="E12" s="12">
        <f aca="true" t="shared" si="10" ref="E12:M12">D12</f>
        <v>7000000</v>
      </c>
      <c r="F12" s="12">
        <f t="shared" si="10"/>
        <v>7000000</v>
      </c>
      <c r="G12" s="12">
        <f t="shared" si="10"/>
        <v>7000000</v>
      </c>
      <c r="H12" s="12">
        <f t="shared" si="10"/>
        <v>7000000</v>
      </c>
      <c r="I12" s="12">
        <f t="shared" si="10"/>
        <v>7000000</v>
      </c>
      <c r="J12" s="12">
        <f t="shared" si="10"/>
        <v>7000000</v>
      </c>
      <c r="K12" s="12">
        <f t="shared" si="10"/>
        <v>7000000</v>
      </c>
      <c r="L12" s="12">
        <f t="shared" si="10"/>
        <v>7000000</v>
      </c>
      <c r="M12" s="12">
        <f t="shared" si="10"/>
        <v>7000000</v>
      </c>
      <c r="N12" s="12">
        <f>M12</f>
        <v>7000000</v>
      </c>
      <c r="O12" s="12">
        <f aca="true" t="shared" si="11" ref="O12:Z12">N12</f>
        <v>7000000</v>
      </c>
      <c r="P12" s="12">
        <f t="shared" si="11"/>
        <v>7000000</v>
      </c>
      <c r="Q12" s="12">
        <f t="shared" si="11"/>
        <v>7000000</v>
      </c>
      <c r="R12" s="12">
        <f t="shared" si="11"/>
        <v>7000000</v>
      </c>
      <c r="S12" s="12">
        <f t="shared" si="11"/>
        <v>7000000</v>
      </c>
      <c r="T12" s="12">
        <f t="shared" si="11"/>
        <v>7000000</v>
      </c>
      <c r="U12" s="12">
        <f t="shared" si="11"/>
        <v>7000000</v>
      </c>
      <c r="V12" s="12">
        <f t="shared" si="11"/>
        <v>7000000</v>
      </c>
      <c r="W12" s="12">
        <f t="shared" si="11"/>
        <v>7000000</v>
      </c>
      <c r="X12" s="12">
        <f t="shared" si="11"/>
        <v>7000000</v>
      </c>
      <c r="Y12" s="12">
        <f t="shared" si="11"/>
        <v>7000000</v>
      </c>
      <c r="Z12" s="12">
        <f t="shared" si="11"/>
        <v>7000000</v>
      </c>
      <c r="AA12" s="12">
        <f t="shared" si="1"/>
        <v>7000000</v>
      </c>
      <c r="AB12" s="6" t="s">
        <v>101</v>
      </c>
      <c r="AC12" s="3" t="str">
        <f t="shared" si="2"/>
        <v>    Series 6.96%</v>
      </c>
      <c r="AE12" s="12">
        <f t="shared" si="3"/>
        <v>7000000</v>
      </c>
      <c r="AF12" s="18">
        <f t="shared" si="4"/>
        <v>0.0696</v>
      </c>
      <c r="AG12" s="18">
        <f t="shared" si="5"/>
        <v>0.07007</v>
      </c>
      <c r="AH12" s="12">
        <f>SUM(O110:Z110)+SUM(O118:Z118)</f>
        <v>3264</v>
      </c>
      <c r="AI12" s="12">
        <f t="shared" si="7"/>
        <v>490490</v>
      </c>
      <c r="AJ12" s="12">
        <f>AA61+AA69</f>
        <v>50587</v>
      </c>
      <c r="AK12" s="12">
        <f t="shared" si="9"/>
        <v>6949413</v>
      </c>
      <c r="AP12" s="11"/>
      <c r="AQ12" s="10"/>
      <c r="AS12" s="11"/>
      <c r="AT12" s="11"/>
      <c r="AU12" s="11"/>
      <c r="AV12" s="11"/>
      <c r="AX12" s="16"/>
      <c r="AY12" s="1"/>
      <c r="AZ12" s="5"/>
    </row>
    <row r="13" spans="1:52" ht="12.75">
      <c r="A13" s="6">
        <v>7</v>
      </c>
      <c r="B13" s="28" t="s">
        <v>137</v>
      </c>
      <c r="C13" s="27">
        <v>0.0715</v>
      </c>
      <c r="D13" s="122">
        <v>7500000</v>
      </c>
      <c r="E13" s="12">
        <f aca="true" t="shared" si="12" ref="E13:M13">D13</f>
        <v>7500000</v>
      </c>
      <c r="F13" s="12">
        <f t="shared" si="12"/>
        <v>7500000</v>
      </c>
      <c r="G13" s="12">
        <f t="shared" si="12"/>
        <v>7500000</v>
      </c>
      <c r="H13" s="12">
        <f t="shared" si="12"/>
        <v>7500000</v>
      </c>
      <c r="I13" s="12">
        <f t="shared" si="12"/>
        <v>7500000</v>
      </c>
      <c r="J13" s="12">
        <f t="shared" si="12"/>
        <v>7500000</v>
      </c>
      <c r="K13" s="12">
        <f t="shared" si="12"/>
        <v>7500000</v>
      </c>
      <c r="L13" s="12">
        <f t="shared" si="12"/>
        <v>7500000</v>
      </c>
      <c r="M13" s="12">
        <f t="shared" si="12"/>
        <v>7500000</v>
      </c>
      <c r="N13" s="12">
        <f aca="true" t="shared" si="13" ref="N13:N19">M13</f>
        <v>7500000</v>
      </c>
      <c r="O13" s="12">
        <f aca="true" t="shared" si="14" ref="O13:Z13">N13</f>
        <v>7500000</v>
      </c>
      <c r="P13" s="12">
        <f t="shared" si="14"/>
        <v>7500000</v>
      </c>
      <c r="Q13" s="12">
        <f t="shared" si="14"/>
        <v>7500000</v>
      </c>
      <c r="R13" s="12">
        <f t="shared" si="14"/>
        <v>7500000</v>
      </c>
      <c r="S13" s="12">
        <f t="shared" si="14"/>
        <v>7500000</v>
      </c>
      <c r="T13" s="12">
        <f t="shared" si="14"/>
        <v>7500000</v>
      </c>
      <c r="U13" s="12">
        <f t="shared" si="14"/>
        <v>7500000</v>
      </c>
      <c r="V13" s="12">
        <f t="shared" si="14"/>
        <v>7500000</v>
      </c>
      <c r="W13" s="12">
        <f t="shared" si="14"/>
        <v>7500000</v>
      </c>
      <c r="X13" s="12">
        <f t="shared" si="14"/>
        <v>7500000</v>
      </c>
      <c r="Y13" s="12">
        <f t="shared" si="14"/>
        <v>7500000</v>
      </c>
      <c r="Z13" s="12">
        <f t="shared" si="14"/>
        <v>7500000</v>
      </c>
      <c r="AA13" s="12">
        <f t="shared" si="1"/>
        <v>7500000</v>
      </c>
      <c r="AB13" s="6" t="s">
        <v>101</v>
      </c>
      <c r="AC13" s="3" t="str">
        <f t="shared" si="2"/>
        <v>    Series 7.15%</v>
      </c>
      <c r="AE13" s="12">
        <f t="shared" si="3"/>
        <v>7500000</v>
      </c>
      <c r="AF13" s="18">
        <f t="shared" si="4"/>
        <v>0.0715</v>
      </c>
      <c r="AG13" s="18">
        <f t="shared" si="5"/>
        <v>0.07182</v>
      </c>
      <c r="AH13" s="12">
        <f t="shared" si="6"/>
        <v>2424</v>
      </c>
      <c r="AI13" s="12">
        <f t="shared" si="7"/>
        <v>538650</v>
      </c>
      <c r="AJ13" s="12">
        <f t="shared" si="8"/>
        <v>45350</v>
      </c>
      <c r="AK13" s="12">
        <f t="shared" si="9"/>
        <v>7454650</v>
      </c>
      <c r="AN13" s="7" t="str">
        <f>B209</f>
        <v>Series C, 5 1/2%, $100 Par</v>
      </c>
      <c r="AP13" s="11">
        <f>AA209</f>
        <v>488300</v>
      </c>
      <c r="AQ13" s="9">
        <f>C209</f>
        <v>0.055</v>
      </c>
      <c r="AR13" s="9">
        <f>IF(AP13=0,0,ROUND(((AP13*AQ13)+AS13)/AP13,5))</f>
        <v>0.055</v>
      </c>
      <c r="AS13" s="11">
        <f>AA307</f>
        <v>0</v>
      </c>
      <c r="AT13" s="11">
        <f>ROUND(AR13*AP13,0)</f>
        <v>26857</v>
      </c>
      <c r="AU13" s="11">
        <f>AA256</f>
        <v>0</v>
      </c>
      <c r="AV13" s="11">
        <f>AP13-AU13</f>
        <v>488300</v>
      </c>
      <c r="AX13" s="16"/>
      <c r="AY13" s="1"/>
      <c r="AZ13" s="5"/>
    </row>
    <row r="14" spans="1:52" ht="12.75">
      <c r="A14" s="6">
        <v>8</v>
      </c>
      <c r="B14" s="28" t="s">
        <v>138</v>
      </c>
      <c r="C14" s="27">
        <v>0.0699</v>
      </c>
      <c r="D14" s="122">
        <v>9000000</v>
      </c>
      <c r="E14" s="12">
        <f aca="true" t="shared" si="15" ref="E14:M14">D14</f>
        <v>9000000</v>
      </c>
      <c r="F14" s="12">
        <f t="shared" si="15"/>
        <v>9000000</v>
      </c>
      <c r="G14" s="12">
        <f t="shared" si="15"/>
        <v>9000000</v>
      </c>
      <c r="H14" s="12">
        <f t="shared" si="15"/>
        <v>9000000</v>
      </c>
      <c r="I14" s="12">
        <f t="shared" si="15"/>
        <v>9000000</v>
      </c>
      <c r="J14" s="12">
        <f t="shared" si="15"/>
        <v>9000000</v>
      </c>
      <c r="K14" s="12">
        <f t="shared" si="15"/>
        <v>9000000</v>
      </c>
      <c r="L14" s="12">
        <f t="shared" si="15"/>
        <v>9000000</v>
      </c>
      <c r="M14" s="12">
        <f t="shared" si="15"/>
        <v>9000000</v>
      </c>
      <c r="N14" s="12">
        <f t="shared" si="13"/>
        <v>9000000</v>
      </c>
      <c r="O14" s="12">
        <f aca="true" t="shared" si="16" ref="O14:Z14">N14</f>
        <v>9000000</v>
      </c>
      <c r="P14" s="12">
        <f t="shared" si="16"/>
        <v>9000000</v>
      </c>
      <c r="Q14" s="12">
        <f t="shared" si="16"/>
        <v>9000000</v>
      </c>
      <c r="R14" s="12">
        <f t="shared" si="16"/>
        <v>9000000</v>
      </c>
      <c r="S14" s="12">
        <f t="shared" si="16"/>
        <v>9000000</v>
      </c>
      <c r="T14" s="12">
        <f t="shared" si="16"/>
        <v>9000000</v>
      </c>
      <c r="U14" s="12">
        <f t="shared" si="16"/>
        <v>9000000</v>
      </c>
      <c r="V14" s="12">
        <f t="shared" si="16"/>
        <v>9000000</v>
      </c>
      <c r="W14" s="12">
        <f t="shared" si="16"/>
        <v>9000000</v>
      </c>
      <c r="X14" s="12">
        <f t="shared" si="16"/>
        <v>9000000</v>
      </c>
      <c r="Y14" s="12">
        <f t="shared" si="16"/>
        <v>9000000</v>
      </c>
      <c r="Z14" s="12">
        <f t="shared" si="16"/>
        <v>9000000</v>
      </c>
      <c r="AA14" s="12">
        <f t="shared" si="1"/>
        <v>9000000</v>
      </c>
      <c r="AB14" s="6" t="s">
        <v>101</v>
      </c>
      <c r="AC14" s="3" t="str">
        <f t="shared" si="2"/>
        <v>    Series 6.99%</v>
      </c>
      <c r="AE14" s="12">
        <f t="shared" si="3"/>
        <v>9000000</v>
      </c>
      <c r="AF14" s="18">
        <f t="shared" si="4"/>
        <v>0.0699</v>
      </c>
      <c r="AG14" s="18">
        <f t="shared" si="5"/>
        <v>0.07026</v>
      </c>
      <c r="AH14" s="12">
        <f t="shared" si="6"/>
        <v>3264</v>
      </c>
      <c r="AI14" s="12">
        <f t="shared" si="7"/>
        <v>632340</v>
      </c>
      <c r="AJ14" s="12">
        <f t="shared" si="8"/>
        <v>65239</v>
      </c>
      <c r="AK14" s="12">
        <f t="shared" si="9"/>
        <v>8934761</v>
      </c>
      <c r="AP14" s="11"/>
      <c r="AQ14" s="10"/>
      <c r="AS14" s="11"/>
      <c r="AT14" s="11"/>
      <c r="AU14" s="11"/>
      <c r="AV14" s="11"/>
      <c r="AX14" s="16"/>
      <c r="AY14" s="1"/>
      <c r="AZ14" s="5"/>
    </row>
    <row r="15" spans="1:52" ht="12.75">
      <c r="A15" s="6">
        <v>9</v>
      </c>
      <c r="B15" s="28" t="s">
        <v>146</v>
      </c>
      <c r="C15" s="27">
        <v>0.0565</v>
      </c>
      <c r="D15" s="122">
        <v>24000000</v>
      </c>
      <c r="E15" s="12">
        <f>D15</f>
        <v>24000000</v>
      </c>
      <c r="F15" s="12">
        <f>E15</f>
        <v>24000000</v>
      </c>
      <c r="G15" s="12">
        <f aca="true" t="shared" si="17" ref="G15:L15">F15</f>
        <v>24000000</v>
      </c>
      <c r="H15" s="12">
        <f t="shared" si="17"/>
        <v>24000000</v>
      </c>
      <c r="I15" s="12">
        <v>0</v>
      </c>
      <c r="J15" s="12">
        <v>0</v>
      </c>
      <c r="K15" s="12">
        <v>0</v>
      </c>
      <c r="L15" s="12">
        <f t="shared" si="17"/>
        <v>0</v>
      </c>
      <c r="M15" s="12">
        <v>0</v>
      </c>
      <c r="N15" s="12">
        <f t="shared" si="13"/>
        <v>0</v>
      </c>
      <c r="O15" s="12">
        <f aca="true" t="shared" si="18" ref="O15:Z15">N15</f>
        <v>0</v>
      </c>
      <c r="P15" s="12">
        <f t="shared" si="18"/>
        <v>0</v>
      </c>
      <c r="Q15" s="12">
        <f t="shared" si="18"/>
        <v>0</v>
      </c>
      <c r="R15" s="12">
        <f t="shared" si="18"/>
        <v>0</v>
      </c>
      <c r="S15" s="12">
        <f t="shared" si="18"/>
        <v>0</v>
      </c>
      <c r="T15" s="12">
        <f t="shared" si="18"/>
        <v>0</v>
      </c>
      <c r="U15" s="12">
        <f t="shared" si="18"/>
        <v>0</v>
      </c>
      <c r="V15" s="12">
        <f t="shared" si="18"/>
        <v>0</v>
      </c>
      <c r="W15" s="12">
        <f t="shared" si="18"/>
        <v>0</v>
      </c>
      <c r="X15" s="12">
        <f t="shared" si="18"/>
        <v>0</v>
      </c>
      <c r="Y15" s="12">
        <f t="shared" si="18"/>
        <v>0</v>
      </c>
      <c r="Z15" s="12">
        <f t="shared" si="18"/>
        <v>0</v>
      </c>
      <c r="AA15" s="12">
        <f t="shared" si="1"/>
        <v>0</v>
      </c>
      <c r="AB15" s="6" t="s">
        <v>101</v>
      </c>
      <c r="AC15" s="3" t="str">
        <f t="shared" si="2"/>
        <v>    Series 5.65%</v>
      </c>
      <c r="AE15" s="12">
        <f t="shared" si="3"/>
        <v>0</v>
      </c>
      <c r="AF15" s="18">
        <f t="shared" si="4"/>
        <v>0.0565</v>
      </c>
      <c r="AG15" s="18">
        <f t="shared" si="5"/>
        <v>0</v>
      </c>
      <c r="AH15" s="12">
        <f t="shared" si="6"/>
        <v>0</v>
      </c>
      <c r="AI15" s="12">
        <f t="shared" si="7"/>
        <v>0</v>
      </c>
      <c r="AJ15" s="12">
        <f t="shared" si="8"/>
        <v>0</v>
      </c>
      <c r="AK15" s="12">
        <f t="shared" si="9"/>
        <v>0</v>
      </c>
      <c r="AN15" s="7" t="str">
        <f>B211</f>
        <v>Series D, 5%, $100 Par</v>
      </c>
      <c r="AP15" s="11">
        <f>AA211</f>
        <v>586600</v>
      </c>
      <c r="AQ15" s="9">
        <f>C211</f>
        <v>0.05</v>
      </c>
      <c r="AR15" s="9">
        <f>IF(AP15=0,0,ROUND(((AP15*AQ15)+AS15)/AP15,5))</f>
        <v>0.05</v>
      </c>
      <c r="AS15" s="11">
        <f>AA309</f>
        <v>0</v>
      </c>
      <c r="AT15" s="11">
        <f>ROUND(AR15*AP15,0)</f>
        <v>29330</v>
      </c>
      <c r="AU15" s="11">
        <f>AA258</f>
        <v>0</v>
      </c>
      <c r="AV15" s="11">
        <f>AP15-AU15</f>
        <v>586600</v>
      </c>
      <c r="AX15" s="16"/>
      <c r="AY15" s="1"/>
      <c r="AZ15" s="5"/>
    </row>
    <row r="16" spans="1:52" ht="12.75">
      <c r="A16" s="6">
        <v>10</v>
      </c>
      <c r="B16" s="28" t="s">
        <v>147</v>
      </c>
      <c r="C16" s="27">
        <v>0.0475</v>
      </c>
      <c r="D16" s="122">
        <v>14000000</v>
      </c>
      <c r="E16" s="12">
        <f aca="true" t="shared" si="19" ref="E16:L16">D16</f>
        <v>14000000</v>
      </c>
      <c r="F16" s="12">
        <f>E16</f>
        <v>14000000</v>
      </c>
      <c r="G16" s="12">
        <f t="shared" si="19"/>
        <v>14000000</v>
      </c>
      <c r="H16" s="12">
        <f t="shared" si="19"/>
        <v>14000000</v>
      </c>
      <c r="I16" s="12">
        <f t="shared" si="19"/>
        <v>14000000</v>
      </c>
      <c r="J16" s="12">
        <f t="shared" si="19"/>
        <v>14000000</v>
      </c>
      <c r="K16" s="12">
        <f t="shared" si="19"/>
        <v>14000000</v>
      </c>
      <c r="L16" s="12">
        <f t="shared" si="19"/>
        <v>14000000</v>
      </c>
      <c r="M16" s="12">
        <v>14000000</v>
      </c>
      <c r="N16" s="12">
        <f t="shared" si="13"/>
        <v>14000000</v>
      </c>
      <c r="O16" s="12">
        <f aca="true" t="shared" si="20" ref="O16:Z16">N16</f>
        <v>14000000</v>
      </c>
      <c r="P16" s="12">
        <f t="shared" si="20"/>
        <v>14000000</v>
      </c>
      <c r="Q16" s="12">
        <f t="shared" si="20"/>
        <v>14000000</v>
      </c>
      <c r="R16" s="12">
        <f t="shared" si="20"/>
        <v>14000000</v>
      </c>
      <c r="S16" s="12">
        <f t="shared" si="20"/>
        <v>14000000</v>
      </c>
      <c r="T16" s="12">
        <f t="shared" si="20"/>
        <v>14000000</v>
      </c>
      <c r="U16" s="12">
        <f t="shared" si="20"/>
        <v>14000000</v>
      </c>
      <c r="V16" s="12">
        <f t="shared" si="20"/>
        <v>14000000</v>
      </c>
      <c r="W16" s="12">
        <f t="shared" si="20"/>
        <v>14000000</v>
      </c>
      <c r="X16" s="12">
        <f t="shared" si="20"/>
        <v>14000000</v>
      </c>
      <c r="Y16" s="12">
        <f t="shared" si="20"/>
        <v>14000000</v>
      </c>
      <c r="Z16" s="12">
        <f t="shared" si="20"/>
        <v>14000000</v>
      </c>
      <c r="AA16" s="12">
        <f t="shared" si="1"/>
        <v>14000000</v>
      </c>
      <c r="AB16" s="6" t="s">
        <v>101</v>
      </c>
      <c r="AC16" s="3" t="str">
        <f t="shared" si="2"/>
        <v>    Series 4.75%</v>
      </c>
      <c r="AE16" s="12">
        <f t="shared" si="3"/>
        <v>14000000</v>
      </c>
      <c r="AF16" s="18">
        <f t="shared" si="4"/>
        <v>0.0475</v>
      </c>
      <c r="AG16" s="18">
        <f t="shared" si="5"/>
        <v>0.0475</v>
      </c>
      <c r="AH16" s="12">
        <f t="shared" si="6"/>
        <v>0</v>
      </c>
      <c r="AI16" s="12">
        <f t="shared" si="7"/>
        <v>665000</v>
      </c>
      <c r="AJ16" s="12">
        <f t="shared" si="8"/>
        <v>0</v>
      </c>
      <c r="AK16" s="12">
        <f t="shared" si="9"/>
        <v>14000000</v>
      </c>
      <c r="AP16" s="11"/>
      <c r="AQ16" s="10"/>
      <c r="AS16" s="11"/>
      <c r="AT16" s="11"/>
      <c r="AU16" s="11"/>
      <c r="AV16" s="11"/>
      <c r="AX16" s="16"/>
      <c r="AY16" s="1"/>
      <c r="AZ16" s="5"/>
    </row>
    <row r="17" spans="1:52" ht="12.75">
      <c r="A17" s="6">
        <v>11</v>
      </c>
      <c r="B17" s="28" t="s">
        <v>149</v>
      </c>
      <c r="C17" s="27">
        <v>0.0581</v>
      </c>
      <c r="D17" s="25">
        <v>0</v>
      </c>
      <c r="E17" s="12">
        <f aca="true" t="shared" si="21" ref="E17:L17">D17</f>
        <v>0</v>
      </c>
      <c r="F17" s="12">
        <f t="shared" si="21"/>
        <v>0</v>
      </c>
      <c r="G17" s="12">
        <f t="shared" si="21"/>
        <v>0</v>
      </c>
      <c r="H17" s="12">
        <f t="shared" si="21"/>
        <v>0</v>
      </c>
      <c r="I17" s="12">
        <f t="shared" si="21"/>
        <v>0</v>
      </c>
      <c r="J17" s="12">
        <f t="shared" si="21"/>
        <v>0</v>
      </c>
      <c r="K17" s="12">
        <f t="shared" si="21"/>
        <v>0</v>
      </c>
      <c r="L17" s="12">
        <f t="shared" si="21"/>
        <v>0</v>
      </c>
      <c r="M17" s="12">
        <v>50000000</v>
      </c>
      <c r="N17" s="12">
        <f t="shared" si="13"/>
        <v>50000000</v>
      </c>
      <c r="O17" s="12">
        <f aca="true" t="shared" si="22" ref="O17:Z17">N17</f>
        <v>50000000</v>
      </c>
      <c r="P17" s="12">
        <f t="shared" si="22"/>
        <v>50000000</v>
      </c>
      <c r="Q17" s="12">
        <f t="shared" si="22"/>
        <v>50000000</v>
      </c>
      <c r="R17" s="12">
        <f t="shared" si="22"/>
        <v>50000000</v>
      </c>
      <c r="S17" s="12">
        <f t="shared" si="22"/>
        <v>50000000</v>
      </c>
      <c r="T17" s="12">
        <f t="shared" si="22"/>
        <v>50000000</v>
      </c>
      <c r="U17" s="12">
        <f t="shared" si="22"/>
        <v>50000000</v>
      </c>
      <c r="V17" s="12">
        <f t="shared" si="22"/>
        <v>50000000</v>
      </c>
      <c r="W17" s="12">
        <f t="shared" si="22"/>
        <v>50000000</v>
      </c>
      <c r="X17" s="12">
        <f t="shared" si="22"/>
        <v>50000000</v>
      </c>
      <c r="Y17" s="12">
        <f t="shared" si="22"/>
        <v>50000000</v>
      </c>
      <c r="Z17" s="12">
        <f t="shared" si="22"/>
        <v>50000000</v>
      </c>
      <c r="AA17" s="12">
        <f t="shared" si="1"/>
        <v>50000000</v>
      </c>
      <c r="AB17" s="6" t="s">
        <v>101</v>
      </c>
      <c r="AC17" s="3" t="str">
        <f t="shared" si="2"/>
        <v>    Proposed 5.81%</v>
      </c>
      <c r="AE17" s="12">
        <f t="shared" si="3"/>
        <v>50000000</v>
      </c>
      <c r="AF17" s="18">
        <f t="shared" si="4"/>
        <v>0.0581</v>
      </c>
      <c r="AG17" s="18">
        <f t="shared" si="5"/>
        <v>0.062</v>
      </c>
      <c r="AH17" s="12">
        <f t="shared" si="6"/>
        <v>195000</v>
      </c>
      <c r="AI17" s="12">
        <f t="shared" si="7"/>
        <v>3100000</v>
      </c>
      <c r="AJ17" s="12">
        <f t="shared" si="8"/>
        <v>2386250</v>
      </c>
      <c r="AK17" s="12">
        <f t="shared" si="9"/>
        <v>47613750</v>
      </c>
      <c r="AN17" s="7"/>
      <c r="AP17" s="11"/>
      <c r="AQ17" s="9"/>
      <c r="AR17" s="9"/>
      <c r="AS17" s="11"/>
      <c r="AT17" s="11"/>
      <c r="AU17" s="11"/>
      <c r="AV17" s="11"/>
      <c r="AX17" s="16"/>
      <c r="AY17" s="1"/>
      <c r="AZ17" s="5"/>
    </row>
    <row r="18" spans="1:52" ht="12.75">
      <c r="A18" s="6">
        <v>12</v>
      </c>
      <c r="B18" s="29" t="s">
        <v>149</v>
      </c>
      <c r="C18" s="27">
        <v>0.0581</v>
      </c>
      <c r="D18" s="25">
        <v>0</v>
      </c>
      <c r="E18" s="12">
        <f aca="true" t="shared" si="23" ref="E18:M19">D18</f>
        <v>0</v>
      </c>
      <c r="F18" s="12">
        <f t="shared" si="23"/>
        <v>0</v>
      </c>
      <c r="G18" s="12">
        <f t="shared" si="23"/>
        <v>0</v>
      </c>
      <c r="H18" s="12">
        <f t="shared" si="23"/>
        <v>0</v>
      </c>
      <c r="I18" s="12">
        <f t="shared" si="23"/>
        <v>0</v>
      </c>
      <c r="J18" s="12">
        <f t="shared" si="23"/>
        <v>0</v>
      </c>
      <c r="K18" s="12">
        <f t="shared" si="23"/>
        <v>0</v>
      </c>
      <c r="L18" s="12">
        <f t="shared" si="23"/>
        <v>0</v>
      </c>
      <c r="M18" s="12">
        <f t="shared" si="23"/>
        <v>0</v>
      </c>
      <c r="N18" s="12">
        <f t="shared" si="13"/>
        <v>0</v>
      </c>
      <c r="O18" s="12">
        <f>N18</f>
        <v>0</v>
      </c>
      <c r="P18" s="12">
        <f aca="true" t="shared" si="24" ref="P18:Z19">O18</f>
        <v>0</v>
      </c>
      <c r="Q18" s="12">
        <f t="shared" si="24"/>
        <v>0</v>
      </c>
      <c r="R18" s="12">
        <v>10000000</v>
      </c>
      <c r="S18" s="12">
        <f t="shared" si="24"/>
        <v>10000000</v>
      </c>
      <c r="T18" s="12">
        <f t="shared" si="24"/>
        <v>10000000</v>
      </c>
      <c r="U18" s="12">
        <f t="shared" si="24"/>
        <v>10000000</v>
      </c>
      <c r="V18" s="12">
        <f t="shared" si="24"/>
        <v>10000000</v>
      </c>
      <c r="W18" s="12">
        <f t="shared" si="24"/>
        <v>10000000</v>
      </c>
      <c r="X18" s="116">
        <f>W18</f>
        <v>10000000</v>
      </c>
      <c r="Y18" s="12">
        <f t="shared" si="24"/>
        <v>10000000</v>
      </c>
      <c r="Z18" s="12">
        <f t="shared" si="24"/>
        <v>10000000</v>
      </c>
      <c r="AA18" s="12">
        <f t="shared" si="1"/>
        <v>6923076.923076923</v>
      </c>
      <c r="AB18" s="6" t="s">
        <v>101</v>
      </c>
      <c r="AC18" s="3" t="str">
        <f t="shared" si="2"/>
        <v>    Proposed 5.81%</v>
      </c>
      <c r="AE18" s="12">
        <f t="shared" si="3"/>
        <v>6923076.923076923</v>
      </c>
      <c r="AF18" s="18">
        <f t="shared" si="4"/>
        <v>0.0581</v>
      </c>
      <c r="AG18" s="18">
        <f t="shared" si="5"/>
        <v>0.06352</v>
      </c>
      <c r="AH18" s="12">
        <f t="shared" si="6"/>
        <v>37500</v>
      </c>
      <c r="AI18" s="12">
        <f t="shared" si="7"/>
        <v>439754</v>
      </c>
      <c r="AJ18" s="12">
        <f t="shared" si="8"/>
        <v>334615.38461538457</v>
      </c>
      <c r="AK18" s="12">
        <f t="shared" si="9"/>
        <v>6588461.538461538</v>
      </c>
      <c r="AP18" s="11"/>
      <c r="AQ18" s="10"/>
      <c r="AS18" s="11"/>
      <c r="AT18" s="11"/>
      <c r="AU18" s="11"/>
      <c r="AV18" s="11"/>
      <c r="AX18" s="16"/>
      <c r="AY18" s="1"/>
      <c r="AZ18" s="5"/>
    </row>
    <row r="19" spans="1:52" ht="12.75">
      <c r="A19" s="6">
        <v>13</v>
      </c>
      <c r="B19" s="28" t="s">
        <v>149</v>
      </c>
      <c r="C19" s="27">
        <v>0.0581</v>
      </c>
      <c r="D19" s="42">
        <v>0</v>
      </c>
      <c r="E19" s="11">
        <f t="shared" si="23"/>
        <v>0</v>
      </c>
      <c r="F19" s="11">
        <f t="shared" si="23"/>
        <v>0</v>
      </c>
      <c r="G19" s="11">
        <f t="shared" si="23"/>
        <v>0</v>
      </c>
      <c r="H19" s="11">
        <f t="shared" si="23"/>
        <v>0</v>
      </c>
      <c r="I19" s="11">
        <f t="shared" si="23"/>
        <v>0</v>
      </c>
      <c r="J19" s="11">
        <f t="shared" si="23"/>
        <v>0</v>
      </c>
      <c r="K19" s="11">
        <f t="shared" si="23"/>
        <v>0</v>
      </c>
      <c r="L19" s="11">
        <f t="shared" si="23"/>
        <v>0</v>
      </c>
      <c r="M19" s="11">
        <f t="shared" si="23"/>
        <v>0</v>
      </c>
      <c r="N19" s="11">
        <f t="shared" si="13"/>
        <v>0</v>
      </c>
      <c r="O19" s="11">
        <f>N19</f>
        <v>0</v>
      </c>
      <c r="P19" s="12">
        <f t="shared" si="24"/>
        <v>0</v>
      </c>
      <c r="Q19" s="11">
        <f t="shared" si="24"/>
        <v>0</v>
      </c>
      <c r="R19" s="11">
        <f t="shared" si="24"/>
        <v>0</v>
      </c>
      <c r="S19" s="11">
        <f t="shared" si="24"/>
        <v>0</v>
      </c>
      <c r="T19" s="11">
        <f t="shared" si="24"/>
        <v>0</v>
      </c>
      <c r="U19" s="11">
        <f t="shared" si="24"/>
        <v>0</v>
      </c>
      <c r="V19" s="11">
        <f t="shared" si="24"/>
        <v>0</v>
      </c>
      <c r="W19" s="11">
        <f t="shared" si="24"/>
        <v>0</v>
      </c>
      <c r="X19" s="11">
        <f>W19</f>
        <v>0</v>
      </c>
      <c r="Y19" s="11">
        <v>17000000</v>
      </c>
      <c r="Z19" s="11">
        <f t="shared" si="24"/>
        <v>17000000</v>
      </c>
      <c r="AA19" s="11">
        <f t="shared" si="1"/>
        <v>2615384.6153846155</v>
      </c>
      <c r="AB19" s="6" t="s">
        <v>101</v>
      </c>
      <c r="AC19" s="3" t="str">
        <f t="shared" si="2"/>
        <v>    Proposed 5.81%</v>
      </c>
      <c r="AE19" s="11">
        <f t="shared" si="3"/>
        <v>2615384.6153846155</v>
      </c>
      <c r="AF19" s="18">
        <f>C19</f>
        <v>0.0581</v>
      </c>
      <c r="AG19" s="18">
        <f>IF(AE19=0,0,ROUND(((AE19*AF19)+AH19)/AE19,5))</f>
        <v>0.06415</v>
      </c>
      <c r="AH19" s="12">
        <f>SUM(O117:Z117)</f>
        <v>15833.333333333334</v>
      </c>
      <c r="AI19" s="12">
        <f>ROUND(AG19*AE19,0)</f>
        <v>167777</v>
      </c>
      <c r="AJ19" s="12">
        <f>AA68</f>
        <v>846041.6666666667</v>
      </c>
      <c r="AK19" s="12">
        <f>AE19-AJ19</f>
        <v>1769342.9487179487</v>
      </c>
      <c r="AN19" s="7" t="str">
        <f>B215</f>
        <v>8.47% Series, $100 Par</v>
      </c>
      <c r="AP19" s="11">
        <f>AA215</f>
        <v>4500000</v>
      </c>
      <c r="AQ19" s="9">
        <f>C215</f>
        <v>0.0847</v>
      </c>
      <c r="AR19" s="9">
        <f>IF(AP19=0,0,ROUND(((AP19*AQ19)+AS19)/AP19,5))</f>
        <v>0.08487</v>
      </c>
      <c r="AS19" s="11">
        <f>AA313</f>
        <v>768</v>
      </c>
      <c r="AT19" s="11">
        <f>ROUND(AR19*AP19,0)</f>
        <v>381915</v>
      </c>
      <c r="AU19" s="11">
        <f>AA262</f>
        <v>21974</v>
      </c>
      <c r="AV19" s="11">
        <f>AP19-AU19</f>
        <v>4478026</v>
      </c>
      <c r="AX19" s="16"/>
      <c r="AY19" s="1"/>
      <c r="AZ19" s="5"/>
    </row>
    <row r="20" spans="1:52" ht="12.75">
      <c r="A20" s="6">
        <v>14</v>
      </c>
      <c r="AB20" s="6" t="s">
        <v>101</v>
      </c>
      <c r="AQ20" s="10"/>
      <c r="AX20" s="16"/>
      <c r="AY20" s="1"/>
      <c r="AZ20" s="5"/>
    </row>
    <row r="21" spans="1:52" ht="12.75">
      <c r="A21" s="6">
        <v>15</v>
      </c>
      <c r="AB21" s="6" t="s">
        <v>101</v>
      </c>
      <c r="AH21" s="128">
        <f>265000/53000000</f>
        <v>0.005</v>
      </c>
      <c r="AQ21" s="10"/>
      <c r="AX21" s="16"/>
      <c r="AY21" s="1"/>
      <c r="AZ21" s="5"/>
    </row>
    <row r="22" spans="1:52" ht="12.75">
      <c r="A22" s="6">
        <v>16</v>
      </c>
      <c r="B22" s="5"/>
      <c r="C22" s="18"/>
      <c r="P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101</v>
      </c>
      <c r="AE22" s="11"/>
      <c r="AF22" s="18"/>
      <c r="AG22" s="18"/>
      <c r="AH22" s="11"/>
      <c r="AI22" s="11"/>
      <c r="AJ22" s="11"/>
      <c r="AK22" s="11"/>
      <c r="AQ22" s="10"/>
      <c r="AX22" s="16"/>
      <c r="AY22" s="1"/>
      <c r="AZ22" s="5"/>
    </row>
    <row r="23" spans="1:52" ht="12.75">
      <c r="A23" s="6">
        <v>17</v>
      </c>
      <c r="C23" s="18"/>
      <c r="P23" s="5"/>
      <c r="AB23" s="6" t="s">
        <v>101</v>
      </c>
      <c r="AE23" s="11"/>
      <c r="AF23" s="2"/>
      <c r="AG23" s="2"/>
      <c r="AH23" s="11"/>
      <c r="AI23" s="11"/>
      <c r="AJ23" s="11"/>
      <c r="AK23" s="11"/>
      <c r="AQ23" s="10"/>
      <c r="AX23" s="16"/>
      <c r="AY23" s="1"/>
      <c r="AZ23" s="5"/>
    </row>
    <row r="24" spans="1:52" ht="13.5" thickBot="1">
      <c r="A24" s="6">
        <v>18</v>
      </c>
      <c r="C24" s="18"/>
      <c r="P24" s="5"/>
      <c r="AB24" s="6" t="s">
        <v>101</v>
      </c>
      <c r="AE24" s="11"/>
      <c r="AF24" s="2"/>
      <c r="AG24" s="2"/>
      <c r="AH24" s="11"/>
      <c r="AI24" s="11"/>
      <c r="AJ24" s="11"/>
      <c r="AK24" s="11"/>
      <c r="AN24" s="28" t="s">
        <v>116</v>
      </c>
      <c r="AP24" s="37">
        <f>SUM(AP9:AP23)</f>
        <v>5966700</v>
      </c>
      <c r="AQ24" s="10"/>
      <c r="AS24" s="37">
        <f>SUM(AS9:AS23)</f>
        <v>768</v>
      </c>
      <c r="AT24" s="37">
        <f>SUM(AT9:AT23)</f>
        <v>460631</v>
      </c>
      <c r="AU24" s="37">
        <f>SUM(AU9:AU23)</f>
        <v>21974</v>
      </c>
      <c r="AV24" s="37">
        <f>SUM(AV9:AV23)</f>
        <v>5944726</v>
      </c>
      <c r="AX24" s="16"/>
      <c r="AY24" s="1"/>
      <c r="AZ24" s="5"/>
    </row>
    <row r="25" spans="1:52" ht="13.5" thickTop="1">
      <c r="A25" s="6">
        <v>19</v>
      </c>
      <c r="C25" s="18"/>
      <c r="P25" s="5"/>
      <c r="AB25" s="6" t="s">
        <v>101</v>
      </c>
      <c r="AE25" s="11"/>
      <c r="AF25" s="2"/>
      <c r="AG25" s="2"/>
      <c r="AH25" s="11"/>
      <c r="AI25" s="11"/>
      <c r="AJ25" s="11"/>
      <c r="AK25" s="11"/>
      <c r="AP25" s="5"/>
      <c r="AQ25" s="10"/>
      <c r="AS25" s="5"/>
      <c r="AT25" s="5"/>
      <c r="AU25" s="5"/>
      <c r="AV25" s="5"/>
      <c r="AX25" s="16"/>
      <c r="AY25" s="1"/>
      <c r="AZ25" s="5"/>
    </row>
    <row r="26" spans="1:52" ht="12.75">
      <c r="A26" s="6">
        <v>20</v>
      </c>
      <c r="C26" s="18"/>
      <c r="P26" s="5"/>
      <c r="AB26" s="6" t="s">
        <v>101</v>
      </c>
      <c r="AE26" s="11"/>
      <c r="AF26" s="2"/>
      <c r="AG26" s="2"/>
      <c r="AH26" s="11"/>
      <c r="AI26" s="11"/>
      <c r="AJ26" s="11"/>
      <c r="AK26" s="11"/>
      <c r="AQ26" s="10"/>
      <c r="AX26" s="16"/>
      <c r="AY26" s="1"/>
      <c r="AZ26" s="5"/>
    </row>
    <row r="27" spans="1:54" ht="12.75">
      <c r="A27" s="6">
        <v>21</v>
      </c>
      <c r="C27" s="18"/>
      <c r="P27" s="5"/>
      <c r="AB27" s="6" t="s">
        <v>101</v>
      </c>
      <c r="AE27" s="11"/>
      <c r="AF27" s="2"/>
      <c r="AG27" s="2"/>
      <c r="AH27" s="11"/>
      <c r="AI27" s="11"/>
      <c r="AJ27" s="11"/>
      <c r="AK27" s="11"/>
      <c r="AQ27" s="10"/>
      <c r="AX27" s="16"/>
      <c r="AY27" s="1"/>
      <c r="AZ27" s="5"/>
      <c r="BB27" s="5"/>
    </row>
    <row r="28" spans="1:51" ht="13.5" thickBot="1">
      <c r="A28" s="6">
        <v>22</v>
      </c>
      <c r="B28" s="28"/>
      <c r="C28" s="27"/>
      <c r="D28" s="2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6" t="s">
        <v>101</v>
      </c>
      <c r="AC28" s="28"/>
      <c r="AE28" s="12"/>
      <c r="AF28" s="18"/>
      <c r="AG28" s="18"/>
      <c r="AH28" s="12"/>
      <c r="AI28" s="12"/>
      <c r="AJ28" s="12"/>
      <c r="AK28" s="12"/>
      <c r="AN28" s="47" t="s">
        <v>117</v>
      </c>
      <c r="AQ28" s="39">
        <f>ROUND(AT24/AV24,4)</f>
        <v>0.0775</v>
      </c>
      <c r="AY28" s="5"/>
    </row>
    <row r="29" spans="1:51" ht="13.5" thickTop="1">
      <c r="A29" s="6">
        <v>23</v>
      </c>
      <c r="C29" s="19"/>
      <c r="D29" s="5"/>
      <c r="G29" s="5"/>
      <c r="P29" s="5"/>
      <c r="AA29" s="5"/>
      <c r="AB29" s="6" t="s">
        <v>101</v>
      </c>
      <c r="AQ29" s="5"/>
      <c r="AY29" s="5"/>
    </row>
    <row r="30" spans="1:51" ht="12.75">
      <c r="A30" s="6">
        <v>24</v>
      </c>
      <c r="B30" s="7"/>
      <c r="P30" s="5"/>
      <c r="AB30" s="6" t="s">
        <v>101</v>
      </c>
      <c r="AY30" s="5"/>
    </row>
    <row r="31" spans="1:51" ht="12.75">
      <c r="A31" s="6">
        <v>25</v>
      </c>
      <c r="P31" s="5"/>
      <c r="AB31" s="6" t="s">
        <v>101</v>
      </c>
      <c r="AY31" s="5"/>
    </row>
    <row r="32" spans="1:54" ht="12.75">
      <c r="A32" s="6">
        <v>26</v>
      </c>
      <c r="P32" s="5"/>
      <c r="AB32" s="6" t="s">
        <v>101</v>
      </c>
      <c r="AY32" s="5"/>
      <c r="BA32" s="6"/>
      <c r="BB32" s="6"/>
    </row>
    <row r="33" spans="1:51" ht="13.5" thickBot="1">
      <c r="A33" s="6">
        <v>27</v>
      </c>
      <c r="B33" s="28" t="s">
        <v>116</v>
      </c>
      <c r="D33" s="37">
        <f aca="true" t="shared" si="25" ref="D33:AA33">SUM(D10:D32)</f>
        <v>77000000</v>
      </c>
      <c r="E33" s="37">
        <f t="shared" si="25"/>
        <v>77000000</v>
      </c>
      <c r="F33" s="37">
        <f t="shared" si="25"/>
        <v>73900000</v>
      </c>
      <c r="G33" s="37">
        <f t="shared" si="25"/>
        <v>73900000</v>
      </c>
      <c r="H33" s="37">
        <f t="shared" si="25"/>
        <v>73900000</v>
      </c>
      <c r="I33" s="37">
        <f t="shared" si="25"/>
        <v>49900000</v>
      </c>
      <c r="J33" s="37">
        <f t="shared" si="25"/>
        <v>49900000</v>
      </c>
      <c r="K33" s="37">
        <f t="shared" si="25"/>
        <v>49900000</v>
      </c>
      <c r="L33" s="37">
        <f t="shared" si="25"/>
        <v>49900000</v>
      </c>
      <c r="M33" s="37">
        <f t="shared" si="25"/>
        <v>99900000</v>
      </c>
      <c r="N33" s="37">
        <f t="shared" si="25"/>
        <v>99900000</v>
      </c>
      <c r="O33" s="37">
        <f t="shared" si="25"/>
        <v>99900000</v>
      </c>
      <c r="P33" s="37">
        <f t="shared" si="25"/>
        <v>99900000</v>
      </c>
      <c r="Q33" s="37">
        <f t="shared" si="25"/>
        <v>99900000</v>
      </c>
      <c r="R33" s="37">
        <f t="shared" si="25"/>
        <v>106800000</v>
      </c>
      <c r="S33" s="37">
        <f t="shared" si="25"/>
        <v>106800000</v>
      </c>
      <c r="T33" s="37">
        <f t="shared" si="25"/>
        <v>106800000</v>
      </c>
      <c r="U33" s="37">
        <f t="shared" si="25"/>
        <v>106800000</v>
      </c>
      <c r="V33" s="37">
        <f t="shared" si="25"/>
        <v>106800000</v>
      </c>
      <c r="W33" s="37">
        <f t="shared" si="25"/>
        <v>106800000</v>
      </c>
      <c r="X33" s="37">
        <f t="shared" si="25"/>
        <v>106800000</v>
      </c>
      <c r="Y33" s="37">
        <f t="shared" si="25"/>
        <v>123800000</v>
      </c>
      <c r="Z33" s="37">
        <f t="shared" si="25"/>
        <v>123800000</v>
      </c>
      <c r="AA33" s="37">
        <f t="shared" si="25"/>
        <v>107292307.69230768</v>
      </c>
      <c r="AB33" s="6" t="s">
        <v>101</v>
      </c>
      <c r="AC33" s="7" t="s">
        <v>116</v>
      </c>
      <c r="AE33" s="37">
        <f>SUM(AE9:AE30)</f>
        <v>107292307.69230768</v>
      </c>
      <c r="AH33" s="37">
        <f>SUM(AH9:AH30)</f>
        <v>319781.3383333333</v>
      </c>
      <c r="AI33" s="37">
        <f>SUM(AI9:AI30)</f>
        <v>6800896</v>
      </c>
      <c r="AJ33" s="37">
        <f>SUM(AJ9:AJ30)</f>
        <v>3905145.051282051</v>
      </c>
      <c r="AK33" s="37">
        <f>SUM(AK9:AK30)</f>
        <v>103387162.64102563</v>
      </c>
      <c r="AY33" s="5"/>
    </row>
    <row r="34" spans="1:51" ht="13.5" thickTop="1">
      <c r="A34" s="6">
        <v>28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 t="s">
        <v>101</v>
      </c>
      <c r="AE34" s="5"/>
      <c r="AH34" s="5"/>
      <c r="AI34" s="5"/>
      <c r="AJ34" s="5"/>
      <c r="AK34" s="5"/>
      <c r="AY34" s="5"/>
    </row>
    <row r="35" spans="1:55" ht="12.75">
      <c r="A35" s="6">
        <v>29</v>
      </c>
      <c r="P35" s="5"/>
      <c r="AB35" s="6" t="s">
        <v>101</v>
      </c>
      <c r="AY35" s="5"/>
      <c r="BA35" s="20"/>
      <c r="BB35" s="20"/>
      <c r="BC35" s="20"/>
    </row>
    <row r="36" spans="1:51" ht="12.75">
      <c r="A36" s="6">
        <v>30</v>
      </c>
      <c r="P36" s="5"/>
      <c r="AB36" s="6" t="s">
        <v>101</v>
      </c>
      <c r="AJ36" s="8"/>
      <c r="AY36" s="5"/>
    </row>
    <row r="37" spans="1:51" ht="12.75">
      <c r="A37" s="6">
        <v>31</v>
      </c>
      <c r="P37" s="5"/>
      <c r="AB37" s="6" t="s">
        <v>101</v>
      </c>
      <c r="AJ37" s="8"/>
      <c r="AY37" s="5"/>
    </row>
    <row r="38" spans="1:51" ht="13.5" thickBot="1">
      <c r="A38" s="6">
        <v>32</v>
      </c>
      <c r="P38" s="5"/>
      <c r="AB38" s="6" t="s">
        <v>101</v>
      </c>
      <c r="AC38" s="4" t="s">
        <v>117</v>
      </c>
      <c r="AF38" s="38">
        <f>ROUND(AI33/AK33,4)</f>
        <v>0.0658</v>
      </c>
      <c r="AY38" s="5"/>
    </row>
    <row r="39" spans="1:51" ht="13.5" thickTop="1">
      <c r="A39" s="6">
        <v>33</v>
      </c>
      <c r="P39" s="5"/>
      <c r="AB39" s="6" t="s">
        <v>101</v>
      </c>
      <c r="AF39" s="5"/>
      <c r="AJ39" s="11"/>
      <c r="AY39" s="5"/>
    </row>
    <row r="40" spans="1:51" ht="12.75">
      <c r="A40" s="6">
        <v>34</v>
      </c>
      <c r="P40" s="5"/>
      <c r="AB40" s="6" t="s">
        <v>101</v>
      </c>
      <c r="AY40" s="5"/>
    </row>
    <row r="41" spans="1:51" ht="12.75">
      <c r="A41" s="6">
        <v>35</v>
      </c>
      <c r="P41" s="5"/>
      <c r="AB41" s="6" t="s">
        <v>101</v>
      </c>
      <c r="AY41" s="5"/>
    </row>
    <row r="42" spans="1:51" ht="12.75">
      <c r="A42" s="6">
        <v>36</v>
      </c>
      <c r="P42" s="5"/>
      <c r="AB42" s="6" t="s">
        <v>101</v>
      </c>
      <c r="AY42" s="5"/>
    </row>
    <row r="43" spans="1:51" ht="12.75">
      <c r="A43" s="6">
        <v>37</v>
      </c>
      <c r="P43" s="5"/>
      <c r="AB43" s="6" t="s">
        <v>101</v>
      </c>
      <c r="AY43" s="5"/>
    </row>
    <row r="44" spans="1:51" ht="12.75">
      <c r="A44" s="6">
        <v>38</v>
      </c>
      <c r="P44" s="5"/>
      <c r="AB44" s="6" t="s">
        <v>101</v>
      </c>
      <c r="AY44" s="5"/>
    </row>
    <row r="45" spans="1:51" ht="12.75">
      <c r="A45" s="6">
        <v>39</v>
      </c>
      <c r="P45" s="5"/>
      <c r="AB45" s="6" t="s">
        <v>101</v>
      </c>
      <c r="AY45" s="5"/>
    </row>
    <row r="46" spans="1:51" ht="12.75">
      <c r="A46" s="6">
        <v>40</v>
      </c>
      <c r="P46" s="5"/>
      <c r="AB46" s="6" t="s">
        <v>101</v>
      </c>
      <c r="AY46" s="5"/>
    </row>
    <row r="47" spans="1:51" ht="12.75">
      <c r="A47" s="6">
        <v>41</v>
      </c>
      <c r="P47" s="5"/>
      <c r="AB47" s="6" t="s">
        <v>101</v>
      </c>
      <c r="AY47" s="5"/>
    </row>
    <row r="48" spans="1:51" ht="12.75">
      <c r="A48" s="6">
        <v>42</v>
      </c>
      <c r="P48" s="5"/>
      <c r="AB48" s="6" t="s">
        <v>101</v>
      </c>
      <c r="AY48" s="5"/>
    </row>
    <row r="49" spans="1:55" ht="12.75">
      <c r="A49" s="5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 t="s">
        <v>101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1"/>
      <c r="BA49" s="1"/>
      <c r="BB49" s="1"/>
      <c r="BC49" s="1"/>
    </row>
    <row r="50" spans="1:51" ht="12.75">
      <c r="A50" s="4" t="s">
        <v>2</v>
      </c>
      <c r="P50" s="5"/>
      <c r="AB50" s="6" t="s">
        <v>101</v>
      </c>
      <c r="AY50" s="5"/>
    </row>
    <row r="51" spans="1:51" ht="12.75">
      <c r="A51" s="4" t="s">
        <v>118</v>
      </c>
      <c r="P51" s="5"/>
      <c r="AB51" s="6" t="s">
        <v>101</v>
      </c>
      <c r="AY51" s="5"/>
    </row>
    <row r="52" spans="3:52" ht="12.75">
      <c r="C52" s="19"/>
      <c r="P52" s="5"/>
      <c r="AB52" s="6" t="s">
        <v>101</v>
      </c>
      <c r="AY52" s="5"/>
      <c r="AZ52" s="3">
        <v>2</v>
      </c>
    </row>
    <row r="53" spans="1:51" ht="12.75">
      <c r="A53" s="109"/>
      <c r="B53" s="109" t="s">
        <v>63</v>
      </c>
      <c r="C53" s="109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6" t="s">
        <v>101</v>
      </c>
      <c r="AY53" s="5"/>
    </row>
    <row r="54" spans="1:51" ht="12.75">
      <c r="A54" s="6" t="s">
        <v>15</v>
      </c>
      <c r="B54" s="6" t="s">
        <v>107</v>
      </c>
      <c r="D54" s="6" t="s">
        <v>108</v>
      </c>
      <c r="E54" s="6" t="s">
        <v>108</v>
      </c>
      <c r="F54" s="6" t="s">
        <v>108</v>
      </c>
      <c r="G54" s="6" t="s">
        <v>108</v>
      </c>
      <c r="H54" s="6" t="s">
        <v>108</v>
      </c>
      <c r="I54" s="6" t="s">
        <v>108</v>
      </c>
      <c r="J54" s="6" t="s">
        <v>108</v>
      </c>
      <c r="K54" s="6" t="s">
        <v>108</v>
      </c>
      <c r="L54" s="6" t="s">
        <v>108</v>
      </c>
      <c r="M54" s="6" t="s">
        <v>108</v>
      </c>
      <c r="N54" s="6" t="s">
        <v>108</v>
      </c>
      <c r="O54" s="6" t="s">
        <v>108</v>
      </c>
      <c r="P54" s="6" t="s">
        <v>108</v>
      </c>
      <c r="Q54" s="6" t="s">
        <v>108</v>
      </c>
      <c r="R54" s="6" t="s">
        <v>108</v>
      </c>
      <c r="S54" s="6" t="s">
        <v>108</v>
      </c>
      <c r="T54" s="6" t="s">
        <v>108</v>
      </c>
      <c r="U54" s="6" t="s">
        <v>108</v>
      </c>
      <c r="V54" s="6" t="s">
        <v>108</v>
      </c>
      <c r="W54" s="6" t="s">
        <v>108</v>
      </c>
      <c r="X54" s="6" t="s">
        <v>108</v>
      </c>
      <c r="Y54" s="6" t="s">
        <v>108</v>
      </c>
      <c r="Z54" s="6" t="s">
        <v>108</v>
      </c>
      <c r="AA54" s="6" t="s">
        <v>14</v>
      </c>
      <c r="AB54" s="6" t="s">
        <v>101</v>
      </c>
      <c r="AY54" s="5"/>
    </row>
    <row r="55" spans="1:51" ht="12.75">
      <c r="A55" s="110" t="s">
        <v>21</v>
      </c>
      <c r="B55" s="110" t="s">
        <v>54</v>
      </c>
      <c r="C55" s="110"/>
      <c r="D55" s="113">
        <f>$D$6</f>
        <v>39113</v>
      </c>
      <c r="E55" s="113">
        <f>$E$6</f>
        <v>39141</v>
      </c>
      <c r="F55" s="113">
        <f>$F$6</f>
        <v>39172</v>
      </c>
      <c r="G55" s="113">
        <f>$G$6</f>
        <v>39202</v>
      </c>
      <c r="H55" s="113">
        <f>$H$6</f>
        <v>39233</v>
      </c>
      <c r="I55" s="113">
        <f>$I$6</f>
        <v>39263</v>
      </c>
      <c r="J55" s="113">
        <f>$J$6</f>
        <v>39294</v>
      </c>
      <c r="K55" s="113">
        <f>$K$6</f>
        <v>39325</v>
      </c>
      <c r="L55" s="113">
        <f>$L$6</f>
        <v>39355</v>
      </c>
      <c r="M55" s="113">
        <f>$M$6</f>
        <v>39386</v>
      </c>
      <c r="N55" s="113">
        <f>$N$6</f>
        <v>39416</v>
      </c>
      <c r="O55" s="113">
        <f>$O$6</f>
        <v>39447</v>
      </c>
      <c r="P55" s="113">
        <f>$P$6</f>
        <v>39478</v>
      </c>
      <c r="Q55" s="113">
        <f>$Q$6</f>
        <v>39506</v>
      </c>
      <c r="R55" s="113">
        <f>$R$6</f>
        <v>39537</v>
      </c>
      <c r="S55" s="113">
        <f>$S$6</f>
        <v>39567</v>
      </c>
      <c r="T55" s="113">
        <f>$T$6</f>
        <v>39598</v>
      </c>
      <c r="U55" s="113">
        <f>$U$6</f>
        <v>39628</v>
      </c>
      <c r="V55" s="113">
        <f>$V$6</f>
        <v>39659</v>
      </c>
      <c r="W55" s="113">
        <f>$W$6</f>
        <v>39690</v>
      </c>
      <c r="X55" s="113">
        <f>$X$6</f>
        <v>39720</v>
      </c>
      <c r="Y55" s="113">
        <f>$Y$6</f>
        <v>39751</v>
      </c>
      <c r="Z55" s="113">
        <f>$Z$6</f>
        <v>39781</v>
      </c>
      <c r="AA55" s="111" t="s">
        <v>20</v>
      </c>
      <c r="AB55" s="6" t="s">
        <v>101</v>
      </c>
      <c r="AY55" s="5"/>
    </row>
    <row r="56" spans="1:28" ht="12.75">
      <c r="A56" s="6">
        <v>1</v>
      </c>
      <c r="B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 t="s">
        <v>101</v>
      </c>
    </row>
    <row r="57" spans="1:28" ht="12.75">
      <c r="A57" s="6">
        <v>2</v>
      </c>
      <c r="AB57" s="2" t="s">
        <v>101</v>
      </c>
    </row>
    <row r="58" spans="1:28" ht="12.75">
      <c r="A58" s="6">
        <v>3</v>
      </c>
      <c r="B58" s="32" t="s">
        <v>114</v>
      </c>
      <c r="AB58" s="2" t="s">
        <v>101</v>
      </c>
    </row>
    <row r="59" spans="1:28" ht="12.75">
      <c r="A59" s="6">
        <v>4</v>
      </c>
      <c r="B59" s="23"/>
      <c r="C59" s="30"/>
      <c r="D59" s="31"/>
      <c r="E59" s="14"/>
      <c r="F59" s="14"/>
      <c r="G59" s="14"/>
      <c r="H59" s="14"/>
      <c r="I59" s="14"/>
      <c r="J59" s="14"/>
      <c r="K59" s="14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4"/>
      <c r="X59" s="8"/>
      <c r="Y59" s="8"/>
      <c r="Z59" s="8"/>
      <c r="AA59" s="8"/>
      <c r="AB59" s="2" t="s">
        <v>101</v>
      </c>
    </row>
    <row r="60" spans="1:28" ht="12.75">
      <c r="A60" s="6">
        <v>5</v>
      </c>
      <c r="B60" s="3" t="str">
        <f aca="true" t="shared" si="26" ref="B60:B68">B11</f>
        <v>Series 6.87%</v>
      </c>
      <c r="C60" s="30"/>
      <c r="D60" s="122">
        <v>260390</v>
      </c>
      <c r="E60" s="12">
        <f aca="true" t="shared" si="27" ref="E60:Z60">D60-E109</f>
        <v>255182</v>
      </c>
      <c r="F60" s="12">
        <f t="shared" si="27"/>
        <v>249974</v>
      </c>
      <c r="G60" s="12">
        <f t="shared" si="27"/>
        <v>244766</v>
      </c>
      <c r="H60" s="12">
        <f t="shared" si="27"/>
        <v>239558</v>
      </c>
      <c r="I60" s="12">
        <f t="shared" si="27"/>
        <v>234350</v>
      </c>
      <c r="J60" s="12">
        <f t="shared" si="27"/>
        <v>229142</v>
      </c>
      <c r="K60" s="12">
        <f t="shared" si="27"/>
        <v>223934</v>
      </c>
      <c r="L60" s="12">
        <f t="shared" si="27"/>
        <v>218726</v>
      </c>
      <c r="M60" s="12">
        <f t="shared" si="27"/>
        <v>213518</v>
      </c>
      <c r="N60" s="12">
        <f t="shared" si="27"/>
        <v>208310</v>
      </c>
      <c r="O60" s="12">
        <f t="shared" si="27"/>
        <v>203102</v>
      </c>
      <c r="P60" s="12">
        <f t="shared" si="27"/>
        <v>197894</v>
      </c>
      <c r="Q60" s="12">
        <f t="shared" si="27"/>
        <v>192686</v>
      </c>
      <c r="R60" s="12">
        <f t="shared" si="27"/>
        <v>187478</v>
      </c>
      <c r="S60" s="12">
        <f t="shared" si="27"/>
        <v>182270</v>
      </c>
      <c r="T60" s="12">
        <f t="shared" si="27"/>
        <v>177062</v>
      </c>
      <c r="U60" s="12">
        <f t="shared" si="27"/>
        <v>171854</v>
      </c>
      <c r="V60" s="12">
        <f t="shared" si="27"/>
        <v>166646</v>
      </c>
      <c r="W60" s="12">
        <f t="shared" si="27"/>
        <v>161438</v>
      </c>
      <c r="X60" s="12">
        <f t="shared" si="27"/>
        <v>156230</v>
      </c>
      <c r="Y60" s="12">
        <f t="shared" si="27"/>
        <v>151022</v>
      </c>
      <c r="Z60" s="12">
        <f t="shared" si="27"/>
        <v>145814</v>
      </c>
      <c r="AA60" s="12">
        <f aca="true" t="shared" si="28" ref="AA60:AA67">AVERAGE(N60:Z60)</f>
        <v>177062</v>
      </c>
      <c r="AB60" s="2" t="s">
        <v>101</v>
      </c>
    </row>
    <row r="61" spans="1:28" ht="12.75">
      <c r="A61" s="6">
        <v>6</v>
      </c>
      <c r="B61" s="3" t="str">
        <f t="shared" si="26"/>
        <v>    Series 6.96%</v>
      </c>
      <c r="C61" s="30"/>
      <c r="D61" s="122">
        <v>39233</v>
      </c>
      <c r="E61" s="12">
        <f aca="true" t="shared" si="29" ref="E61:Z61">D61-E110</f>
        <v>39039</v>
      </c>
      <c r="F61" s="12">
        <f t="shared" si="29"/>
        <v>38845</v>
      </c>
      <c r="G61" s="12">
        <f t="shared" si="29"/>
        <v>38651</v>
      </c>
      <c r="H61" s="12">
        <f t="shared" si="29"/>
        <v>38457</v>
      </c>
      <c r="I61" s="12">
        <f t="shared" si="29"/>
        <v>38263</v>
      </c>
      <c r="J61" s="12">
        <f t="shared" si="29"/>
        <v>38069</v>
      </c>
      <c r="K61" s="12">
        <f t="shared" si="29"/>
        <v>37875</v>
      </c>
      <c r="L61" s="12">
        <f t="shared" si="29"/>
        <v>37681</v>
      </c>
      <c r="M61" s="12">
        <f t="shared" si="29"/>
        <v>37487</v>
      </c>
      <c r="N61" s="12">
        <f t="shared" si="29"/>
        <v>37293</v>
      </c>
      <c r="O61" s="12">
        <f t="shared" si="29"/>
        <v>37099</v>
      </c>
      <c r="P61" s="12">
        <f t="shared" si="29"/>
        <v>36905</v>
      </c>
      <c r="Q61" s="12">
        <f t="shared" si="29"/>
        <v>36711</v>
      </c>
      <c r="R61" s="12">
        <f t="shared" si="29"/>
        <v>36517</v>
      </c>
      <c r="S61" s="12">
        <f t="shared" si="29"/>
        <v>36323</v>
      </c>
      <c r="T61" s="12">
        <f t="shared" si="29"/>
        <v>36129</v>
      </c>
      <c r="U61" s="12">
        <f t="shared" si="29"/>
        <v>35935</v>
      </c>
      <c r="V61" s="12">
        <f t="shared" si="29"/>
        <v>35741</v>
      </c>
      <c r="W61" s="12">
        <f t="shared" si="29"/>
        <v>35547</v>
      </c>
      <c r="X61" s="12">
        <f t="shared" si="29"/>
        <v>35353</v>
      </c>
      <c r="Y61" s="12">
        <f t="shared" si="29"/>
        <v>35159</v>
      </c>
      <c r="Z61" s="12">
        <f t="shared" si="29"/>
        <v>34965</v>
      </c>
      <c r="AA61" s="12">
        <f t="shared" si="28"/>
        <v>36129</v>
      </c>
      <c r="AB61" s="2" t="s">
        <v>101</v>
      </c>
    </row>
    <row r="62" spans="1:28" ht="12.75">
      <c r="A62" s="6">
        <v>7</v>
      </c>
      <c r="B62" s="3" t="str">
        <f t="shared" si="26"/>
        <v>    Series 7.15%</v>
      </c>
      <c r="C62" s="30"/>
      <c r="D62" s="25">
        <v>48582</v>
      </c>
      <c r="E62" s="12">
        <f aca="true" t="shared" si="30" ref="E62:Z62">D62-E111</f>
        <v>48380</v>
      </c>
      <c r="F62" s="12">
        <f t="shared" si="30"/>
        <v>48178</v>
      </c>
      <c r="G62" s="12">
        <f t="shared" si="30"/>
        <v>47976</v>
      </c>
      <c r="H62" s="12">
        <f t="shared" si="30"/>
        <v>47774</v>
      </c>
      <c r="I62" s="12">
        <f t="shared" si="30"/>
        <v>47572</v>
      </c>
      <c r="J62" s="12">
        <f t="shared" si="30"/>
        <v>47370</v>
      </c>
      <c r="K62" s="12">
        <f t="shared" si="30"/>
        <v>47168</v>
      </c>
      <c r="L62" s="12">
        <f t="shared" si="30"/>
        <v>46966</v>
      </c>
      <c r="M62" s="12">
        <f t="shared" si="30"/>
        <v>46764</v>
      </c>
      <c r="N62" s="12">
        <f t="shared" si="30"/>
        <v>46562</v>
      </c>
      <c r="O62" s="12">
        <f t="shared" si="30"/>
        <v>46360</v>
      </c>
      <c r="P62" s="12">
        <f t="shared" si="30"/>
        <v>46158</v>
      </c>
      <c r="Q62" s="12">
        <f t="shared" si="30"/>
        <v>45956</v>
      </c>
      <c r="R62" s="12">
        <f t="shared" si="30"/>
        <v>45754</v>
      </c>
      <c r="S62" s="12">
        <f t="shared" si="30"/>
        <v>45552</v>
      </c>
      <c r="T62" s="12">
        <f t="shared" si="30"/>
        <v>45350</v>
      </c>
      <c r="U62" s="12">
        <f t="shared" si="30"/>
        <v>45148</v>
      </c>
      <c r="V62" s="12">
        <f t="shared" si="30"/>
        <v>44946</v>
      </c>
      <c r="W62" s="12">
        <f t="shared" si="30"/>
        <v>44744</v>
      </c>
      <c r="X62" s="12">
        <f t="shared" si="30"/>
        <v>44542</v>
      </c>
      <c r="Y62" s="12">
        <f t="shared" si="30"/>
        <v>44340</v>
      </c>
      <c r="Z62" s="12">
        <f t="shared" si="30"/>
        <v>44138</v>
      </c>
      <c r="AA62" s="12">
        <f t="shared" si="28"/>
        <v>45350</v>
      </c>
      <c r="AB62" s="2" t="s">
        <v>101</v>
      </c>
    </row>
    <row r="63" spans="1:28" ht="12.75">
      <c r="A63" s="6">
        <v>8</v>
      </c>
      <c r="B63" s="3" t="str">
        <f t="shared" si="26"/>
        <v>    Series 6.99%</v>
      </c>
      <c r="C63" s="30"/>
      <c r="D63" s="25">
        <v>69591</v>
      </c>
      <c r="E63" s="12">
        <f aca="true" t="shared" si="31" ref="E63:Z63">D63-E112</f>
        <v>69319</v>
      </c>
      <c r="F63" s="12">
        <f t="shared" si="31"/>
        <v>69047</v>
      </c>
      <c r="G63" s="12">
        <f t="shared" si="31"/>
        <v>68775</v>
      </c>
      <c r="H63" s="12">
        <f t="shared" si="31"/>
        <v>68503</v>
      </c>
      <c r="I63" s="12">
        <f t="shared" si="31"/>
        <v>68231</v>
      </c>
      <c r="J63" s="12">
        <f t="shared" si="31"/>
        <v>67959</v>
      </c>
      <c r="K63" s="12">
        <f t="shared" si="31"/>
        <v>67687</v>
      </c>
      <c r="L63" s="12">
        <f t="shared" si="31"/>
        <v>67415</v>
      </c>
      <c r="M63" s="12">
        <f t="shared" si="31"/>
        <v>67143</v>
      </c>
      <c r="N63" s="12">
        <f t="shared" si="31"/>
        <v>66871</v>
      </c>
      <c r="O63" s="12">
        <f t="shared" si="31"/>
        <v>66599</v>
      </c>
      <c r="P63" s="12">
        <f t="shared" si="31"/>
        <v>66327</v>
      </c>
      <c r="Q63" s="12">
        <f t="shared" si="31"/>
        <v>66055</v>
      </c>
      <c r="R63" s="12">
        <f t="shared" si="31"/>
        <v>65783</v>
      </c>
      <c r="S63" s="12">
        <f t="shared" si="31"/>
        <v>65511</v>
      </c>
      <c r="T63" s="12">
        <f t="shared" si="31"/>
        <v>65239</v>
      </c>
      <c r="U63" s="12">
        <f t="shared" si="31"/>
        <v>64967</v>
      </c>
      <c r="V63" s="12">
        <f t="shared" si="31"/>
        <v>64695</v>
      </c>
      <c r="W63" s="12">
        <f t="shared" si="31"/>
        <v>64423</v>
      </c>
      <c r="X63" s="12">
        <f t="shared" si="31"/>
        <v>64151</v>
      </c>
      <c r="Y63" s="12">
        <f t="shared" si="31"/>
        <v>63879</v>
      </c>
      <c r="Z63" s="12">
        <f t="shared" si="31"/>
        <v>63607</v>
      </c>
      <c r="AA63" s="12">
        <f t="shared" si="28"/>
        <v>65239</v>
      </c>
      <c r="AB63" s="2" t="s">
        <v>101</v>
      </c>
    </row>
    <row r="64" spans="1:28" ht="12.75">
      <c r="A64" s="6">
        <v>9</v>
      </c>
      <c r="B64" s="3" t="str">
        <f t="shared" si="26"/>
        <v>    Series 5.65%</v>
      </c>
      <c r="C64" s="30"/>
      <c r="D64" s="25">
        <v>217</v>
      </c>
      <c r="E64" s="12">
        <f aca="true" t="shared" si="32" ref="E64:Z64">D64-E113</f>
        <v>163</v>
      </c>
      <c r="F64" s="12">
        <f t="shared" si="32"/>
        <v>109</v>
      </c>
      <c r="G64" s="12">
        <f t="shared" si="32"/>
        <v>55</v>
      </c>
      <c r="H64" s="12">
        <f>G64-H113-1</f>
        <v>0</v>
      </c>
      <c r="I64" s="12">
        <f>H64-I113</f>
        <v>0</v>
      </c>
      <c r="J64" s="12">
        <f t="shared" si="32"/>
        <v>0</v>
      </c>
      <c r="K64" s="12">
        <f t="shared" si="32"/>
        <v>0</v>
      </c>
      <c r="L64" s="12">
        <f t="shared" si="32"/>
        <v>0</v>
      </c>
      <c r="M64" s="12">
        <f t="shared" si="32"/>
        <v>0</v>
      </c>
      <c r="N64" s="12">
        <f t="shared" si="32"/>
        <v>0</v>
      </c>
      <c r="O64" s="12">
        <f t="shared" si="32"/>
        <v>0</v>
      </c>
      <c r="P64" s="12">
        <f t="shared" si="32"/>
        <v>0</v>
      </c>
      <c r="Q64" s="12">
        <f t="shared" si="32"/>
        <v>0</v>
      </c>
      <c r="R64" s="12">
        <f t="shared" si="32"/>
        <v>0</v>
      </c>
      <c r="S64" s="12">
        <f t="shared" si="32"/>
        <v>0</v>
      </c>
      <c r="T64" s="12">
        <f t="shared" si="32"/>
        <v>0</v>
      </c>
      <c r="U64" s="12">
        <f t="shared" si="32"/>
        <v>0</v>
      </c>
      <c r="V64" s="12">
        <f t="shared" si="32"/>
        <v>0</v>
      </c>
      <c r="W64" s="12">
        <f t="shared" si="32"/>
        <v>0</v>
      </c>
      <c r="X64" s="12">
        <f t="shared" si="32"/>
        <v>0</v>
      </c>
      <c r="Y64" s="12">
        <f t="shared" si="32"/>
        <v>0</v>
      </c>
      <c r="Z64" s="12">
        <f t="shared" si="32"/>
        <v>0</v>
      </c>
      <c r="AA64" s="12">
        <f t="shared" si="28"/>
        <v>0</v>
      </c>
      <c r="AB64" s="2" t="s">
        <v>101</v>
      </c>
    </row>
    <row r="65" spans="1:28" ht="12.75">
      <c r="A65" s="6">
        <v>10</v>
      </c>
      <c r="B65" s="3" t="str">
        <f t="shared" si="26"/>
        <v>    Series 4.75%</v>
      </c>
      <c r="C65" s="30"/>
      <c r="D65" s="25">
        <v>0</v>
      </c>
      <c r="E65" s="12">
        <f aca="true" t="shared" si="33" ref="E65:Z65">D65-E114</f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0</v>
      </c>
      <c r="M65" s="12">
        <f t="shared" si="33"/>
        <v>0</v>
      </c>
      <c r="N65" s="12">
        <f t="shared" si="33"/>
        <v>0</v>
      </c>
      <c r="O65" s="12">
        <f t="shared" si="33"/>
        <v>0</v>
      </c>
      <c r="P65" s="12">
        <f t="shared" si="33"/>
        <v>0</v>
      </c>
      <c r="Q65" s="12">
        <f t="shared" si="33"/>
        <v>0</v>
      </c>
      <c r="R65" s="12">
        <f t="shared" si="33"/>
        <v>0</v>
      </c>
      <c r="S65" s="12">
        <f t="shared" si="33"/>
        <v>0</v>
      </c>
      <c r="T65" s="12">
        <f t="shared" si="33"/>
        <v>0</v>
      </c>
      <c r="U65" s="12">
        <f t="shared" si="33"/>
        <v>0</v>
      </c>
      <c r="V65" s="12">
        <f t="shared" si="33"/>
        <v>0</v>
      </c>
      <c r="W65" s="12">
        <f t="shared" si="33"/>
        <v>0</v>
      </c>
      <c r="X65" s="12">
        <f t="shared" si="33"/>
        <v>0</v>
      </c>
      <c r="Y65" s="12">
        <f t="shared" si="33"/>
        <v>0</v>
      </c>
      <c r="Z65" s="12">
        <f t="shared" si="33"/>
        <v>0</v>
      </c>
      <c r="AA65" s="12">
        <f t="shared" si="28"/>
        <v>0</v>
      </c>
      <c r="AB65" s="2" t="s">
        <v>101</v>
      </c>
    </row>
    <row r="66" spans="1:28" ht="12.75">
      <c r="A66" s="6">
        <v>11</v>
      </c>
      <c r="B66" s="3" t="str">
        <f t="shared" si="26"/>
        <v>    Proposed 5.81%</v>
      </c>
      <c r="C66" s="30"/>
      <c r="D66" s="25">
        <v>0</v>
      </c>
      <c r="E66" s="12">
        <f aca="true" t="shared" si="34" ref="E66:Z66">D66-E115</f>
        <v>0</v>
      </c>
      <c r="F66" s="12">
        <f t="shared" si="34"/>
        <v>0</v>
      </c>
      <c r="G66" s="12">
        <f t="shared" si="34"/>
        <v>0</v>
      </c>
      <c r="H66" s="12">
        <f t="shared" si="34"/>
        <v>0</v>
      </c>
      <c r="I66" s="12">
        <f t="shared" si="34"/>
        <v>0</v>
      </c>
      <c r="J66" s="12">
        <f t="shared" si="34"/>
        <v>0</v>
      </c>
      <c r="K66" s="12">
        <f t="shared" si="34"/>
        <v>0</v>
      </c>
      <c r="L66" s="12">
        <f t="shared" si="34"/>
        <v>0</v>
      </c>
      <c r="M66" s="124">
        <f>50000000*0.05</f>
        <v>2500000</v>
      </c>
      <c r="N66" s="12">
        <f t="shared" si="34"/>
        <v>2483750</v>
      </c>
      <c r="O66" s="12">
        <f t="shared" si="34"/>
        <v>2467500</v>
      </c>
      <c r="P66" s="12">
        <f t="shared" si="34"/>
        <v>2451250</v>
      </c>
      <c r="Q66" s="12">
        <f t="shared" si="34"/>
        <v>2435000</v>
      </c>
      <c r="R66" s="12">
        <f t="shared" si="34"/>
        <v>2418750</v>
      </c>
      <c r="S66" s="12">
        <f t="shared" si="34"/>
        <v>2402500</v>
      </c>
      <c r="T66" s="12">
        <f t="shared" si="34"/>
        <v>2386250</v>
      </c>
      <c r="U66" s="12">
        <f t="shared" si="34"/>
        <v>2370000</v>
      </c>
      <c r="V66" s="12">
        <f t="shared" si="34"/>
        <v>2353750</v>
      </c>
      <c r="W66" s="12">
        <f t="shared" si="34"/>
        <v>2337500</v>
      </c>
      <c r="X66" s="12">
        <f t="shared" si="34"/>
        <v>2321250</v>
      </c>
      <c r="Y66" s="12">
        <f t="shared" si="34"/>
        <v>2305000</v>
      </c>
      <c r="Z66" s="12">
        <f t="shared" si="34"/>
        <v>2288750</v>
      </c>
      <c r="AA66" s="12">
        <f t="shared" si="28"/>
        <v>2386250</v>
      </c>
      <c r="AB66" s="2" t="s">
        <v>101</v>
      </c>
    </row>
    <row r="67" spans="1:28" ht="12.75">
      <c r="A67" s="6">
        <v>12</v>
      </c>
      <c r="B67" s="3" t="str">
        <f t="shared" si="26"/>
        <v>    Proposed 5.81%</v>
      </c>
      <c r="C67" s="30"/>
      <c r="D67" s="25">
        <v>0</v>
      </c>
      <c r="E67" s="12">
        <f aca="true" t="shared" si="35" ref="E67:T69">D67-E116</f>
        <v>0</v>
      </c>
      <c r="F67" s="12">
        <f t="shared" si="35"/>
        <v>0</v>
      </c>
      <c r="G67" s="12">
        <f t="shared" si="35"/>
        <v>0</v>
      </c>
      <c r="H67" s="12">
        <f t="shared" si="35"/>
        <v>0</v>
      </c>
      <c r="I67" s="12">
        <f t="shared" si="35"/>
        <v>0</v>
      </c>
      <c r="J67" s="12">
        <f t="shared" si="35"/>
        <v>0</v>
      </c>
      <c r="K67" s="12">
        <f t="shared" si="35"/>
        <v>0</v>
      </c>
      <c r="L67" s="12">
        <f t="shared" si="35"/>
        <v>0</v>
      </c>
      <c r="M67" s="12">
        <f t="shared" si="35"/>
        <v>0</v>
      </c>
      <c r="N67" s="12">
        <f t="shared" si="35"/>
        <v>0</v>
      </c>
      <c r="O67" s="25">
        <f>(O18*0.009868)-O116</f>
        <v>0</v>
      </c>
      <c r="P67" s="12">
        <f aca="true" t="shared" si="36" ref="P67:Z69">O67-P116</f>
        <v>0</v>
      </c>
      <c r="Q67" s="12">
        <f t="shared" si="36"/>
        <v>0</v>
      </c>
      <c r="R67" s="124">
        <f>10000000*0.05</f>
        <v>500000</v>
      </c>
      <c r="S67" s="12">
        <f t="shared" si="36"/>
        <v>495833.3333333333</v>
      </c>
      <c r="T67" s="12">
        <f t="shared" si="36"/>
        <v>491666.6666666666</v>
      </c>
      <c r="U67" s="12">
        <f t="shared" si="36"/>
        <v>487499.99999999994</v>
      </c>
      <c r="V67" s="12">
        <f t="shared" si="36"/>
        <v>483333.33333333326</v>
      </c>
      <c r="W67" s="12">
        <f t="shared" si="36"/>
        <v>479166.66666666657</v>
      </c>
      <c r="X67" s="12">
        <f t="shared" si="36"/>
        <v>474999.9999999999</v>
      </c>
      <c r="Y67" s="12">
        <f t="shared" si="36"/>
        <v>470833.3333333332</v>
      </c>
      <c r="Z67" s="12">
        <f t="shared" si="36"/>
        <v>466666.6666666665</v>
      </c>
      <c r="AA67" s="12">
        <f t="shared" si="28"/>
        <v>334615.38461538457</v>
      </c>
      <c r="AB67" s="2" t="s">
        <v>101</v>
      </c>
    </row>
    <row r="68" spans="1:28" ht="12.75">
      <c r="A68" s="6">
        <v>13</v>
      </c>
      <c r="B68" s="3" t="str">
        <f t="shared" si="26"/>
        <v>    Proposed 5.81%</v>
      </c>
      <c r="Y68" s="51">
        <f>17000000*0.05</f>
        <v>850000</v>
      </c>
      <c r="Z68" s="12">
        <f t="shared" si="36"/>
        <v>842083.3333333334</v>
      </c>
      <c r="AA68" s="12">
        <f>AVERAGE(N68:Z68)</f>
        <v>846041.6666666667</v>
      </c>
      <c r="AB68" s="2" t="s">
        <v>101</v>
      </c>
    </row>
    <row r="69" spans="1:28" ht="12.75">
      <c r="A69" s="6">
        <v>14</v>
      </c>
      <c r="B69" s="3" t="s">
        <v>148</v>
      </c>
      <c r="D69" s="3">
        <v>15706</v>
      </c>
      <c r="E69" s="12">
        <f t="shared" si="35"/>
        <v>15628</v>
      </c>
      <c r="F69" s="12">
        <f t="shared" si="35"/>
        <v>15550</v>
      </c>
      <c r="G69" s="12">
        <f t="shared" si="35"/>
        <v>15472</v>
      </c>
      <c r="H69" s="12">
        <f t="shared" si="35"/>
        <v>15394</v>
      </c>
      <c r="I69" s="12">
        <f t="shared" si="35"/>
        <v>15316</v>
      </c>
      <c r="J69" s="12">
        <f t="shared" si="35"/>
        <v>15238</v>
      </c>
      <c r="K69" s="12">
        <f t="shared" si="35"/>
        <v>15160</v>
      </c>
      <c r="L69" s="12">
        <f t="shared" si="35"/>
        <v>15082</v>
      </c>
      <c r="M69" s="12">
        <f t="shared" si="35"/>
        <v>15004</v>
      </c>
      <c r="N69" s="12">
        <f t="shared" si="35"/>
        <v>14926</v>
      </c>
      <c r="O69" s="12">
        <f t="shared" si="35"/>
        <v>14848</v>
      </c>
      <c r="P69" s="12">
        <f t="shared" si="35"/>
        <v>14770</v>
      </c>
      <c r="Q69" s="12">
        <f t="shared" si="35"/>
        <v>14692</v>
      </c>
      <c r="R69" s="12">
        <f t="shared" si="35"/>
        <v>14614</v>
      </c>
      <c r="S69" s="12">
        <f t="shared" si="35"/>
        <v>14536</v>
      </c>
      <c r="T69" s="12">
        <f t="shared" si="35"/>
        <v>14458</v>
      </c>
      <c r="U69" s="12">
        <f t="shared" si="36"/>
        <v>14380</v>
      </c>
      <c r="V69" s="12">
        <f t="shared" si="36"/>
        <v>14302</v>
      </c>
      <c r="W69" s="12">
        <f t="shared" si="36"/>
        <v>14224</v>
      </c>
      <c r="X69" s="12">
        <f t="shared" si="36"/>
        <v>14146</v>
      </c>
      <c r="Y69" s="12">
        <f t="shared" si="36"/>
        <v>14068</v>
      </c>
      <c r="Z69" s="12">
        <f t="shared" si="36"/>
        <v>13990</v>
      </c>
      <c r="AA69" s="12">
        <f>AVERAGE(N69:Z69)</f>
        <v>14458</v>
      </c>
      <c r="AB69" s="2" t="s">
        <v>101</v>
      </c>
    </row>
    <row r="70" spans="1:28" ht="12.75">
      <c r="A70" s="6">
        <v>15</v>
      </c>
      <c r="AB70" s="2" t="s">
        <v>101</v>
      </c>
    </row>
    <row r="71" spans="1:28" ht="12.75">
      <c r="A71" s="6">
        <v>16</v>
      </c>
      <c r="P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2" t="s">
        <v>101</v>
      </c>
    </row>
    <row r="72" spans="1:28" ht="12.75">
      <c r="A72" s="6">
        <v>17</v>
      </c>
      <c r="AB72" s="2" t="s">
        <v>101</v>
      </c>
    </row>
    <row r="73" spans="1:28" ht="12.75">
      <c r="A73" s="6">
        <v>18</v>
      </c>
      <c r="B73" s="3">
        <f>B28</f>
        <v>0</v>
      </c>
      <c r="AB73" s="2" t="s">
        <v>101</v>
      </c>
    </row>
    <row r="74" spans="1:28" ht="12.75">
      <c r="A74" s="6">
        <v>19</v>
      </c>
      <c r="AB74" s="2" t="s">
        <v>101</v>
      </c>
    </row>
    <row r="75" spans="1:28" ht="12.75">
      <c r="A75" s="6">
        <v>20</v>
      </c>
      <c r="AB75" s="2" t="s">
        <v>101</v>
      </c>
    </row>
    <row r="76" spans="1:28" ht="13.5" thickBot="1">
      <c r="A76" s="6">
        <v>21</v>
      </c>
      <c r="B76" s="28" t="s">
        <v>116</v>
      </c>
      <c r="D76" s="37">
        <f aca="true" t="shared" si="37" ref="D76:AA76">SUM(D59:D74)</f>
        <v>433719</v>
      </c>
      <c r="E76" s="37">
        <f t="shared" si="37"/>
        <v>427711</v>
      </c>
      <c r="F76" s="37">
        <f t="shared" si="37"/>
        <v>421703</v>
      </c>
      <c r="G76" s="37">
        <f t="shared" si="37"/>
        <v>415695</v>
      </c>
      <c r="H76" s="37">
        <f t="shared" si="37"/>
        <v>409686</v>
      </c>
      <c r="I76" s="37">
        <f t="shared" si="37"/>
        <v>403732</v>
      </c>
      <c r="J76" s="37">
        <f t="shared" si="37"/>
        <v>397778</v>
      </c>
      <c r="K76" s="37">
        <f t="shared" si="37"/>
        <v>391824</v>
      </c>
      <c r="L76" s="37">
        <f t="shared" si="37"/>
        <v>385870</v>
      </c>
      <c r="M76" s="37">
        <f t="shared" si="37"/>
        <v>2879916</v>
      </c>
      <c r="N76" s="37">
        <f t="shared" si="37"/>
        <v>2857712</v>
      </c>
      <c r="O76" s="37">
        <f t="shared" si="37"/>
        <v>2835508</v>
      </c>
      <c r="P76" s="37">
        <f t="shared" si="37"/>
        <v>2813304</v>
      </c>
      <c r="Q76" s="37">
        <f t="shared" si="37"/>
        <v>2791100</v>
      </c>
      <c r="R76" s="37">
        <f t="shared" si="37"/>
        <v>3268896</v>
      </c>
      <c r="S76" s="37">
        <f t="shared" si="37"/>
        <v>3242525.3333333335</v>
      </c>
      <c r="T76" s="37">
        <f t="shared" si="37"/>
        <v>3216154.6666666665</v>
      </c>
      <c r="U76" s="37">
        <f t="shared" si="37"/>
        <v>3189784</v>
      </c>
      <c r="V76" s="37">
        <f t="shared" si="37"/>
        <v>3163413.333333333</v>
      </c>
      <c r="W76" s="37">
        <f t="shared" si="37"/>
        <v>3137042.6666666665</v>
      </c>
      <c r="X76" s="37">
        <f t="shared" si="37"/>
        <v>3110672</v>
      </c>
      <c r="Y76" s="37">
        <f t="shared" si="37"/>
        <v>3934301.333333333</v>
      </c>
      <c r="Z76" s="37">
        <f t="shared" si="37"/>
        <v>3900014</v>
      </c>
      <c r="AA76" s="37">
        <f t="shared" si="37"/>
        <v>3905145.051282051</v>
      </c>
      <c r="AB76" s="2" t="s">
        <v>101</v>
      </c>
    </row>
    <row r="77" spans="1:28" ht="13.5" thickTop="1">
      <c r="A77" s="6">
        <v>22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 t="s">
        <v>101</v>
      </c>
    </row>
    <row r="78" spans="1:28" ht="12.75">
      <c r="A78" s="6">
        <v>23</v>
      </c>
      <c r="E78" s="8"/>
      <c r="AB78" s="2" t="s">
        <v>101</v>
      </c>
    </row>
    <row r="79" spans="1:28" ht="12.75">
      <c r="A79" s="6">
        <v>24</v>
      </c>
      <c r="AB79" s="2" t="s">
        <v>101</v>
      </c>
    </row>
    <row r="80" spans="1:28" ht="12.75">
      <c r="A80" s="6">
        <v>25</v>
      </c>
      <c r="E80" s="8"/>
      <c r="AB80" s="2" t="s">
        <v>101</v>
      </c>
    </row>
    <row r="81" spans="1:28" ht="12.75">
      <c r="A81" s="6">
        <v>26</v>
      </c>
      <c r="AB81" s="2" t="s">
        <v>101</v>
      </c>
    </row>
    <row r="82" spans="1:28" ht="12.75">
      <c r="A82" s="6">
        <v>27</v>
      </c>
      <c r="C82" s="48"/>
      <c r="D82" s="48"/>
      <c r="E82" s="48"/>
      <c r="F82" s="49"/>
      <c r="G82" s="48"/>
      <c r="AB82" s="2" t="s">
        <v>101</v>
      </c>
    </row>
    <row r="83" spans="1:28" ht="12.75">
      <c r="A83" s="6">
        <v>28</v>
      </c>
      <c r="C83" s="50"/>
      <c r="D83" s="48"/>
      <c r="E83" s="123"/>
      <c r="F83" s="51"/>
      <c r="G83" s="48"/>
      <c r="I83" s="7"/>
      <c r="J83" s="7"/>
      <c r="AB83" s="2" t="s">
        <v>101</v>
      </c>
    </row>
    <row r="84" spans="1:28" ht="12.75">
      <c r="A84" s="6">
        <v>29</v>
      </c>
      <c r="C84" s="50"/>
      <c r="D84" s="48"/>
      <c r="E84" s="48"/>
      <c r="F84" s="52"/>
      <c r="G84" s="48"/>
      <c r="I84" s="7"/>
      <c r="J84" s="7"/>
      <c r="AB84" s="2" t="s">
        <v>101</v>
      </c>
    </row>
    <row r="85" spans="1:28" ht="12.75">
      <c r="A85" s="6">
        <v>30</v>
      </c>
      <c r="C85" s="50"/>
      <c r="D85" s="48"/>
      <c r="E85" s="48"/>
      <c r="F85" s="53"/>
      <c r="G85" s="48"/>
      <c r="I85" s="7"/>
      <c r="J85" s="7"/>
      <c r="AB85" s="2" t="s">
        <v>101</v>
      </c>
    </row>
    <row r="86" spans="1:28" ht="12.75">
      <c r="A86" s="6">
        <v>31</v>
      </c>
      <c r="D86" s="7"/>
      <c r="E86" s="7"/>
      <c r="F86" s="7"/>
      <c r="G86" s="7"/>
      <c r="H86" s="7"/>
      <c r="I86" s="7"/>
      <c r="J86" s="7"/>
      <c r="AB86" s="2" t="s">
        <v>101</v>
      </c>
    </row>
    <row r="87" spans="1:28" ht="12.75">
      <c r="A87" s="6">
        <v>32</v>
      </c>
      <c r="AB87" s="2" t="s">
        <v>101</v>
      </c>
    </row>
    <row r="88" spans="1:28" ht="12.75">
      <c r="A88" s="6">
        <v>33</v>
      </c>
      <c r="AB88" s="2" t="s">
        <v>101</v>
      </c>
    </row>
    <row r="89" spans="1:28" ht="12.75">
      <c r="A89" s="6">
        <v>34</v>
      </c>
      <c r="AB89" s="2" t="s">
        <v>101</v>
      </c>
    </row>
    <row r="90" spans="1:28" ht="12.75">
      <c r="A90" s="6">
        <v>35</v>
      </c>
      <c r="AB90" s="2" t="s">
        <v>101</v>
      </c>
    </row>
    <row r="91" spans="1:28" ht="12.75">
      <c r="A91" s="6">
        <v>36</v>
      </c>
      <c r="AB91" s="2" t="s">
        <v>101</v>
      </c>
    </row>
    <row r="92" spans="1:28" ht="12.75">
      <c r="A92" s="6">
        <v>37</v>
      </c>
      <c r="AB92" s="2" t="s">
        <v>101</v>
      </c>
    </row>
    <row r="93" spans="1:28" ht="12.75">
      <c r="A93" s="6">
        <v>38</v>
      </c>
      <c r="AB93" s="2" t="s">
        <v>101</v>
      </c>
    </row>
    <row r="94" spans="1:28" ht="12.75">
      <c r="A94" s="6">
        <v>39</v>
      </c>
      <c r="AB94" s="2" t="s">
        <v>101</v>
      </c>
    </row>
    <row r="95" spans="1:28" ht="12.75">
      <c r="A95" s="6">
        <v>40</v>
      </c>
      <c r="AB95" s="2" t="s">
        <v>101</v>
      </c>
    </row>
    <row r="96" spans="1:28" ht="12.75">
      <c r="A96" s="6">
        <v>41</v>
      </c>
      <c r="AB96" s="2" t="s">
        <v>101</v>
      </c>
    </row>
    <row r="97" spans="1:28" ht="12.75">
      <c r="A97" s="6">
        <v>42</v>
      </c>
      <c r="AB97" s="2" t="s">
        <v>101</v>
      </c>
    </row>
    <row r="98" spans="1:55" ht="12.75">
      <c r="A98" s="1"/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2" t="s">
        <v>101</v>
      </c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28" ht="12.75">
      <c r="A99" s="4" t="s">
        <v>2</v>
      </c>
      <c r="AB99" s="2" t="s">
        <v>101</v>
      </c>
    </row>
    <row r="100" spans="1:28" ht="12.75">
      <c r="A100" s="4" t="s">
        <v>119</v>
      </c>
      <c r="AB100" s="2" t="s">
        <v>101</v>
      </c>
    </row>
    <row r="101" ht="12.75">
      <c r="AB101" s="2" t="s">
        <v>101</v>
      </c>
    </row>
    <row r="102" spans="1:28" ht="12.75">
      <c r="A102" s="109"/>
      <c r="B102" s="109" t="s">
        <v>63</v>
      </c>
      <c r="C102" s="109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2" t="s">
        <v>101</v>
      </c>
    </row>
    <row r="103" spans="1:28" ht="12.75">
      <c r="A103" s="6" t="s">
        <v>15</v>
      </c>
      <c r="B103" s="6" t="s">
        <v>107</v>
      </c>
      <c r="D103" s="6" t="s">
        <v>120</v>
      </c>
      <c r="E103" s="6" t="s">
        <v>120</v>
      </c>
      <c r="F103" s="6" t="s">
        <v>120</v>
      </c>
      <c r="G103" s="6" t="s">
        <v>120</v>
      </c>
      <c r="H103" s="6" t="s">
        <v>120</v>
      </c>
      <c r="I103" s="6" t="s">
        <v>120</v>
      </c>
      <c r="J103" s="6" t="s">
        <v>120</v>
      </c>
      <c r="K103" s="6" t="s">
        <v>120</v>
      </c>
      <c r="L103" s="6" t="s">
        <v>120</v>
      </c>
      <c r="M103" s="6" t="s">
        <v>120</v>
      </c>
      <c r="N103" s="6" t="s">
        <v>120</v>
      </c>
      <c r="O103" s="6" t="s">
        <v>120</v>
      </c>
      <c r="P103" s="6" t="s">
        <v>120</v>
      </c>
      <c r="Q103" s="6" t="s">
        <v>120</v>
      </c>
      <c r="R103" s="6" t="s">
        <v>120</v>
      </c>
      <c r="S103" s="6" t="s">
        <v>120</v>
      </c>
      <c r="T103" s="6" t="s">
        <v>120</v>
      </c>
      <c r="U103" s="6" t="s">
        <v>120</v>
      </c>
      <c r="V103" s="6" t="s">
        <v>120</v>
      </c>
      <c r="W103" s="6" t="s">
        <v>120</v>
      </c>
      <c r="X103" s="6" t="s">
        <v>120</v>
      </c>
      <c r="Y103" s="6" t="s">
        <v>120</v>
      </c>
      <c r="Z103" s="6" t="s">
        <v>120</v>
      </c>
      <c r="AA103" s="6" t="s">
        <v>121</v>
      </c>
      <c r="AB103" s="2" t="s">
        <v>101</v>
      </c>
    </row>
    <row r="104" spans="1:28" ht="12.75">
      <c r="A104" s="110" t="s">
        <v>21</v>
      </c>
      <c r="B104" s="110" t="s">
        <v>54</v>
      </c>
      <c r="C104" s="110"/>
      <c r="D104" s="113">
        <f>$D$6</f>
        <v>39113</v>
      </c>
      <c r="E104" s="113">
        <f>$E$6</f>
        <v>39141</v>
      </c>
      <c r="F104" s="113">
        <f>$F$6</f>
        <v>39172</v>
      </c>
      <c r="G104" s="113">
        <f>$G$6</f>
        <v>39202</v>
      </c>
      <c r="H104" s="113">
        <f>$H$6</f>
        <v>39233</v>
      </c>
      <c r="I104" s="113">
        <f>$I$6</f>
        <v>39263</v>
      </c>
      <c r="J104" s="113">
        <f>$J$6</f>
        <v>39294</v>
      </c>
      <c r="K104" s="113">
        <f>$K$6</f>
        <v>39325</v>
      </c>
      <c r="L104" s="113">
        <f>$L$6</f>
        <v>39355</v>
      </c>
      <c r="M104" s="113">
        <f>$M$6</f>
        <v>39386</v>
      </c>
      <c r="N104" s="113">
        <f>$N$6</f>
        <v>39416</v>
      </c>
      <c r="O104" s="113">
        <f>$O$6</f>
        <v>39447</v>
      </c>
      <c r="P104" s="113">
        <f>$P$6</f>
        <v>39478</v>
      </c>
      <c r="Q104" s="113">
        <f>$Q$6</f>
        <v>39506</v>
      </c>
      <c r="R104" s="113">
        <f>$R$6</f>
        <v>39537</v>
      </c>
      <c r="S104" s="113">
        <f>$S$6</f>
        <v>39567</v>
      </c>
      <c r="T104" s="113">
        <f>$T$6</f>
        <v>39598</v>
      </c>
      <c r="U104" s="113">
        <f>$U$6</f>
        <v>39628</v>
      </c>
      <c r="V104" s="113">
        <f>$V$6</f>
        <v>39659</v>
      </c>
      <c r="W104" s="113">
        <f>$W$6</f>
        <v>39690</v>
      </c>
      <c r="X104" s="113">
        <f>$X$6</f>
        <v>39720</v>
      </c>
      <c r="Y104" s="113">
        <f>$Y$6</f>
        <v>39751</v>
      </c>
      <c r="Z104" s="113">
        <f>$Z$6</f>
        <v>39781</v>
      </c>
      <c r="AA104" s="111" t="s">
        <v>99</v>
      </c>
      <c r="AB104" s="2" t="s">
        <v>101</v>
      </c>
    </row>
    <row r="105" spans="1:28" ht="12.75">
      <c r="A105" s="6">
        <v>1</v>
      </c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2" t="s">
        <v>101</v>
      </c>
    </row>
    <row r="106" spans="1:28" ht="12.75">
      <c r="A106" s="6">
        <v>2</v>
      </c>
      <c r="AB106" s="2" t="s">
        <v>101</v>
      </c>
    </row>
    <row r="107" spans="1:28" ht="12.75">
      <c r="A107" s="6">
        <v>3</v>
      </c>
      <c r="B107" s="32" t="s">
        <v>114</v>
      </c>
      <c r="AB107" s="2" t="s">
        <v>101</v>
      </c>
    </row>
    <row r="108" spans="1:28" ht="12.75">
      <c r="A108" s="6">
        <v>4</v>
      </c>
      <c r="B108" s="23"/>
      <c r="D108" s="2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25"/>
      <c r="Y108" s="8"/>
      <c r="Z108" s="8"/>
      <c r="AA108" s="8"/>
      <c r="AB108" s="2"/>
    </row>
    <row r="109" spans="1:28" ht="12.75">
      <c r="A109" s="6">
        <v>5</v>
      </c>
      <c r="B109" s="3" t="str">
        <f aca="true" t="shared" si="38" ref="B109:B124">B11</f>
        <v>Series 6.87%</v>
      </c>
      <c r="D109" s="25">
        <v>5208</v>
      </c>
      <c r="E109" s="12">
        <f aca="true" t="shared" si="39" ref="E109:E118">D109</f>
        <v>5208</v>
      </c>
      <c r="F109" s="12">
        <f>E109</f>
        <v>5208</v>
      </c>
      <c r="G109" s="12">
        <f aca="true" t="shared" si="40" ref="G109:Z109">F109</f>
        <v>5208</v>
      </c>
      <c r="H109" s="12">
        <f t="shared" si="40"/>
        <v>5208</v>
      </c>
      <c r="I109" s="12">
        <f t="shared" si="40"/>
        <v>5208</v>
      </c>
      <c r="J109" s="12">
        <f t="shared" si="40"/>
        <v>5208</v>
      </c>
      <c r="K109" s="12">
        <f t="shared" si="40"/>
        <v>5208</v>
      </c>
      <c r="L109" s="12">
        <f t="shared" si="40"/>
        <v>5208</v>
      </c>
      <c r="M109" s="12">
        <f t="shared" si="40"/>
        <v>5208</v>
      </c>
      <c r="N109" s="12">
        <f t="shared" si="40"/>
        <v>5208</v>
      </c>
      <c r="O109" s="12">
        <f t="shared" si="40"/>
        <v>5208</v>
      </c>
      <c r="P109" s="12">
        <f t="shared" si="40"/>
        <v>5208</v>
      </c>
      <c r="Q109" s="12">
        <f t="shared" si="40"/>
        <v>5208</v>
      </c>
      <c r="R109" s="12">
        <f t="shared" si="40"/>
        <v>5208</v>
      </c>
      <c r="S109" s="12">
        <f t="shared" si="40"/>
        <v>5208</v>
      </c>
      <c r="T109" s="12">
        <f t="shared" si="40"/>
        <v>5208</v>
      </c>
      <c r="U109" s="12">
        <f t="shared" si="40"/>
        <v>5208</v>
      </c>
      <c r="V109" s="12">
        <f t="shared" si="40"/>
        <v>5208</v>
      </c>
      <c r="W109" s="12">
        <f t="shared" si="40"/>
        <v>5208</v>
      </c>
      <c r="X109" s="12">
        <f t="shared" si="40"/>
        <v>5208</v>
      </c>
      <c r="Y109" s="12">
        <f t="shared" si="40"/>
        <v>5208</v>
      </c>
      <c r="Z109" s="12">
        <f t="shared" si="40"/>
        <v>5208</v>
      </c>
      <c r="AA109" s="12">
        <f aca="true" t="shared" si="41" ref="AA109:AA116">SUM(O109:Z109)</f>
        <v>62496</v>
      </c>
      <c r="AB109" s="2" t="s">
        <v>101</v>
      </c>
    </row>
    <row r="110" spans="1:28" ht="12.75">
      <c r="A110" s="6">
        <v>6</v>
      </c>
      <c r="B110" s="3" t="str">
        <f t="shared" si="38"/>
        <v>    Series 6.96%</v>
      </c>
      <c r="D110" s="25">
        <v>194</v>
      </c>
      <c r="E110" s="12">
        <f t="shared" si="39"/>
        <v>194</v>
      </c>
      <c r="F110" s="12">
        <f aca="true" t="shared" si="42" ref="F110:Z110">E110</f>
        <v>194</v>
      </c>
      <c r="G110" s="12">
        <f t="shared" si="42"/>
        <v>194</v>
      </c>
      <c r="H110" s="12">
        <f t="shared" si="42"/>
        <v>194</v>
      </c>
      <c r="I110" s="12">
        <f t="shared" si="42"/>
        <v>194</v>
      </c>
      <c r="J110" s="12">
        <f t="shared" si="42"/>
        <v>194</v>
      </c>
      <c r="K110" s="12">
        <f t="shared" si="42"/>
        <v>194</v>
      </c>
      <c r="L110" s="12">
        <f t="shared" si="42"/>
        <v>194</v>
      </c>
      <c r="M110" s="12">
        <f>L110</f>
        <v>194</v>
      </c>
      <c r="N110" s="12">
        <f>M110</f>
        <v>194</v>
      </c>
      <c r="O110" s="12">
        <f t="shared" si="42"/>
        <v>194</v>
      </c>
      <c r="P110" s="12">
        <f t="shared" si="42"/>
        <v>194</v>
      </c>
      <c r="Q110" s="12">
        <f t="shared" si="42"/>
        <v>194</v>
      </c>
      <c r="R110" s="12">
        <f t="shared" si="42"/>
        <v>194</v>
      </c>
      <c r="S110" s="12">
        <f t="shared" si="42"/>
        <v>194</v>
      </c>
      <c r="T110" s="12">
        <f t="shared" si="42"/>
        <v>194</v>
      </c>
      <c r="U110" s="12">
        <f t="shared" si="42"/>
        <v>194</v>
      </c>
      <c r="V110" s="12">
        <f t="shared" si="42"/>
        <v>194</v>
      </c>
      <c r="W110" s="12">
        <f t="shared" si="42"/>
        <v>194</v>
      </c>
      <c r="X110" s="12">
        <f t="shared" si="42"/>
        <v>194</v>
      </c>
      <c r="Y110" s="12">
        <f t="shared" si="42"/>
        <v>194</v>
      </c>
      <c r="Z110" s="12">
        <f t="shared" si="42"/>
        <v>194</v>
      </c>
      <c r="AA110" s="12">
        <f t="shared" si="41"/>
        <v>2328</v>
      </c>
      <c r="AB110" s="2" t="s">
        <v>101</v>
      </c>
    </row>
    <row r="111" spans="1:28" ht="12.75">
      <c r="A111" s="6">
        <v>7</v>
      </c>
      <c r="B111" s="3" t="str">
        <f t="shared" si="38"/>
        <v>    Series 7.15%</v>
      </c>
      <c r="D111" s="25">
        <v>202</v>
      </c>
      <c r="E111" s="12">
        <f t="shared" si="39"/>
        <v>202</v>
      </c>
      <c r="F111" s="12">
        <f aca="true" t="shared" si="43" ref="F111:Y111">E111</f>
        <v>202</v>
      </c>
      <c r="G111" s="12">
        <f t="shared" si="43"/>
        <v>202</v>
      </c>
      <c r="H111" s="12">
        <f t="shared" si="43"/>
        <v>202</v>
      </c>
      <c r="I111" s="12">
        <f t="shared" si="43"/>
        <v>202</v>
      </c>
      <c r="J111" s="12">
        <f t="shared" si="43"/>
        <v>202</v>
      </c>
      <c r="K111" s="12">
        <f t="shared" si="43"/>
        <v>202</v>
      </c>
      <c r="L111" s="12">
        <f t="shared" si="43"/>
        <v>202</v>
      </c>
      <c r="M111" s="12">
        <f t="shared" si="43"/>
        <v>202</v>
      </c>
      <c r="N111" s="12">
        <f t="shared" si="43"/>
        <v>202</v>
      </c>
      <c r="O111" s="12">
        <f t="shared" si="43"/>
        <v>202</v>
      </c>
      <c r="P111" s="12">
        <f t="shared" si="43"/>
        <v>202</v>
      </c>
      <c r="Q111" s="12">
        <f t="shared" si="43"/>
        <v>202</v>
      </c>
      <c r="R111" s="12">
        <f t="shared" si="43"/>
        <v>202</v>
      </c>
      <c r="S111" s="12">
        <f t="shared" si="43"/>
        <v>202</v>
      </c>
      <c r="T111" s="12">
        <f t="shared" si="43"/>
        <v>202</v>
      </c>
      <c r="U111" s="12">
        <f t="shared" si="43"/>
        <v>202</v>
      </c>
      <c r="V111" s="12">
        <f t="shared" si="43"/>
        <v>202</v>
      </c>
      <c r="W111" s="12">
        <f t="shared" si="43"/>
        <v>202</v>
      </c>
      <c r="X111" s="12">
        <f t="shared" si="43"/>
        <v>202</v>
      </c>
      <c r="Y111" s="12">
        <f t="shared" si="43"/>
        <v>202</v>
      </c>
      <c r="Z111" s="12">
        <f>Y111</f>
        <v>202</v>
      </c>
      <c r="AA111" s="12">
        <f t="shared" si="41"/>
        <v>2424</v>
      </c>
      <c r="AB111" s="2" t="s">
        <v>101</v>
      </c>
    </row>
    <row r="112" spans="1:28" ht="12.75">
      <c r="A112" s="6">
        <v>8</v>
      </c>
      <c r="B112" s="3" t="str">
        <f t="shared" si="38"/>
        <v>    Series 6.99%</v>
      </c>
      <c r="D112" s="25">
        <v>272</v>
      </c>
      <c r="E112" s="12">
        <f t="shared" si="39"/>
        <v>272</v>
      </c>
      <c r="F112" s="12">
        <f aca="true" t="shared" si="44" ref="F112:Z112">E112</f>
        <v>272</v>
      </c>
      <c r="G112" s="12">
        <f t="shared" si="44"/>
        <v>272</v>
      </c>
      <c r="H112" s="12">
        <f t="shared" si="44"/>
        <v>272</v>
      </c>
      <c r="I112" s="12">
        <f t="shared" si="44"/>
        <v>272</v>
      </c>
      <c r="J112" s="12">
        <f t="shared" si="44"/>
        <v>272</v>
      </c>
      <c r="K112" s="12">
        <f t="shared" si="44"/>
        <v>272</v>
      </c>
      <c r="L112" s="12">
        <f t="shared" si="44"/>
        <v>272</v>
      </c>
      <c r="M112" s="12">
        <f t="shared" si="44"/>
        <v>272</v>
      </c>
      <c r="N112" s="12">
        <f t="shared" si="44"/>
        <v>272</v>
      </c>
      <c r="O112" s="12">
        <f t="shared" si="44"/>
        <v>272</v>
      </c>
      <c r="P112" s="12">
        <f t="shared" si="44"/>
        <v>272</v>
      </c>
      <c r="Q112" s="12">
        <f t="shared" si="44"/>
        <v>272</v>
      </c>
      <c r="R112" s="12">
        <f t="shared" si="44"/>
        <v>272</v>
      </c>
      <c r="S112" s="12">
        <f t="shared" si="44"/>
        <v>272</v>
      </c>
      <c r="T112" s="12">
        <f t="shared" si="44"/>
        <v>272</v>
      </c>
      <c r="U112" s="12">
        <f t="shared" si="44"/>
        <v>272</v>
      </c>
      <c r="V112" s="12">
        <f t="shared" si="44"/>
        <v>272</v>
      </c>
      <c r="W112" s="12">
        <f t="shared" si="44"/>
        <v>272</v>
      </c>
      <c r="X112" s="12">
        <f t="shared" si="44"/>
        <v>272</v>
      </c>
      <c r="Y112" s="12">
        <f t="shared" si="44"/>
        <v>272</v>
      </c>
      <c r="Z112" s="12">
        <f t="shared" si="44"/>
        <v>272</v>
      </c>
      <c r="AA112" s="12">
        <f t="shared" si="41"/>
        <v>3264</v>
      </c>
      <c r="AB112" s="2" t="s">
        <v>101</v>
      </c>
    </row>
    <row r="113" spans="1:28" ht="12.75">
      <c r="A113" s="6">
        <v>9</v>
      </c>
      <c r="B113" s="3" t="str">
        <f t="shared" si="38"/>
        <v>    Series 5.65%</v>
      </c>
      <c r="D113" s="25">
        <v>54</v>
      </c>
      <c r="E113" s="12">
        <f t="shared" si="39"/>
        <v>54</v>
      </c>
      <c r="F113" s="12">
        <f aca="true" t="shared" si="45" ref="F113:Z113">E113</f>
        <v>54</v>
      </c>
      <c r="G113" s="12">
        <f t="shared" si="45"/>
        <v>54</v>
      </c>
      <c r="H113" s="12">
        <f>G113</f>
        <v>54</v>
      </c>
      <c r="I113" s="12">
        <f>H113-54</f>
        <v>0</v>
      </c>
      <c r="J113" s="12">
        <f>I113</f>
        <v>0</v>
      </c>
      <c r="K113" s="12">
        <f t="shared" si="45"/>
        <v>0</v>
      </c>
      <c r="L113" s="12">
        <f t="shared" si="45"/>
        <v>0</v>
      </c>
      <c r="M113" s="12">
        <f t="shared" si="45"/>
        <v>0</v>
      </c>
      <c r="N113" s="12">
        <f t="shared" si="45"/>
        <v>0</v>
      </c>
      <c r="O113" s="12">
        <f t="shared" si="45"/>
        <v>0</v>
      </c>
      <c r="P113" s="12">
        <f t="shared" si="45"/>
        <v>0</v>
      </c>
      <c r="Q113" s="12">
        <f t="shared" si="45"/>
        <v>0</v>
      </c>
      <c r="R113" s="12">
        <f t="shared" si="45"/>
        <v>0</v>
      </c>
      <c r="S113" s="12">
        <f t="shared" si="45"/>
        <v>0</v>
      </c>
      <c r="T113" s="12">
        <f t="shared" si="45"/>
        <v>0</v>
      </c>
      <c r="U113" s="12">
        <f t="shared" si="45"/>
        <v>0</v>
      </c>
      <c r="V113" s="12">
        <f t="shared" si="45"/>
        <v>0</v>
      </c>
      <c r="W113" s="12">
        <f t="shared" si="45"/>
        <v>0</v>
      </c>
      <c r="X113" s="12">
        <f t="shared" si="45"/>
        <v>0</v>
      </c>
      <c r="Y113" s="12">
        <f t="shared" si="45"/>
        <v>0</v>
      </c>
      <c r="Z113" s="12">
        <f t="shared" si="45"/>
        <v>0</v>
      </c>
      <c r="AA113" s="12">
        <f t="shared" si="41"/>
        <v>0</v>
      </c>
      <c r="AB113" s="2" t="s">
        <v>101</v>
      </c>
    </row>
    <row r="114" spans="1:28" ht="12.75">
      <c r="A114" s="6">
        <v>10</v>
      </c>
      <c r="B114" s="3" t="str">
        <f t="shared" si="38"/>
        <v>    Series 4.75%</v>
      </c>
      <c r="D114" s="25"/>
      <c r="E114" s="12">
        <f t="shared" si="39"/>
        <v>0</v>
      </c>
      <c r="F114" s="12">
        <f aca="true" t="shared" si="46" ref="F114:Z114">E114</f>
        <v>0</v>
      </c>
      <c r="G114" s="12">
        <f t="shared" si="46"/>
        <v>0</v>
      </c>
      <c r="H114" s="12">
        <f t="shared" si="46"/>
        <v>0</v>
      </c>
      <c r="I114" s="12">
        <f t="shared" si="46"/>
        <v>0</v>
      </c>
      <c r="J114" s="12">
        <f t="shared" si="46"/>
        <v>0</v>
      </c>
      <c r="K114" s="12">
        <f t="shared" si="46"/>
        <v>0</v>
      </c>
      <c r="L114" s="12">
        <f t="shared" si="46"/>
        <v>0</v>
      </c>
      <c r="M114" s="12">
        <f t="shared" si="46"/>
        <v>0</v>
      </c>
      <c r="N114" s="12">
        <f t="shared" si="46"/>
        <v>0</v>
      </c>
      <c r="O114" s="12">
        <f t="shared" si="46"/>
        <v>0</v>
      </c>
      <c r="P114" s="12">
        <f t="shared" si="46"/>
        <v>0</v>
      </c>
      <c r="Q114" s="12">
        <f t="shared" si="46"/>
        <v>0</v>
      </c>
      <c r="R114" s="12">
        <f t="shared" si="46"/>
        <v>0</v>
      </c>
      <c r="S114" s="12">
        <f t="shared" si="46"/>
        <v>0</v>
      </c>
      <c r="T114" s="12">
        <f t="shared" si="46"/>
        <v>0</v>
      </c>
      <c r="U114" s="12">
        <f t="shared" si="46"/>
        <v>0</v>
      </c>
      <c r="V114" s="12">
        <f t="shared" si="46"/>
        <v>0</v>
      </c>
      <c r="W114" s="12">
        <f t="shared" si="46"/>
        <v>0</v>
      </c>
      <c r="X114" s="12">
        <f t="shared" si="46"/>
        <v>0</v>
      </c>
      <c r="Y114" s="12">
        <f t="shared" si="46"/>
        <v>0</v>
      </c>
      <c r="Z114" s="12">
        <f t="shared" si="46"/>
        <v>0</v>
      </c>
      <c r="AA114" s="12">
        <f t="shared" si="41"/>
        <v>0</v>
      </c>
      <c r="AB114" s="2" t="s">
        <v>101</v>
      </c>
    </row>
    <row r="115" spans="1:28" ht="12.75">
      <c r="A115" s="6">
        <v>11</v>
      </c>
      <c r="B115" s="3" t="str">
        <f t="shared" si="38"/>
        <v>    Proposed 5.81%</v>
      </c>
      <c r="D115" s="25"/>
      <c r="E115" s="12">
        <f t="shared" si="39"/>
        <v>0</v>
      </c>
      <c r="F115" s="12">
        <f aca="true" t="shared" si="47" ref="F115:Z115">E115</f>
        <v>0</v>
      </c>
      <c r="G115" s="12">
        <f t="shared" si="47"/>
        <v>0</v>
      </c>
      <c r="H115" s="12">
        <f t="shared" si="47"/>
        <v>0</v>
      </c>
      <c r="I115" s="12">
        <f t="shared" si="47"/>
        <v>0</v>
      </c>
      <c r="J115" s="12">
        <f t="shared" si="47"/>
        <v>0</v>
      </c>
      <c r="K115" s="12">
        <f t="shared" si="47"/>
        <v>0</v>
      </c>
      <c r="L115" s="12">
        <f t="shared" si="47"/>
        <v>0</v>
      </c>
      <c r="M115" s="124">
        <f>39000000*0.05/120</f>
        <v>16250</v>
      </c>
      <c r="N115" s="12">
        <f t="shared" si="47"/>
        <v>16250</v>
      </c>
      <c r="O115" s="12">
        <f t="shared" si="47"/>
        <v>16250</v>
      </c>
      <c r="P115" s="12">
        <f t="shared" si="47"/>
        <v>16250</v>
      </c>
      <c r="Q115" s="12">
        <f t="shared" si="47"/>
        <v>16250</v>
      </c>
      <c r="R115" s="12">
        <f t="shared" si="47"/>
        <v>16250</v>
      </c>
      <c r="S115" s="12">
        <f t="shared" si="47"/>
        <v>16250</v>
      </c>
      <c r="T115" s="12">
        <f t="shared" si="47"/>
        <v>16250</v>
      </c>
      <c r="U115" s="12">
        <f t="shared" si="47"/>
        <v>16250</v>
      </c>
      <c r="V115" s="12">
        <f t="shared" si="47"/>
        <v>16250</v>
      </c>
      <c r="W115" s="12">
        <f t="shared" si="47"/>
        <v>16250</v>
      </c>
      <c r="X115" s="12">
        <f t="shared" si="47"/>
        <v>16250</v>
      </c>
      <c r="Y115" s="12">
        <f t="shared" si="47"/>
        <v>16250</v>
      </c>
      <c r="Z115" s="12">
        <f t="shared" si="47"/>
        <v>16250</v>
      </c>
      <c r="AA115" s="12">
        <f t="shared" si="41"/>
        <v>195000</v>
      </c>
      <c r="AB115" s="2" t="s">
        <v>101</v>
      </c>
    </row>
    <row r="116" spans="1:28" ht="12.75">
      <c r="A116" s="6">
        <v>12</v>
      </c>
      <c r="B116" s="3" t="str">
        <f t="shared" si="38"/>
        <v>    Proposed 5.81%</v>
      </c>
      <c r="D116" s="25"/>
      <c r="E116" s="12">
        <f t="shared" si="39"/>
        <v>0</v>
      </c>
      <c r="F116" s="12">
        <f>E116</f>
        <v>0</v>
      </c>
      <c r="G116" s="12">
        <f>F116</f>
        <v>0</v>
      </c>
      <c r="H116" s="12">
        <f aca="true" t="shared" si="48" ref="H116:Z118">G116</f>
        <v>0</v>
      </c>
      <c r="I116" s="12">
        <f t="shared" si="48"/>
        <v>0</v>
      </c>
      <c r="J116" s="12">
        <f t="shared" si="48"/>
        <v>0</v>
      </c>
      <c r="K116" s="12">
        <f t="shared" si="48"/>
        <v>0</v>
      </c>
      <c r="L116" s="12">
        <f t="shared" si="48"/>
        <v>0</v>
      </c>
      <c r="M116" s="12">
        <f t="shared" si="48"/>
        <v>0</v>
      </c>
      <c r="N116" s="12">
        <f t="shared" si="48"/>
        <v>0</v>
      </c>
      <c r="O116" s="12">
        <f t="shared" si="48"/>
        <v>0</v>
      </c>
      <c r="P116" s="12">
        <f t="shared" si="48"/>
        <v>0</v>
      </c>
      <c r="Q116" s="12">
        <f t="shared" si="48"/>
        <v>0</v>
      </c>
      <c r="R116" s="124">
        <f>10000000*0.05/120</f>
        <v>4166.666666666667</v>
      </c>
      <c r="S116" s="12">
        <f t="shared" si="48"/>
        <v>4166.666666666667</v>
      </c>
      <c r="T116" s="12">
        <f t="shared" si="48"/>
        <v>4166.666666666667</v>
      </c>
      <c r="U116" s="12">
        <f t="shared" si="48"/>
        <v>4166.666666666667</v>
      </c>
      <c r="V116" s="12">
        <f t="shared" si="48"/>
        <v>4166.666666666667</v>
      </c>
      <c r="W116" s="12">
        <f t="shared" si="48"/>
        <v>4166.666666666667</v>
      </c>
      <c r="X116" s="12">
        <f t="shared" si="48"/>
        <v>4166.666666666667</v>
      </c>
      <c r="Y116" s="12">
        <f t="shared" si="48"/>
        <v>4166.666666666667</v>
      </c>
      <c r="Z116" s="12">
        <f t="shared" si="48"/>
        <v>4166.666666666667</v>
      </c>
      <c r="AA116" s="12">
        <f t="shared" si="41"/>
        <v>37500</v>
      </c>
      <c r="AB116" s="2" t="s">
        <v>101</v>
      </c>
    </row>
    <row r="117" spans="1:28" ht="12.75">
      <c r="A117" s="6">
        <v>13</v>
      </c>
      <c r="B117" s="3" t="str">
        <f t="shared" si="38"/>
        <v>    Proposed 5.81%</v>
      </c>
      <c r="S117" s="12">
        <f t="shared" si="48"/>
        <v>0</v>
      </c>
      <c r="T117" s="12">
        <f t="shared" si="48"/>
        <v>0</v>
      </c>
      <c r="U117" s="12">
        <f t="shared" si="48"/>
        <v>0</v>
      </c>
      <c r="V117" s="12">
        <f t="shared" si="48"/>
        <v>0</v>
      </c>
      <c r="W117" s="12">
        <f t="shared" si="48"/>
        <v>0</v>
      </c>
      <c r="X117" s="12">
        <f t="shared" si="48"/>
        <v>0</v>
      </c>
      <c r="Y117" s="124">
        <f>19000000*0.05/120</f>
        <v>7916.666666666667</v>
      </c>
      <c r="Z117" s="12">
        <f t="shared" si="48"/>
        <v>7916.666666666667</v>
      </c>
      <c r="AA117" s="12">
        <f>SUM(O117:Z117)</f>
        <v>15833.333333333334</v>
      </c>
      <c r="AB117" s="2" t="s">
        <v>101</v>
      </c>
    </row>
    <row r="118" spans="1:28" ht="12.75">
      <c r="A118" s="6">
        <v>14</v>
      </c>
      <c r="B118" s="3" t="str">
        <f>+B69</f>
        <v>    Series 8.5% w/o over life of 6.96% issue</v>
      </c>
      <c r="D118" s="117">
        <v>78</v>
      </c>
      <c r="E118" s="12">
        <f t="shared" si="39"/>
        <v>78</v>
      </c>
      <c r="F118" s="12">
        <f>E118</f>
        <v>78</v>
      </c>
      <c r="G118" s="12">
        <f>F118</f>
        <v>78</v>
      </c>
      <c r="H118" s="12">
        <f t="shared" si="48"/>
        <v>78</v>
      </c>
      <c r="I118" s="12">
        <f t="shared" si="48"/>
        <v>78</v>
      </c>
      <c r="J118" s="12">
        <f t="shared" si="48"/>
        <v>78</v>
      </c>
      <c r="K118" s="12">
        <f t="shared" si="48"/>
        <v>78</v>
      </c>
      <c r="L118" s="12">
        <f t="shared" si="48"/>
        <v>78</v>
      </c>
      <c r="M118" s="12">
        <f t="shared" si="48"/>
        <v>78</v>
      </c>
      <c r="N118" s="12">
        <f t="shared" si="48"/>
        <v>78</v>
      </c>
      <c r="O118" s="12">
        <f t="shared" si="48"/>
        <v>78</v>
      </c>
      <c r="P118" s="12">
        <f t="shared" si="48"/>
        <v>78</v>
      </c>
      <c r="Q118" s="12">
        <f t="shared" si="48"/>
        <v>78</v>
      </c>
      <c r="R118" s="12">
        <f t="shared" si="48"/>
        <v>78</v>
      </c>
      <c r="S118" s="12">
        <f t="shared" si="48"/>
        <v>78</v>
      </c>
      <c r="T118" s="12">
        <f t="shared" si="48"/>
        <v>78</v>
      </c>
      <c r="U118" s="12">
        <f t="shared" si="48"/>
        <v>78</v>
      </c>
      <c r="V118" s="12">
        <f t="shared" si="48"/>
        <v>78</v>
      </c>
      <c r="W118" s="12">
        <f t="shared" si="48"/>
        <v>78</v>
      </c>
      <c r="X118" s="12">
        <f t="shared" si="48"/>
        <v>78</v>
      </c>
      <c r="Y118" s="12">
        <f t="shared" si="48"/>
        <v>78</v>
      </c>
      <c r="Z118" s="12">
        <f t="shared" si="48"/>
        <v>78</v>
      </c>
      <c r="AA118" s="12">
        <f>SUM(O118:Z118)</f>
        <v>936</v>
      </c>
      <c r="AB118" s="2" t="s">
        <v>101</v>
      </c>
    </row>
    <row r="119" spans="1:28" ht="12.75">
      <c r="A119" s="6">
        <v>15</v>
      </c>
      <c r="B119" s="3">
        <f t="shared" si="38"/>
        <v>0</v>
      </c>
      <c r="AB119" s="2" t="s">
        <v>101</v>
      </c>
    </row>
    <row r="120" spans="1:28" ht="12.75">
      <c r="A120" s="6">
        <v>16</v>
      </c>
      <c r="B120" s="3">
        <f t="shared" si="38"/>
        <v>0</v>
      </c>
      <c r="P120" s="5"/>
      <c r="R120" s="5"/>
      <c r="AA120" s="5"/>
      <c r="AB120" s="2" t="s">
        <v>101</v>
      </c>
    </row>
    <row r="121" spans="1:28" ht="12.75">
      <c r="A121" s="6">
        <v>17</v>
      </c>
      <c r="B121" s="3">
        <f t="shared" si="38"/>
        <v>0</v>
      </c>
      <c r="AB121" s="2" t="s">
        <v>101</v>
      </c>
    </row>
    <row r="122" spans="1:28" ht="12.75">
      <c r="A122" s="6">
        <v>18</v>
      </c>
      <c r="B122" s="3">
        <f t="shared" si="38"/>
        <v>0</v>
      </c>
      <c r="AB122" s="2" t="s">
        <v>101</v>
      </c>
    </row>
    <row r="123" spans="1:28" ht="12.75">
      <c r="A123" s="6">
        <v>19</v>
      </c>
      <c r="B123" s="3">
        <f t="shared" si="38"/>
        <v>0</v>
      </c>
      <c r="AB123" s="2" t="s">
        <v>101</v>
      </c>
    </row>
    <row r="124" spans="1:28" ht="12.75">
      <c r="A124" s="6">
        <v>20</v>
      </c>
      <c r="B124" s="3">
        <f t="shared" si="38"/>
        <v>0</v>
      </c>
      <c r="AB124" s="2" t="s">
        <v>101</v>
      </c>
    </row>
    <row r="125" spans="1:28" ht="12.75">
      <c r="A125" s="6">
        <v>21</v>
      </c>
      <c r="AB125" s="2" t="s">
        <v>101</v>
      </c>
    </row>
    <row r="126" spans="1:28" ht="12.75">
      <c r="A126" s="6">
        <v>22</v>
      </c>
      <c r="AB126" s="2" t="s">
        <v>101</v>
      </c>
    </row>
    <row r="127" spans="1:28" ht="12.75">
      <c r="A127" s="6">
        <v>23</v>
      </c>
      <c r="AB127" s="2" t="s">
        <v>101</v>
      </c>
    </row>
    <row r="128" spans="1:28" ht="12.75">
      <c r="A128" s="6">
        <v>24</v>
      </c>
      <c r="B128" s="3">
        <f>B28</f>
        <v>0</v>
      </c>
      <c r="AB128" s="2" t="s">
        <v>101</v>
      </c>
    </row>
    <row r="129" spans="1:28" ht="12.75">
      <c r="A129" s="6">
        <v>25</v>
      </c>
      <c r="AB129" s="2" t="s">
        <v>101</v>
      </c>
    </row>
    <row r="130" spans="1:28" ht="12.75">
      <c r="A130" s="6">
        <v>26</v>
      </c>
      <c r="AB130" s="2" t="s">
        <v>101</v>
      </c>
    </row>
    <row r="131" spans="1:28" ht="13.5" thickBot="1">
      <c r="A131" s="6">
        <v>27</v>
      </c>
      <c r="B131" s="28" t="s">
        <v>116</v>
      </c>
      <c r="D131" s="37">
        <f aca="true" t="shared" si="49" ref="D131:AA131">SUM(D107:D130)</f>
        <v>6008</v>
      </c>
      <c r="E131" s="37">
        <f t="shared" si="49"/>
        <v>6008</v>
      </c>
      <c r="F131" s="37">
        <f t="shared" si="49"/>
        <v>6008</v>
      </c>
      <c r="G131" s="37">
        <f t="shared" si="49"/>
        <v>6008</v>
      </c>
      <c r="H131" s="37">
        <f t="shared" si="49"/>
        <v>6008</v>
      </c>
      <c r="I131" s="37">
        <f t="shared" si="49"/>
        <v>5954</v>
      </c>
      <c r="J131" s="37">
        <f t="shared" si="49"/>
        <v>5954</v>
      </c>
      <c r="K131" s="37">
        <f t="shared" si="49"/>
        <v>5954</v>
      </c>
      <c r="L131" s="37">
        <f t="shared" si="49"/>
        <v>5954</v>
      </c>
      <c r="M131" s="37">
        <f t="shared" si="49"/>
        <v>22204</v>
      </c>
      <c r="N131" s="37">
        <f t="shared" si="49"/>
        <v>22204</v>
      </c>
      <c r="O131" s="37">
        <f t="shared" si="49"/>
        <v>22204</v>
      </c>
      <c r="P131" s="37">
        <f t="shared" si="49"/>
        <v>22204</v>
      </c>
      <c r="Q131" s="37">
        <f t="shared" si="49"/>
        <v>22204</v>
      </c>
      <c r="R131" s="37">
        <f t="shared" si="49"/>
        <v>26370.666666666668</v>
      </c>
      <c r="S131" s="37">
        <f t="shared" si="49"/>
        <v>26370.666666666668</v>
      </c>
      <c r="T131" s="37">
        <f t="shared" si="49"/>
        <v>26370.666666666668</v>
      </c>
      <c r="U131" s="37">
        <f t="shared" si="49"/>
        <v>26370.666666666668</v>
      </c>
      <c r="V131" s="37">
        <f t="shared" si="49"/>
        <v>26370.666666666668</v>
      </c>
      <c r="W131" s="37">
        <f t="shared" si="49"/>
        <v>26370.666666666668</v>
      </c>
      <c r="X131" s="37">
        <f t="shared" si="49"/>
        <v>26370.666666666668</v>
      </c>
      <c r="Y131" s="37">
        <f t="shared" si="49"/>
        <v>34287.333333333336</v>
      </c>
      <c r="Z131" s="37">
        <f t="shared" si="49"/>
        <v>34287.333333333336</v>
      </c>
      <c r="AA131" s="37">
        <f t="shared" si="49"/>
        <v>319781.3333333333</v>
      </c>
      <c r="AB131" s="2" t="s">
        <v>101</v>
      </c>
    </row>
    <row r="132" spans="1:28" ht="13.5" thickTop="1">
      <c r="A132" s="6">
        <v>28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" t="s">
        <v>101</v>
      </c>
    </row>
    <row r="133" spans="1:28" ht="12.75">
      <c r="A133" s="6">
        <v>29</v>
      </c>
      <c r="AB133" s="2" t="s">
        <v>101</v>
      </c>
    </row>
    <row r="134" spans="1:28" ht="12.75">
      <c r="A134" s="6">
        <v>30</v>
      </c>
      <c r="D134" s="8"/>
      <c r="E134" s="8"/>
      <c r="AB134" s="2" t="s">
        <v>101</v>
      </c>
    </row>
    <row r="135" spans="1:28" ht="12.75">
      <c r="A135" s="6">
        <v>31</v>
      </c>
      <c r="AB135" s="2" t="s">
        <v>101</v>
      </c>
    </row>
    <row r="136" spans="1:28" ht="12.75">
      <c r="A136" s="6">
        <v>32</v>
      </c>
      <c r="AB136" s="2" t="s">
        <v>101</v>
      </c>
    </row>
    <row r="137" spans="1:28" ht="12.75">
      <c r="A137" s="6">
        <v>33</v>
      </c>
      <c r="AB137" s="2" t="s">
        <v>101</v>
      </c>
    </row>
    <row r="138" spans="1:28" ht="12.75">
      <c r="A138" s="6">
        <v>34</v>
      </c>
      <c r="AB138" s="2" t="s">
        <v>101</v>
      </c>
    </row>
    <row r="139" spans="1:28" ht="12.75">
      <c r="A139" s="6">
        <v>35</v>
      </c>
      <c r="C139" s="3"/>
      <c r="F139" s="7"/>
      <c r="AB139" s="2" t="s">
        <v>101</v>
      </c>
    </row>
    <row r="140" spans="1:28" ht="12.75">
      <c r="A140" s="6">
        <v>36</v>
      </c>
      <c r="F140" s="11"/>
      <c r="AB140" s="2" t="s">
        <v>101</v>
      </c>
    </row>
    <row r="141" spans="1:28" ht="12.75">
      <c r="A141" s="6">
        <v>37</v>
      </c>
      <c r="F141" s="43"/>
      <c r="AB141" s="2" t="s">
        <v>101</v>
      </c>
    </row>
    <row r="142" spans="1:28" ht="12.75">
      <c r="A142" s="6">
        <v>38</v>
      </c>
      <c r="F142" s="13"/>
      <c r="AB142" s="2" t="s">
        <v>101</v>
      </c>
    </row>
    <row r="143" spans="1:28" ht="12.75">
      <c r="A143" s="6">
        <v>39</v>
      </c>
      <c r="AB143" s="2" t="s">
        <v>101</v>
      </c>
    </row>
    <row r="144" spans="1:28" ht="12.75">
      <c r="A144" s="6">
        <v>40</v>
      </c>
      <c r="AB144" s="2" t="s">
        <v>101</v>
      </c>
    </row>
    <row r="145" spans="1:28" ht="12.75">
      <c r="A145" s="6">
        <v>41</v>
      </c>
      <c r="AB145" s="2" t="s">
        <v>101</v>
      </c>
    </row>
    <row r="146" spans="1:28" ht="12.75">
      <c r="A146" s="6">
        <v>42</v>
      </c>
      <c r="AB146" s="2" t="s">
        <v>101</v>
      </c>
    </row>
    <row r="147" spans="1:55" ht="12.75">
      <c r="A147" s="6"/>
      <c r="B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2" t="s">
        <v>101</v>
      </c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28" ht="12.75">
      <c r="A148" s="4" t="s">
        <v>2</v>
      </c>
      <c r="AB148" s="2" t="s">
        <v>101</v>
      </c>
    </row>
    <row r="149" spans="1:28" ht="12.75">
      <c r="A149" s="4" t="s">
        <v>122</v>
      </c>
      <c r="AB149" s="2" t="s">
        <v>101</v>
      </c>
    </row>
    <row r="150" spans="1:28" ht="12.75">
      <c r="A150" s="4"/>
      <c r="AB150" s="2" t="s">
        <v>101</v>
      </c>
    </row>
    <row r="151" spans="1:27" ht="12.75">
      <c r="A151" s="109"/>
      <c r="B151" s="109" t="s">
        <v>63</v>
      </c>
      <c r="C151" s="109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</row>
    <row r="152" spans="1:28" ht="12.75">
      <c r="A152" s="6" t="s">
        <v>15</v>
      </c>
      <c r="B152" s="6" t="s">
        <v>107</v>
      </c>
      <c r="D152" s="6" t="s">
        <v>120</v>
      </c>
      <c r="E152" s="6" t="s">
        <v>120</v>
      </c>
      <c r="F152" s="6" t="s">
        <v>120</v>
      </c>
      <c r="G152" s="6" t="s">
        <v>120</v>
      </c>
      <c r="H152" s="6" t="s">
        <v>120</v>
      </c>
      <c r="I152" s="6" t="s">
        <v>120</v>
      </c>
      <c r="J152" s="6" t="s">
        <v>120</v>
      </c>
      <c r="K152" s="6" t="s">
        <v>120</v>
      </c>
      <c r="L152" s="6" t="s">
        <v>120</v>
      </c>
      <c r="M152" s="6" t="s">
        <v>120</v>
      </c>
      <c r="N152" s="6" t="s">
        <v>120</v>
      </c>
      <c r="O152" s="6" t="s">
        <v>120</v>
      </c>
      <c r="P152" s="6" t="s">
        <v>120</v>
      </c>
      <c r="Q152" s="6" t="s">
        <v>120</v>
      </c>
      <c r="R152" s="6" t="s">
        <v>120</v>
      </c>
      <c r="S152" s="6" t="s">
        <v>120</v>
      </c>
      <c r="T152" s="6" t="s">
        <v>120</v>
      </c>
      <c r="U152" s="6" t="s">
        <v>120</v>
      </c>
      <c r="V152" s="6" t="s">
        <v>120</v>
      </c>
      <c r="W152" s="6" t="s">
        <v>120</v>
      </c>
      <c r="X152" s="6" t="s">
        <v>120</v>
      </c>
      <c r="Y152" s="6" t="s">
        <v>120</v>
      </c>
      <c r="Z152" s="6" t="s">
        <v>120</v>
      </c>
      <c r="AA152" s="6" t="s">
        <v>14</v>
      </c>
      <c r="AB152" s="2" t="s">
        <v>101</v>
      </c>
    </row>
    <row r="153" spans="1:28" ht="12.75">
      <c r="A153" s="110" t="s">
        <v>21</v>
      </c>
      <c r="B153" s="110" t="s">
        <v>54</v>
      </c>
      <c r="C153" s="110"/>
      <c r="D153" s="113">
        <f>$D$6</f>
        <v>39113</v>
      </c>
      <c r="E153" s="113">
        <f>$E$6</f>
        <v>39141</v>
      </c>
      <c r="F153" s="113">
        <f>$F$6</f>
        <v>39172</v>
      </c>
      <c r="G153" s="113">
        <f>$G$6</f>
        <v>39202</v>
      </c>
      <c r="H153" s="113">
        <f>$H$6</f>
        <v>39233</v>
      </c>
      <c r="I153" s="113">
        <f>$I$6</f>
        <v>39263</v>
      </c>
      <c r="J153" s="113">
        <f>$J$6</f>
        <v>39294</v>
      </c>
      <c r="K153" s="113">
        <f>$K$6</f>
        <v>39325</v>
      </c>
      <c r="L153" s="113">
        <f>$L$6</f>
        <v>39355</v>
      </c>
      <c r="M153" s="113">
        <f>$M$6</f>
        <v>39386</v>
      </c>
      <c r="N153" s="113">
        <f>$N$6</f>
        <v>39416</v>
      </c>
      <c r="O153" s="113">
        <f>$O$6</f>
        <v>39447</v>
      </c>
      <c r="P153" s="113">
        <f>$P$6</f>
        <v>39478</v>
      </c>
      <c r="Q153" s="113">
        <f>$Q$6</f>
        <v>39506</v>
      </c>
      <c r="R153" s="113">
        <f>$R$6</f>
        <v>39537</v>
      </c>
      <c r="S153" s="113">
        <f>$S$6</f>
        <v>39567</v>
      </c>
      <c r="T153" s="113">
        <f>$T$6</f>
        <v>39598</v>
      </c>
      <c r="U153" s="113">
        <f>$U$6</f>
        <v>39628</v>
      </c>
      <c r="V153" s="113">
        <f>$V$6</f>
        <v>39659</v>
      </c>
      <c r="W153" s="113">
        <f>$W$6</f>
        <v>39690</v>
      </c>
      <c r="X153" s="113">
        <f>$X$6</f>
        <v>39720</v>
      </c>
      <c r="Y153" s="113">
        <f>$Y$6</f>
        <v>39751</v>
      </c>
      <c r="Z153" s="113">
        <f>$Z$6</f>
        <v>39781</v>
      </c>
      <c r="AA153" s="111" t="s">
        <v>20</v>
      </c>
      <c r="AB153" s="2" t="s">
        <v>101</v>
      </c>
    </row>
    <row r="154" spans="1:28" ht="12.75">
      <c r="A154" s="6">
        <v>1</v>
      </c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2" t="s">
        <v>101</v>
      </c>
    </row>
    <row r="155" spans="1:28" ht="12.75">
      <c r="A155" s="6">
        <v>2</v>
      </c>
      <c r="AB155" s="2" t="s">
        <v>101</v>
      </c>
    </row>
    <row r="156" spans="1:28" ht="12.75">
      <c r="A156" s="6">
        <v>3</v>
      </c>
      <c r="B156" s="32" t="s">
        <v>114</v>
      </c>
      <c r="AB156" s="2" t="s">
        <v>101</v>
      </c>
    </row>
    <row r="157" spans="1:28" ht="12.75">
      <c r="A157" s="6">
        <v>4</v>
      </c>
      <c r="B157" s="23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25"/>
      <c r="Y157" s="8"/>
      <c r="Z157" s="8"/>
      <c r="AA157" s="14"/>
      <c r="AB157" s="2" t="s">
        <v>101</v>
      </c>
    </row>
    <row r="158" spans="1:28" ht="12.75">
      <c r="A158" s="6">
        <v>5</v>
      </c>
      <c r="B158" s="3" t="str">
        <f aca="true" t="shared" si="50" ref="B158:B166">B11</f>
        <v>Series 6.87%</v>
      </c>
      <c r="D158" s="12">
        <f aca="true" t="shared" si="51" ref="D158:Z158">ROUND(+D11*$C$11,0)</f>
        <v>1064850</v>
      </c>
      <c r="E158" s="12">
        <f t="shared" si="51"/>
        <v>1064850</v>
      </c>
      <c r="F158" s="12">
        <f t="shared" si="51"/>
        <v>851880</v>
      </c>
      <c r="G158" s="12">
        <f t="shared" si="51"/>
        <v>851880</v>
      </c>
      <c r="H158" s="12">
        <f t="shared" si="51"/>
        <v>851880</v>
      </c>
      <c r="I158" s="12">
        <f t="shared" si="51"/>
        <v>851880</v>
      </c>
      <c r="J158" s="12">
        <f t="shared" si="51"/>
        <v>851880</v>
      </c>
      <c r="K158" s="12">
        <f t="shared" si="51"/>
        <v>851880</v>
      </c>
      <c r="L158" s="12">
        <f t="shared" si="51"/>
        <v>851880</v>
      </c>
      <c r="M158" s="12">
        <f t="shared" si="51"/>
        <v>851880</v>
      </c>
      <c r="N158" s="12">
        <f t="shared" si="51"/>
        <v>851880</v>
      </c>
      <c r="O158" s="12">
        <f t="shared" si="51"/>
        <v>851880</v>
      </c>
      <c r="P158" s="12">
        <f t="shared" si="51"/>
        <v>851880</v>
      </c>
      <c r="Q158" s="12">
        <f t="shared" si="51"/>
        <v>851880</v>
      </c>
      <c r="R158" s="12">
        <f t="shared" si="51"/>
        <v>638910</v>
      </c>
      <c r="S158" s="12">
        <f t="shared" si="51"/>
        <v>638910</v>
      </c>
      <c r="T158" s="12">
        <f t="shared" si="51"/>
        <v>638910</v>
      </c>
      <c r="U158" s="12">
        <f t="shared" si="51"/>
        <v>638910</v>
      </c>
      <c r="V158" s="12">
        <f t="shared" si="51"/>
        <v>638910</v>
      </c>
      <c r="W158" s="12">
        <f t="shared" si="51"/>
        <v>638910</v>
      </c>
      <c r="X158" s="12">
        <f t="shared" si="51"/>
        <v>638910</v>
      </c>
      <c r="Y158" s="12">
        <f t="shared" si="51"/>
        <v>638910</v>
      </c>
      <c r="Z158" s="12">
        <f t="shared" si="51"/>
        <v>638910</v>
      </c>
      <c r="AA158" s="12">
        <f aca="true" t="shared" si="52" ref="AA158:AA165">AVERAGE(N158:Z158)</f>
        <v>704439.2307692308</v>
      </c>
      <c r="AB158" s="2" t="s">
        <v>101</v>
      </c>
    </row>
    <row r="159" spans="1:28" ht="12.75">
      <c r="A159" s="6">
        <v>6</v>
      </c>
      <c r="B159" s="3" t="str">
        <f t="shared" si="50"/>
        <v>    Series 6.96%</v>
      </c>
      <c r="D159" s="12">
        <f aca="true" t="shared" si="53" ref="D159:Z159">ROUND(+D12*$C$12,0)</f>
        <v>487200</v>
      </c>
      <c r="E159" s="12">
        <f t="shared" si="53"/>
        <v>487200</v>
      </c>
      <c r="F159" s="12">
        <f t="shared" si="53"/>
        <v>487200</v>
      </c>
      <c r="G159" s="12">
        <f t="shared" si="53"/>
        <v>487200</v>
      </c>
      <c r="H159" s="12">
        <f t="shared" si="53"/>
        <v>487200</v>
      </c>
      <c r="I159" s="12">
        <f t="shared" si="53"/>
        <v>487200</v>
      </c>
      <c r="J159" s="12">
        <f t="shared" si="53"/>
        <v>487200</v>
      </c>
      <c r="K159" s="12">
        <f t="shared" si="53"/>
        <v>487200</v>
      </c>
      <c r="L159" s="12">
        <f t="shared" si="53"/>
        <v>487200</v>
      </c>
      <c r="M159" s="12">
        <f t="shared" si="53"/>
        <v>487200</v>
      </c>
      <c r="N159" s="12">
        <f t="shared" si="53"/>
        <v>487200</v>
      </c>
      <c r="O159" s="12">
        <f t="shared" si="53"/>
        <v>487200</v>
      </c>
      <c r="P159" s="12">
        <f t="shared" si="53"/>
        <v>487200</v>
      </c>
      <c r="Q159" s="12">
        <f t="shared" si="53"/>
        <v>487200</v>
      </c>
      <c r="R159" s="12">
        <f t="shared" si="53"/>
        <v>487200</v>
      </c>
      <c r="S159" s="12">
        <f t="shared" si="53"/>
        <v>487200</v>
      </c>
      <c r="T159" s="12">
        <f t="shared" si="53"/>
        <v>487200</v>
      </c>
      <c r="U159" s="12">
        <f t="shared" si="53"/>
        <v>487200</v>
      </c>
      <c r="V159" s="12">
        <f t="shared" si="53"/>
        <v>487200</v>
      </c>
      <c r="W159" s="12">
        <f t="shared" si="53"/>
        <v>487200</v>
      </c>
      <c r="X159" s="12">
        <f t="shared" si="53"/>
        <v>487200</v>
      </c>
      <c r="Y159" s="12">
        <f t="shared" si="53"/>
        <v>487200</v>
      </c>
      <c r="Z159" s="12">
        <f t="shared" si="53"/>
        <v>487200</v>
      </c>
      <c r="AA159" s="12">
        <f t="shared" si="52"/>
        <v>487200</v>
      </c>
      <c r="AB159" s="2" t="s">
        <v>101</v>
      </c>
    </row>
    <row r="160" spans="1:28" ht="12.75">
      <c r="A160" s="6">
        <v>7</v>
      </c>
      <c r="B160" s="3" t="str">
        <f t="shared" si="50"/>
        <v>    Series 7.15%</v>
      </c>
      <c r="D160" s="12">
        <f aca="true" t="shared" si="54" ref="D160:Z160">ROUND(+D13*$C$13,0)</f>
        <v>536250</v>
      </c>
      <c r="E160" s="12">
        <f t="shared" si="54"/>
        <v>536250</v>
      </c>
      <c r="F160" s="12">
        <f t="shared" si="54"/>
        <v>536250</v>
      </c>
      <c r="G160" s="12">
        <f t="shared" si="54"/>
        <v>536250</v>
      </c>
      <c r="H160" s="12">
        <f t="shared" si="54"/>
        <v>536250</v>
      </c>
      <c r="I160" s="12">
        <f t="shared" si="54"/>
        <v>536250</v>
      </c>
      <c r="J160" s="12">
        <f t="shared" si="54"/>
        <v>536250</v>
      </c>
      <c r="K160" s="12">
        <f t="shared" si="54"/>
        <v>536250</v>
      </c>
      <c r="L160" s="12">
        <f t="shared" si="54"/>
        <v>536250</v>
      </c>
      <c r="M160" s="12">
        <f t="shared" si="54"/>
        <v>536250</v>
      </c>
      <c r="N160" s="12">
        <f t="shared" si="54"/>
        <v>536250</v>
      </c>
      <c r="O160" s="12">
        <f t="shared" si="54"/>
        <v>536250</v>
      </c>
      <c r="P160" s="12">
        <f t="shared" si="54"/>
        <v>536250</v>
      </c>
      <c r="Q160" s="12">
        <f t="shared" si="54"/>
        <v>536250</v>
      </c>
      <c r="R160" s="12">
        <f t="shared" si="54"/>
        <v>536250</v>
      </c>
      <c r="S160" s="12">
        <f t="shared" si="54"/>
        <v>536250</v>
      </c>
      <c r="T160" s="12">
        <f t="shared" si="54"/>
        <v>536250</v>
      </c>
      <c r="U160" s="12">
        <f t="shared" si="54"/>
        <v>536250</v>
      </c>
      <c r="V160" s="12">
        <f t="shared" si="54"/>
        <v>536250</v>
      </c>
      <c r="W160" s="12">
        <f t="shared" si="54"/>
        <v>536250</v>
      </c>
      <c r="X160" s="12">
        <f t="shared" si="54"/>
        <v>536250</v>
      </c>
      <c r="Y160" s="12">
        <f t="shared" si="54"/>
        <v>536250</v>
      </c>
      <c r="Z160" s="12">
        <f t="shared" si="54"/>
        <v>536250</v>
      </c>
      <c r="AA160" s="12">
        <f t="shared" si="52"/>
        <v>536250</v>
      </c>
      <c r="AB160" s="2" t="s">
        <v>101</v>
      </c>
    </row>
    <row r="161" spans="1:28" ht="12.75">
      <c r="A161" s="6">
        <v>8</v>
      </c>
      <c r="B161" s="3" t="str">
        <f t="shared" si="50"/>
        <v>    Series 6.99%</v>
      </c>
      <c r="D161" s="12">
        <f aca="true" t="shared" si="55" ref="D161:Z161">ROUND(+D14*$C$14,0)</f>
        <v>629100</v>
      </c>
      <c r="E161" s="12">
        <f t="shared" si="55"/>
        <v>629100</v>
      </c>
      <c r="F161" s="12">
        <f t="shared" si="55"/>
        <v>629100</v>
      </c>
      <c r="G161" s="12">
        <f t="shared" si="55"/>
        <v>629100</v>
      </c>
      <c r="H161" s="12">
        <f t="shared" si="55"/>
        <v>629100</v>
      </c>
      <c r="I161" s="12">
        <f t="shared" si="55"/>
        <v>629100</v>
      </c>
      <c r="J161" s="12">
        <f t="shared" si="55"/>
        <v>629100</v>
      </c>
      <c r="K161" s="12">
        <f t="shared" si="55"/>
        <v>629100</v>
      </c>
      <c r="L161" s="12">
        <f t="shared" si="55"/>
        <v>629100</v>
      </c>
      <c r="M161" s="12">
        <f t="shared" si="55"/>
        <v>629100</v>
      </c>
      <c r="N161" s="12">
        <f t="shared" si="55"/>
        <v>629100</v>
      </c>
      <c r="O161" s="12">
        <f t="shared" si="55"/>
        <v>629100</v>
      </c>
      <c r="P161" s="12">
        <f t="shared" si="55"/>
        <v>629100</v>
      </c>
      <c r="Q161" s="12">
        <f t="shared" si="55"/>
        <v>629100</v>
      </c>
      <c r="R161" s="12">
        <f t="shared" si="55"/>
        <v>629100</v>
      </c>
      <c r="S161" s="12">
        <f t="shared" si="55"/>
        <v>629100</v>
      </c>
      <c r="T161" s="12">
        <f t="shared" si="55"/>
        <v>629100</v>
      </c>
      <c r="U161" s="12">
        <f t="shared" si="55"/>
        <v>629100</v>
      </c>
      <c r="V161" s="12">
        <f t="shared" si="55"/>
        <v>629100</v>
      </c>
      <c r="W161" s="12">
        <f t="shared" si="55"/>
        <v>629100</v>
      </c>
      <c r="X161" s="12">
        <f t="shared" si="55"/>
        <v>629100</v>
      </c>
      <c r="Y161" s="12">
        <f t="shared" si="55"/>
        <v>629100</v>
      </c>
      <c r="Z161" s="12">
        <f t="shared" si="55"/>
        <v>629100</v>
      </c>
      <c r="AA161" s="12">
        <f t="shared" si="52"/>
        <v>629100</v>
      </c>
      <c r="AB161" s="2" t="s">
        <v>101</v>
      </c>
    </row>
    <row r="162" spans="1:28" ht="12.75">
      <c r="A162" s="6">
        <v>9</v>
      </c>
      <c r="B162" s="3" t="str">
        <f t="shared" si="50"/>
        <v>    Series 5.65%</v>
      </c>
      <c r="D162" s="12">
        <f aca="true" t="shared" si="56" ref="D162:Z162">ROUND(+D15*$C$15,0)</f>
        <v>1356000</v>
      </c>
      <c r="E162" s="12">
        <f t="shared" si="56"/>
        <v>1356000</v>
      </c>
      <c r="F162" s="12">
        <f t="shared" si="56"/>
        <v>1356000</v>
      </c>
      <c r="G162" s="12">
        <f t="shared" si="56"/>
        <v>1356000</v>
      </c>
      <c r="H162" s="12">
        <f t="shared" si="56"/>
        <v>1356000</v>
      </c>
      <c r="I162" s="12">
        <f t="shared" si="56"/>
        <v>0</v>
      </c>
      <c r="J162" s="12">
        <f t="shared" si="56"/>
        <v>0</v>
      </c>
      <c r="K162" s="12">
        <f t="shared" si="56"/>
        <v>0</v>
      </c>
      <c r="L162" s="12">
        <f t="shared" si="56"/>
        <v>0</v>
      </c>
      <c r="M162" s="12">
        <f t="shared" si="56"/>
        <v>0</v>
      </c>
      <c r="N162" s="12">
        <f t="shared" si="56"/>
        <v>0</v>
      </c>
      <c r="O162" s="12">
        <f t="shared" si="56"/>
        <v>0</v>
      </c>
      <c r="P162" s="12">
        <f t="shared" si="56"/>
        <v>0</v>
      </c>
      <c r="Q162" s="12">
        <f t="shared" si="56"/>
        <v>0</v>
      </c>
      <c r="R162" s="12">
        <f t="shared" si="56"/>
        <v>0</v>
      </c>
      <c r="S162" s="12">
        <f t="shared" si="56"/>
        <v>0</v>
      </c>
      <c r="T162" s="12">
        <f t="shared" si="56"/>
        <v>0</v>
      </c>
      <c r="U162" s="12">
        <f t="shared" si="56"/>
        <v>0</v>
      </c>
      <c r="V162" s="12">
        <f t="shared" si="56"/>
        <v>0</v>
      </c>
      <c r="W162" s="12">
        <f t="shared" si="56"/>
        <v>0</v>
      </c>
      <c r="X162" s="12">
        <f t="shared" si="56"/>
        <v>0</v>
      </c>
      <c r="Y162" s="12">
        <f t="shared" si="56"/>
        <v>0</v>
      </c>
      <c r="Z162" s="12">
        <f t="shared" si="56"/>
        <v>0</v>
      </c>
      <c r="AA162" s="12">
        <f t="shared" si="52"/>
        <v>0</v>
      </c>
      <c r="AB162" s="2" t="s">
        <v>101</v>
      </c>
    </row>
    <row r="163" spans="1:28" ht="12.75">
      <c r="A163" s="6">
        <v>10</v>
      </c>
      <c r="B163" s="3" t="str">
        <f t="shared" si="50"/>
        <v>    Series 4.75%</v>
      </c>
      <c r="D163" s="12">
        <f aca="true" t="shared" si="57" ref="D163:Z163">ROUND(+D16*$C$16,0)</f>
        <v>665000</v>
      </c>
      <c r="E163" s="12">
        <f t="shared" si="57"/>
        <v>665000</v>
      </c>
      <c r="F163" s="12">
        <f t="shared" si="57"/>
        <v>665000</v>
      </c>
      <c r="G163" s="12">
        <f t="shared" si="57"/>
        <v>665000</v>
      </c>
      <c r="H163" s="12">
        <f t="shared" si="57"/>
        <v>665000</v>
      </c>
      <c r="I163" s="12">
        <f t="shared" si="57"/>
        <v>665000</v>
      </c>
      <c r="J163" s="12">
        <f t="shared" si="57"/>
        <v>665000</v>
      </c>
      <c r="K163" s="12">
        <f t="shared" si="57"/>
        <v>665000</v>
      </c>
      <c r="L163" s="12">
        <f t="shared" si="57"/>
        <v>665000</v>
      </c>
      <c r="M163" s="12">
        <f t="shared" si="57"/>
        <v>665000</v>
      </c>
      <c r="N163" s="12">
        <f t="shared" si="57"/>
        <v>665000</v>
      </c>
      <c r="O163" s="12">
        <f t="shared" si="57"/>
        <v>665000</v>
      </c>
      <c r="P163" s="12">
        <f t="shared" si="57"/>
        <v>665000</v>
      </c>
      <c r="Q163" s="12">
        <f t="shared" si="57"/>
        <v>665000</v>
      </c>
      <c r="R163" s="12">
        <f t="shared" si="57"/>
        <v>665000</v>
      </c>
      <c r="S163" s="12">
        <f t="shared" si="57"/>
        <v>665000</v>
      </c>
      <c r="T163" s="12">
        <f t="shared" si="57"/>
        <v>665000</v>
      </c>
      <c r="U163" s="12">
        <f t="shared" si="57"/>
        <v>665000</v>
      </c>
      <c r="V163" s="12">
        <f t="shared" si="57"/>
        <v>665000</v>
      </c>
      <c r="W163" s="12">
        <f t="shared" si="57"/>
        <v>665000</v>
      </c>
      <c r="X163" s="12">
        <f t="shared" si="57"/>
        <v>665000</v>
      </c>
      <c r="Y163" s="12">
        <f t="shared" si="57"/>
        <v>665000</v>
      </c>
      <c r="Z163" s="12">
        <f t="shared" si="57"/>
        <v>665000</v>
      </c>
      <c r="AA163" s="12">
        <f t="shared" si="52"/>
        <v>665000</v>
      </c>
      <c r="AB163" s="2" t="s">
        <v>101</v>
      </c>
    </row>
    <row r="164" spans="1:28" ht="12.75">
      <c r="A164" s="6">
        <v>11</v>
      </c>
      <c r="B164" s="3" t="str">
        <f t="shared" si="50"/>
        <v>    Proposed 5.81%</v>
      </c>
      <c r="D164" s="12">
        <f aca="true" t="shared" si="58" ref="D164:Z164">ROUND(+D17*$C$17,0)</f>
        <v>0</v>
      </c>
      <c r="E164" s="12">
        <f t="shared" si="58"/>
        <v>0</v>
      </c>
      <c r="F164" s="12">
        <f t="shared" si="58"/>
        <v>0</v>
      </c>
      <c r="G164" s="12">
        <f t="shared" si="58"/>
        <v>0</v>
      </c>
      <c r="H164" s="12">
        <f t="shared" si="58"/>
        <v>0</v>
      </c>
      <c r="I164" s="12">
        <f t="shared" si="58"/>
        <v>0</v>
      </c>
      <c r="J164" s="12">
        <f t="shared" si="58"/>
        <v>0</v>
      </c>
      <c r="K164" s="12">
        <f t="shared" si="58"/>
        <v>0</v>
      </c>
      <c r="L164" s="12">
        <f t="shared" si="58"/>
        <v>0</v>
      </c>
      <c r="M164" s="12">
        <f t="shared" si="58"/>
        <v>2905000</v>
      </c>
      <c r="N164" s="12">
        <f t="shared" si="58"/>
        <v>2905000</v>
      </c>
      <c r="O164" s="12">
        <f t="shared" si="58"/>
        <v>2905000</v>
      </c>
      <c r="P164" s="12">
        <f t="shared" si="58"/>
        <v>2905000</v>
      </c>
      <c r="Q164" s="12">
        <f t="shared" si="58"/>
        <v>2905000</v>
      </c>
      <c r="R164" s="12">
        <f t="shared" si="58"/>
        <v>2905000</v>
      </c>
      <c r="S164" s="12">
        <f t="shared" si="58"/>
        <v>2905000</v>
      </c>
      <c r="T164" s="12">
        <f t="shared" si="58"/>
        <v>2905000</v>
      </c>
      <c r="U164" s="12">
        <f t="shared" si="58"/>
        <v>2905000</v>
      </c>
      <c r="V164" s="12">
        <f t="shared" si="58"/>
        <v>2905000</v>
      </c>
      <c r="W164" s="12">
        <f t="shared" si="58"/>
        <v>2905000</v>
      </c>
      <c r="X164" s="12">
        <f t="shared" si="58"/>
        <v>2905000</v>
      </c>
      <c r="Y164" s="12">
        <f t="shared" si="58"/>
        <v>2905000</v>
      </c>
      <c r="Z164" s="12">
        <f t="shared" si="58"/>
        <v>2905000</v>
      </c>
      <c r="AA164" s="12">
        <f t="shared" si="52"/>
        <v>2905000</v>
      </c>
      <c r="AB164" s="2" t="s">
        <v>101</v>
      </c>
    </row>
    <row r="165" spans="1:28" ht="12.75">
      <c r="A165" s="6">
        <v>12</v>
      </c>
      <c r="B165" s="3" t="str">
        <f t="shared" si="50"/>
        <v>    Proposed 5.81%</v>
      </c>
      <c r="D165" s="12">
        <f aca="true" t="shared" si="59" ref="D165:Z166">ROUND(+D18*$C$18,0)</f>
        <v>0</v>
      </c>
      <c r="E165" s="12">
        <f t="shared" si="59"/>
        <v>0</v>
      </c>
      <c r="F165" s="12">
        <f t="shared" si="59"/>
        <v>0</v>
      </c>
      <c r="G165" s="12">
        <f t="shared" si="59"/>
        <v>0</v>
      </c>
      <c r="H165" s="12">
        <f t="shared" si="59"/>
        <v>0</v>
      </c>
      <c r="I165" s="12">
        <f t="shared" si="59"/>
        <v>0</v>
      </c>
      <c r="J165" s="12">
        <f t="shared" si="59"/>
        <v>0</v>
      </c>
      <c r="K165" s="12">
        <f t="shared" si="59"/>
        <v>0</v>
      </c>
      <c r="L165" s="12">
        <f t="shared" si="59"/>
        <v>0</v>
      </c>
      <c r="M165" s="12">
        <f t="shared" si="59"/>
        <v>0</v>
      </c>
      <c r="N165" s="12">
        <f t="shared" si="59"/>
        <v>0</v>
      </c>
      <c r="O165" s="12">
        <f t="shared" si="59"/>
        <v>0</v>
      </c>
      <c r="P165" s="12">
        <f t="shared" si="59"/>
        <v>0</v>
      </c>
      <c r="Q165" s="12">
        <f t="shared" si="59"/>
        <v>0</v>
      </c>
      <c r="R165" s="12">
        <f t="shared" si="59"/>
        <v>581000</v>
      </c>
      <c r="S165" s="12">
        <f t="shared" si="59"/>
        <v>581000</v>
      </c>
      <c r="T165" s="12">
        <f t="shared" si="59"/>
        <v>581000</v>
      </c>
      <c r="U165" s="12">
        <f t="shared" si="59"/>
        <v>581000</v>
      </c>
      <c r="V165" s="12">
        <f t="shared" si="59"/>
        <v>581000</v>
      </c>
      <c r="W165" s="12">
        <f t="shared" si="59"/>
        <v>581000</v>
      </c>
      <c r="X165" s="12">
        <f t="shared" si="59"/>
        <v>581000</v>
      </c>
      <c r="Y165" s="12">
        <f t="shared" si="59"/>
        <v>581000</v>
      </c>
      <c r="Z165" s="12">
        <f t="shared" si="59"/>
        <v>581000</v>
      </c>
      <c r="AA165" s="12">
        <f t="shared" si="52"/>
        <v>402230.76923076925</v>
      </c>
      <c r="AB165" s="2" t="s">
        <v>101</v>
      </c>
    </row>
    <row r="166" spans="1:28" ht="12.75">
      <c r="A166" s="6">
        <v>13</v>
      </c>
      <c r="B166" s="3" t="str">
        <f t="shared" si="50"/>
        <v>    Proposed 5.81%</v>
      </c>
      <c r="D166" s="12">
        <f t="shared" si="59"/>
        <v>0</v>
      </c>
      <c r="E166" s="12">
        <f t="shared" si="59"/>
        <v>0</v>
      </c>
      <c r="F166" s="12">
        <f t="shared" si="59"/>
        <v>0</v>
      </c>
      <c r="G166" s="12">
        <f t="shared" si="59"/>
        <v>0</v>
      </c>
      <c r="H166" s="12">
        <f t="shared" si="59"/>
        <v>0</v>
      </c>
      <c r="I166" s="12">
        <f t="shared" si="59"/>
        <v>0</v>
      </c>
      <c r="J166" s="12">
        <f t="shared" si="59"/>
        <v>0</v>
      </c>
      <c r="K166" s="12">
        <f t="shared" si="59"/>
        <v>0</v>
      </c>
      <c r="L166" s="12">
        <f t="shared" si="59"/>
        <v>0</v>
      </c>
      <c r="M166" s="12">
        <f t="shared" si="59"/>
        <v>0</v>
      </c>
      <c r="N166" s="12">
        <f t="shared" si="59"/>
        <v>0</v>
      </c>
      <c r="O166" s="12">
        <f t="shared" si="59"/>
        <v>0</v>
      </c>
      <c r="P166" s="12">
        <f t="shared" si="59"/>
        <v>0</v>
      </c>
      <c r="Q166" s="12">
        <f t="shared" si="59"/>
        <v>0</v>
      </c>
      <c r="R166" s="12">
        <f t="shared" si="59"/>
        <v>0</v>
      </c>
      <c r="S166" s="12">
        <f t="shared" si="59"/>
        <v>0</v>
      </c>
      <c r="T166" s="12">
        <f t="shared" si="59"/>
        <v>0</v>
      </c>
      <c r="U166" s="12">
        <f t="shared" si="59"/>
        <v>0</v>
      </c>
      <c r="V166" s="12">
        <f t="shared" si="59"/>
        <v>0</v>
      </c>
      <c r="W166" s="12">
        <f t="shared" si="59"/>
        <v>0</v>
      </c>
      <c r="X166" s="12">
        <f t="shared" si="59"/>
        <v>0</v>
      </c>
      <c r="Y166" s="12">
        <f t="shared" si="59"/>
        <v>987700</v>
      </c>
      <c r="Z166" s="12">
        <f t="shared" si="59"/>
        <v>987700</v>
      </c>
      <c r="AA166" s="12">
        <f>AVERAGE(N166:Z166)</f>
        <v>151953.84615384616</v>
      </c>
      <c r="AB166" s="2" t="s">
        <v>101</v>
      </c>
    </row>
    <row r="167" spans="1:28" ht="12.75">
      <c r="A167" s="6">
        <v>14</v>
      </c>
      <c r="AB167" s="2" t="s">
        <v>101</v>
      </c>
    </row>
    <row r="168" spans="1:28" ht="12.75">
      <c r="A168" s="6">
        <v>15</v>
      </c>
      <c r="AB168" s="2" t="s">
        <v>101</v>
      </c>
    </row>
    <row r="169" spans="1:28" ht="12.75">
      <c r="A169" s="6">
        <v>16</v>
      </c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2" t="s">
        <v>101</v>
      </c>
    </row>
    <row r="170" spans="1:28" ht="12.75">
      <c r="A170" s="6">
        <v>17</v>
      </c>
      <c r="B170" s="28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2" t="s">
        <v>101</v>
      </c>
    </row>
    <row r="171" spans="1:28" ht="12.75">
      <c r="A171" s="6">
        <v>18</v>
      </c>
      <c r="AB171" s="2" t="s">
        <v>101</v>
      </c>
    </row>
    <row r="172" spans="1:28" ht="12.75">
      <c r="A172" s="6">
        <v>19</v>
      </c>
      <c r="AB172" s="2" t="s">
        <v>101</v>
      </c>
    </row>
    <row r="173" spans="1:28" ht="13.5" thickBot="1">
      <c r="A173" s="6">
        <v>20</v>
      </c>
      <c r="B173" s="28" t="s">
        <v>116</v>
      </c>
      <c r="D173" s="37">
        <f aca="true" t="shared" si="60" ref="D173:AA173">SUM(D156:D172)</f>
        <v>4738400</v>
      </c>
      <c r="E173" s="37">
        <f t="shared" si="60"/>
        <v>4738400</v>
      </c>
      <c r="F173" s="37">
        <f t="shared" si="60"/>
        <v>4525430</v>
      </c>
      <c r="G173" s="37">
        <f t="shared" si="60"/>
        <v>4525430</v>
      </c>
      <c r="H173" s="37">
        <f t="shared" si="60"/>
        <v>4525430</v>
      </c>
      <c r="I173" s="37">
        <f t="shared" si="60"/>
        <v>3169430</v>
      </c>
      <c r="J173" s="37">
        <f t="shared" si="60"/>
        <v>3169430</v>
      </c>
      <c r="K173" s="37">
        <f t="shared" si="60"/>
        <v>3169430</v>
      </c>
      <c r="L173" s="37">
        <f t="shared" si="60"/>
        <v>3169430</v>
      </c>
      <c r="M173" s="37">
        <f t="shared" si="60"/>
        <v>6074430</v>
      </c>
      <c r="N173" s="37">
        <f t="shared" si="60"/>
        <v>6074430</v>
      </c>
      <c r="O173" s="37">
        <f t="shared" si="60"/>
        <v>6074430</v>
      </c>
      <c r="P173" s="37">
        <f t="shared" si="60"/>
        <v>6074430</v>
      </c>
      <c r="Q173" s="37">
        <f t="shared" si="60"/>
        <v>6074430</v>
      </c>
      <c r="R173" s="37">
        <f t="shared" si="60"/>
        <v>6442460</v>
      </c>
      <c r="S173" s="37">
        <f t="shared" si="60"/>
        <v>6442460</v>
      </c>
      <c r="T173" s="37">
        <f t="shared" si="60"/>
        <v>6442460</v>
      </c>
      <c r="U173" s="37">
        <f t="shared" si="60"/>
        <v>6442460</v>
      </c>
      <c r="V173" s="37">
        <f t="shared" si="60"/>
        <v>6442460</v>
      </c>
      <c r="W173" s="37">
        <f t="shared" si="60"/>
        <v>6442460</v>
      </c>
      <c r="X173" s="37">
        <f t="shared" si="60"/>
        <v>6442460</v>
      </c>
      <c r="Y173" s="37">
        <f t="shared" si="60"/>
        <v>7430160</v>
      </c>
      <c r="Z173" s="37">
        <f t="shared" si="60"/>
        <v>7430160</v>
      </c>
      <c r="AA173" s="37">
        <f t="shared" si="60"/>
        <v>6481173.846153846</v>
      </c>
      <c r="AB173" s="2" t="s">
        <v>101</v>
      </c>
    </row>
    <row r="174" spans="1:28" ht="13.5" thickTop="1">
      <c r="A174" s="6">
        <v>21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2" t="s">
        <v>101</v>
      </c>
    </row>
    <row r="175" spans="1:28" ht="12.75">
      <c r="A175" s="6">
        <v>22</v>
      </c>
      <c r="AB175" s="2" t="s">
        <v>101</v>
      </c>
    </row>
    <row r="176" spans="1:28" ht="12.75">
      <c r="A176" s="6">
        <v>23</v>
      </c>
      <c r="AB176" s="2" t="s">
        <v>101</v>
      </c>
    </row>
    <row r="177" spans="1:28" ht="12.75">
      <c r="A177" s="6">
        <v>24</v>
      </c>
      <c r="AB177" s="2" t="s">
        <v>101</v>
      </c>
    </row>
    <row r="178" spans="1:28" ht="12.75">
      <c r="A178" s="6">
        <v>25</v>
      </c>
      <c r="AB178" s="2" t="s">
        <v>101</v>
      </c>
    </row>
    <row r="179" spans="1:28" ht="12.75">
      <c r="A179" s="6">
        <v>26</v>
      </c>
      <c r="AB179" s="2" t="s">
        <v>101</v>
      </c>
    </row>
    <row r="180" spans="1:28" ht="12.75">
      <c r="A180" s="6">
        <v>27</v>
      </c>
      <c r="AB180" s="2" t="s">
        <v>101</v>
      </c>
    </row>
    <row r="181" spans="1:28" ht="12.75">
      <c r="A181" s="6">
        <v>28</v>
      </c>
      <c r="AB181" s="2" t="s">
        <v>101</v>
      </c>
    </row>
    <row r="182" spans="1:28" ht="12.75">
      <c r="A182" s="6">
        <v>29</v>
      </c>
      <c r="AB182" s="2" t="s">
        <v>101</v>
      </c>
    </row>
    <row r="183" spans="1:28" ht="12.75">
      <c r="A183" s="6">
        <v>30</v>
      </c>
      <c r="AB183" s="2" t="s">
        <v>101</v>
      </c>
    </row>
    <row r="184" spans="1:28" ht="12.75">
      <c r="A184" s="6">
        <v>31</v>
      </c>
      <c r="AB184" s="2" t="s">
        <v>101</v>
      </c>
    </row>
    <row r="185" spans="1:28" ht="12.75">
      <c r="A185" s="6">
        <v>32</v>
      </c>
      <c r="AB185" s="2" t="s">
        <v>101</v>
      </c>
    </row>
    <row r="186" spans="1:28" ht="12.75">
      <c r="A186" s="6">
        <v>33</v>
      </c>
      <c r="AB186" s="2" t="s">
        <v>101</v>
      </c>
    </row>
    <row r="187" spans="1:28" ht="12.75">
      <c r="A187" s="6">
        <v>34</v>
      </c>
      <c r="AB187" s="2" t="s">
        <v>101</v>
      </c>
    </row>
    <row r="188" spans="1:28" ht="12.75">
      <c r="A188" s="6">
        <v>35</v>
      </c>
      <c r="AB188" s="2" t="s">
        <v>101</v>
      </c>
    </row>
    <row r="189" spans="1:28" ht="12.75">
      <c r="A189" s="6">
        <v>36</v>
      </c>
      <c r="AB189" s="2" t="s">
        <v>101</v>
      </c>
    </row>
    <row r="190" spans="1:28" ht="12.75">
      <c r="A190" s="6">
        <v>37</v>
      </c>
      <c r="AB190" s="2" t="s">
        <v>101</v>
      </c>
    </row>
    <row r="191" spans="1:28" ht="12.75">
      <c r="A191" s="6">
        <v>38</v>
      </c>
      <c r="AB191" s="2" t="s">
        <v>101</v>
      </c>
    </row>
    <row r="192" spans="1:28" ht="12.75">
      <c r="A192" s="6">
        <v>39</v>
      </c>
      <c r="AB192" s="2" t="s">
        <v>101</v>
      </c>
    </row>
    <row r="193" spans="1:28" ht="12.75">
      <c r="A193" s="6">
        <v>40</v>
      </c>
      <c r="AB193" s="2" t="s">
        <v>101</v>
      </c>
    </row>
    <row r="194" spans="1:28" ht="12.75">
      <c r="A194" s="6">
        <v>41</v>
      </c>
      <c r="AB194" s="2" t="s">
        <v>101</v>
      </c>
    </row>
    <row r="195" spans="1:28" ht="12.75">
      <c r="A195" s="6">
        <v>42</v>
      </c>
      <c r="AB195" s="2" t="s">
        <v>101</v>
      </c>
    </row>
    <row r="196" spans="1:55" ht="12.75">
      <c r="A196" s="1"/>
      <c r="B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28" ht="12.75">
      <c r="A197" s="4" t="s">
        <v>2</v>
      </c>
      <c r="AB197" s="2" t="s">
        <v>101</v>
      </c>
    </row>
    <row r="198" spans="1:28" ht="12.75">
      <c r="A198" s="4" t="s">
        <v>123</v>
      </c>
      <c r="AB198" s="2" t="s">
        <v>101</v>
      </c>
    </row>
    <row r="199" ht="12.75">
      <c r="AB199" s="2" t="s">
        <v>101</v>
      </c>
    </row>
    <row r="200" spans="1:28" ht="12.75">
      <c r="A200" s="109"/>
      <c r="B200" s="109" t="s">
        <v>63</v>
      </c>
      <c r="C200" s="109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112"/>
      <c r="AA200" s="112"/>
      <c r="AB200" s="2" t="s">
        <v>101</v>
      </c>
    </row>
    <row r="201" spans="1:28" ht="12.75">
      <c r="A201" s="6" t="s">
        <v>15</v>
      </c>
      <c r="B201" s="6" t="s">
        <v>107</v>
      </c>
      <c r="C201" s="6" t="s">
        <v>51</v>
      </c>
      <c r="D201" s="6" t="s">
        <v>108</v>
      </c>
      <c r="E201" s="6" t="s">
        <v>108</v>
      </c>
      <c r="F201" s="6" t="s">
        <v>108</v>
      </c>
      <c r="G201" s="6" t="s">
        <v>108</v>
      </c>
      <c r="H201" s="6" t="s">
        <v>108</v>
      </c>
      <c r="I201" s="6" t="s">
        <v>108</v>
      </c>
      <c r="J201" s="6" t="s">
        <v>108</v>
      </c>
      <c r="K201" s="6" t="s">
        <v>108</v>
      </c>
      <c r="L201" s="6" t="s">
        <v>108</v>
      </c>
      <c r="M201" s="6" t="s">
        <v>108</v>
      </c>
      <c r="N201" s="6" t="s">
        <v>108</v>
      </c>
      <c r="O201" s="6" t="s">
        <v>108</v>
      </c>
      <c r="P201" s="6" t="s">
        <v>108</v>
      </c>
      <c r="Q201" s="6" t="s">
        <v>108</v>
      </c>
      <c r="R201" s="6" t="s">
        <v>108</v>
      </c>
      <c r="S201" s="6" t="s">
        <v>108</v>
      </c>
      <c r="T201" s="6" t="s">
        <v>108</v>
      </c>
      <c r="U201" s="6" t="s">
        <v>108</v>
      </c>
      <c r="V201" s="6" t="s">
        <v>108</v>
      </c>
      <c r="W201" s="6" t="s">
        <v>108</v>
      </c>
      <c r="X201" s="6" t="s">
        <v>108</v>
      </c>
      <c r="Y201" s="6" t="s">
        <v>108</v>
      </c>
      <c r="Z201" s="6" t="s">
        <v>108</v>
      </c>
      <c r="AA201" s="6" t="s">
        <v>14</v>
      </c>
      <c r="AB201" s="2" t="s">
        <v>101</v>
      </c>
    </row>
    <row r="202" spans="1:28" ht="12.75">
      <c r="A202" s="110" t="s">
        <v>21</v>
      </c>
      <c r="B202" s="110" t="s">
        <v>54</v>
      </c>
      <c r="C202" s="110" t="s">
        <v>54</v>
      </c>
      <c r="D202" s="113">
        <f>D153</f>
        <v>39113</v>
      </c>
      <c r="E202" s="113">
        <f>$E$6</f>
        <v>39141</v>
      </c>
      <c r="F202" s="113">
        <f>$F$6</f>
        <v>39172</v>
      </c>
      <c r="G202" s="113">
        <f>$G$6</f>
        <v>39202</v>
      </c>
      <c r="H202" s="113">
        <f>$H$6</f>
        <v>39233</v>
      </c>
      <c r="I202" s="113">
        <f>$I$6</f>
        <v>39263</v>
      </c>
      <c r="J202" s="113">
        <f>$J$6</f>
        <v>39294</v>
      </c>
      <c r="K202" s="113">
        <f>$K$6</f>
        <v>39325</v>
      </c>
      <c r="L202" s="113">
        <f>$L$6</f>
        <v>39355</v>
      </c>
      <c r="M202" s="113">
        <f>$M$6</f>
        <v>39386</v>
      </c>
      <c r="N202" s="113">
        <f>$N$6</f>
        <v>39416</v>
      </c>
      <c r="O202" s="113">
        <f>$O$6</f>
        <v>39447</v>
      </c>
      <c r="P202" s="113">
        <f>$P$6</f>
        <v>39478</v>
      </c>
      <c r="Q202" s="113">
        <f>$Q$6</f>
        <v>39506</v>
      </c>
      <c r="R202" s="113">
        <f>$R$6</f>
        <v>39537</v>
      </c>
      <c r="S202" s="113">
        <f>$S$6</f>
        <v>39567</v>
      </c>
      <c r="T202" s="113">
        <f>$T$6</f>
        <v>39598</v>
      </c>
      <c r="U202" s="113">
        <f>$U$6</f>
        <v>39628</v>
      </c>
      <c r="V202" s="113">
        <f>$V$6</f>
        <v>39659</v>
      </c>
      <c r="W202" s="113">
        <f>$W$6</f>
        <v>39690</v>
      </c>
      <c r="X202" s="113">
        <f>$X$6</f>
        <v>39720</v>
      </c>
      <c r="Y202" s="113">
        <f>$Y$6</f>
        <v>39751</v>
      </c>
      <c r="Z202" s="113">
        <f>$Z$6</f>
        <v>39781</v>
      </c>
      <c r="AA202" s="111" t="s">
        <v>20</v>
      </c>
      <c r="AB202" s="2" t="s">
        <v>101</v>
      </c>
    </row>
    <row r="203" spans="1:28" ht="12.75">
      <c r="A203" s="6">
        <v>1</v>
      </c>
      <c r="B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2" t="s">
        <v>101</v>
      </c>
    </row>
    <row r="204" spans="1:28" ht="12.75">
      <c r="A204" s="6">
        <v>2</v>
      </c>
      <c r="AB204" s="2" t="s">
        <v>101</v>
      </c>
    </row>
    <row r="205" spans="1:28" ht="12.75">
      <c r="A205" s="6">
        <v>3</v>
      </c>
      <c r="B205" s="28"/>
      <c r="C205" s="27"/>
      <c r="D205" s="34"/>
      <c r="E205" s="35"/>
      <c r="F205" s="35"/>
      <c r="G205" s="35"/>
      <c r="H205" s="35"/>
      <c r="I205" s="35"/>
      <c r="J205" s="34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2" t="s">
        <v>101</v>
      </c>
    </row>
    <row r="206" spans="1:28" ht="12.75">
      <c r="A206" s="6">
        <v>4</v>
      </c>
      <c r="B206" s="32"/>
      <c r="C206" s="27"/>
      <c r="D206" s="33"/>
      <c r="AB206" s="2" t="s">
        <v>101</v>
      </c>
    </row>
    <row r="207" spans="1:28" ht="12.75">
      <c r="A207" s="6">
        <v>5</v>
      </c>
      <c r="B207" s="28" t="s">
        <v>95</v>
      </c>
      <c r="C207" s="27">
        <v>0.0575</v>
      </c>
      <c r="D207" s="25">
        <v>391800</v>
      </c>
      <c r="E207" s="12">
        <f>D207</f>
        <v>391800</v>
      </c>
      <c r="F207" s="12">
        <f aca="true" t="shared" si="61" ref="F207:Z207">E207</f>
        <v>391800</v>
      </c>
      <c r="G207" s="12">
        <f t="shared" si="61"/>
        <v>391800</v>
      </c>
      <c r="H207" s="12">
        <f t="shared" si="61"/>
        <v>391800</v>
      </c>
      <c r="I207" s="12">
        <f t="shared" si="61"/>
        <v>391800</v>
      </c>
      <c r="J207" s="12">
        <f t="shared" si="61"/>
        <v>391800</v>
      </c>
      <c r="K207" s="12">
        <f t="shared" si="61"/>
        <v>391800</v>
      </c>
      <c r="L207" s="12">
        <f t="shared" si="61"/>
        <v>391800</v>
      </c>
      <c r="M207" s="12">
        <f t="shared" si="61"/>
        <v>391800</v>
      </c>
      <c r="N207" s="12">
        <f t="shared" si="61"/>
        <v>391800</v>
      </c>
      <c r="O207" s="12">
        <f t="shared" si="61"/>
        <v>391800</v>
      </c>
      <c r="P207" s="12">
        <f t="shared" si="61"/>
        <v>391800</v>
      </c>
      <c r="Q207" s="12">
        <f t="shared" si="61"/>
        <v>391800</v>
      </c>
      <c r="R207" s="12">
        <f t="shared" si="61"/>
        <v>391800</v>
      </c>
      <c r="S207" s="12">
        <f t="shared" si="61"/>
        <v>391800</v>
      </c>
      <c r="T207" s="12">
        <f t="shared" si="61"/>
        <v>391800</v>
      </c>
      <c r="U207" s="12">
        <f t="shared" si="61"/>
        <v>391800</v>
      </c>
      <c r="V207" s="12">
        <f t="shared" si="61"/>
        <v>391800</v>
      </c>
      <c r="W207" s="12">
        <f t="shared" si="61"/>
        <v>391800</v>
      </c>
      <c r="X207" s="12">
        <f t="shared" si="61"/>
        <v>391800</v>
      </c>
      <c r="Y207" s="12">
        <f t="shared" si="61"/>
        <v>391800</v>
      </c>
      <c r="Z207" s="12">
        <f t="shared" si="61"/>
        <v>391800</v>
      </c>
      <c r="AA207" s="12">
        <f>AVERAGE(N207:Z207)</f>
        <v>391800</v>
      </c>
      <c r="AB207" s="2" t="s">
        <v>101</v>
      </c>
    </row>
    <row r="208" spans="1:28" ht="12.75">
      <c r="A208" s="6">
        <v>6</v>
      </c>
      <c r="B208" s="32"/>
      <c r="C208" s="27"/>
      <c r="D208" s="25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2" t="s">
        <v>101</v>
      </c>
    </row>
    <row r="209" spans="1:28" ht="12.75">
      <c r="A209" s="6">
        <v>7</v>
      </c>
      <c r="B209" s="28" t="s">
        <v>96</v>
      </c>
      <c r="C209" s="27">
        <v>0.055</v>
      </c>
      <c r="D209" s="25">
        <v>488300</v>
      </c>
      <c r="E209" s="12">
        <f>D209</f>
        <v>488300</v>
      </c>
      <c r="F209" s="12">
        <f aca="true" t="shared" si="62" ref="F209:Z209">E209</f>
        <v>488300</v>
      </c>
      <c r="G209" s="12">
        <f t="shared" si="62"/>
        <v>488300</v>
      </c>
      <c r="H209" s="12">
        <f t="shared" si="62"/>
        <v>488300</v>
      </c>
      <c r="I209" s="12">
        <f t="shared" si="62"/>
        <v>488300</v>
      </c>
      <c r="J209" s="12">
        <f t="shared" si="62"/>
        <v>488300</v>
      </c>
      <c r="K209" s="12">
        <f t="shared" si="62"/>
        <v>488300</v>
      </c>
      <c r="L209" s="12">
        <f t="shared" si="62"/>
        <v>488300</v>
      </c>
      <c r="M209" s="12">
        <f t="shared" si="62"/>
        <v>488300</v>
      </c>
      <c r="N209" s="12">
        <f t="shared" si="62"/>
        <v>488300</v>
      </c>
      <c r="O209" s="12">
        <f t="shared" si="62"/>
        <v>488300</v>
      </c>
      <c r="P209" s="12">
        <f t="shared" si="62"/>
        <v>488300</v>
      </c>
      <c r="Q209" s="12">
        <f t="shared" si="62"/>
        <v>488300</v>
      </c>
      <c r="R209" s="12">
        <f t="shared" si="62"/>
        <v>488300</v>
      </c>
      <c r="S209" s="12">
        <f t="shared" si="62"/>
        <v>488300</v>
      </c>
      <c r="T209" s="12">
        <f t="shared" si="62"/>
        <v>488300</v>
      </c>
      <c r="U209" s="12">
        <f t="shared" si="62"/>
        <v>488300</v>
      </c>
      <c r="V209" s="12">
        <f t="shared" si="62"/>
        <v>488300</v>
      </c>
      <c r="W209" s="12">
        <f t="shared" si="62"/>
        <v>488300</v>
      </c>
      <c r="X209" s="12">
        <f t="shared" si="62"/>
        <v>488300</v>
      </c>
      <c r="Y209" s="12">
        <f t="shared" si="62"/>
        <v>488300</v>
      </c>
      <c r="Z209" s="12">
        <f t="shared" si="62"/>
        <v>488300</v>
      </c>
      <c r="AA209" s="12">
        <f>AVERAGE(N209:Z209)</f>
        <v>488300</v>
      </c>
      <c r="AB209" s="2" t="s">
        <v>101</v>
      </c>
    </row>
    <row r="210" spans="1:28" ht="12.75">
      <c r="A210" s="6">
        <v>8</v>
      </c>
      <c r="B210" s="32"/>
      <c r="C210" s="27"/>
      <c r="D210" s="25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2" t="s">
        <v>101</v>
      </c>
    </row>
    <row r="211" spans="1:28" ht="12.75">
      <c r="A211" s="6">
        <v>9</v>
      </c>
      <c r="B211" s="28" t="s">
        <v>97</v>
      </c>
      <c r="C211" s="27">
        <v>0.05</v>
      </c>
      <c r="D211" s="25">
        <v>586600</v>
      </c>
      <c r="E211" s="12">
        <f>D211</f>
        <v>586600</v>
      </c>
      <c r="F211" s="12">
        <f aca="true" t="shared" si="63" ref="F211:Z211">E211</f>
        <v>586600</v>
      </c>
      <c r="G211" s="12">
        <f t="shared" si="63"/>
        <v>586600</v>
      </c>
      <c r="H211" s="12">
        <f t="shared" si="63"/>
        <v>586600</v>
      </c>
      <c r="I211" s="12">
        <f t="shared" si="63"/>
        <v>586600</v>
      </c>
      <c r="J211" s="12">
        <f t="shared" si="63"/>
        <v>586600</v>
      </c>
      <c r="K211" s="12">
        <f t="shared" si="63"/>
        <v>586600</v>
      </c>
      <c r="L211" s="12">
        <f t="shared" si="63"/>
        <v>586600</v>
      </c>
      <c r="M211" s="12">
        <f t="shared" si="63"/>
        <v>586600</v>
      </c>
      <c r="N211" s="12">
        <f t="shared" si="63"/>
        <v>586600</v>
      </c>
      <c r="O211" s="12">
        <f t="shared" si="63"/>
        <v>586600</v>
      </c>
      <c r="P211" s="12">
        <f t="shared" si="63"/>
        <v>586600</v>
      </c>
      <c r="Q211" s="12">
        <f t="shared" si="63"/>
        <v>586600</v>
      </c>
      <c r="R211" s="12">
        <f t="shared" si="63"/>
        <v>586600</v>
      </c>
      <c r="S211" s="12">
        <f t="shared" si="63"/>
        <v>586600</v>
      </c>
      <c r="T211" s="12">
        <f t="shared" si="63"/>
        <v>586600</v>
      </c>
      <c r="U211" s="12">
        <f t="shared" si="63"/>
        <v>586600</v>
      </c>
      <c r="V211" s="12">
        <f t="shared" si="63"/>
        <v>586600</v>
      </c>
      <c r="W211" s="12">
        <f t="shared" si="63"/>
        <v>586600</v>
      </c>
      <c r="X211" s="12">
        <f t="shared" si="63"/>
        <v>586600</v>
      </c>
      <c r="Y211" s="12">
        <f t="shared" si="63"/>
        <v>586600</v>
      </c>
      <c r="Z211" s="12">
        <f t="shared" si="63"/>
        <v>586600</v>
      </c>
      <c r="AA211" s="12">
        <f>AVERAGE(N211:Z211)</f>
        <v>586600</v>
      </c>
      <c r="AB211" s="2" t="s">
        <v>101</v>
      </c>
    </row>
    <row r="212" spans="1:28" ht="12.75">
      <c r="A212" s="6">
        <v>10</v>
      </c>
      <c r="B212" s="32"/>
      <c r="C212" s="27"/>
      <c r="D212" s="25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2" t="s">
        <v>101</v>
      </c>
    </row>
    <row r="213" spans="1:28" ht="12.75">
      <c r="A213" s="6">
        <v>11</v>
      </c>
      <c r="B213" s="28"/>
      <c r="C213" s="27"/>
      <c r="D213" s="25"/>
      <c r="E213" s="12"/>
      <c r="F213" s="12"/>
      <c r="G213" s="12"/>
      <c r="H213" s="12"/>
      <c r="I213" s="12"/>
      <c r="J213" s="25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25"/>
      <c r="W213" s="12"/>
      <c r="X213" s="12"/>
      <c r="Y213" s="12"/>
      <c r="Z213" s="12"/>
      <c r="AA213" s="12"/>
      <c r="AB213" s="2" t="s">
        <v>101</v>
      </c>
    </row>
    <row r="214" spans="1:28" ht="12.75">
      <c r="A214" s="6">
        <v>12</v>
      </c>
      <c r="B214" s="32"/>
      <c r="C214" s="27"/>
      <c r="D214" s="25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2" t="s">
        <v>101</v>
      </c>
    </row>
    <row r="215" spans="1:28" ht="12.75">
      <c r="A215" s="6">
        <v>13</v>
      </c>
      <c r="B215" s="28" t="s">
        <v>98</v>
      </c>
      <c r="C215" s="27">
        <v>0.0847</v>
      </c>
      <c r="D215" s="25">
        <v>4500000</v>
      </c>
      <c r="E215" s="12">
        <f aca="true" t="shared" si="64" ref="E215:Z215">D215</f>
        <v>4500000</v>
      </c>
      <c r="F215" s="12">
        <f t="shared" si="64"/>
        <v>4500000</v>
      </c>
      <c r="G215" s="12">
        <f t="shared" si="64"/>
        <v>4500000</v>
      </c>
      <c r="H215" s="12">
        <f t="shared" si="64"/>
        <v>4500000</v>
      </c>
      <c r="I215" s="12">
        <f t="shared" si="64"/>
        <v>4500000</v>
      </c>
      <c r="J215" s="12">
        <f t="shared" si="64"/>
        <v>4500000</v>
      </c>
      <c r="K215" s="12">
        <f t="shared" si="64"/>
        <v>4500000</v>
      </c>
      <c r="L215" s="12">
        <f t="shared" si="64"/>
        <v>4500000</v>
      </c>
      <c r="M215" s="12">
        <f t="shared" si="64"/>
        <v>4500000</v>
      </c>
      <c r="N215" s="12">
        <f t="shared" si="64"/>
        <v>4500000</v>
      </c>
      <c r="O215" s="12">
        <f t="shared" si="64"/>
        <v>4500000</v>
      </c>
      <c r="P215" s="12">
        <f t="shared" si="64"/>
        <v>4500000</v>
      </c>
      <c r="Q215" s="12">
        <f t="shared" si="64"/>
        <v>4500000</v>
      </c>
      <c r="R215" s="12">
        <f t="shared" si="64"/>
        <v>4500000</v>
      </c>
      <c r="S215" s="12">
        <f t="shared" si="64"/>
        <v>4500000</v>
      </c>
      <c r="T215" s="12">
        <f t="shared" si="64"/>
        <v>4500000</v>
      </c>
      <c r="U215" s="12">
        <f t="shared" si="64"/>
        <v>4500000</v>
      </c>
      <c r="V215" s="12">
        <f t="shared" si="64"/>
        <v>4500000</v>
      </c>
      <c r="W215" s="12">
        <f t="shared" si="64"/>
        <v>4500000</v>
      </c>
      <c r="X215" s="12">
        <f t="shared" si="64"/>
        <v>4500000</v>
      </c>
      <c r="Y215" s="12">
        <f t="shared" si="64"/>
        <v>4500000</v>
      </c>
      <c r="Z215" s="12">
        <f t="shared" si="64"/>
        <v>4500000</v>
      </c>
      <c r="AA215" s="12">
        <f>AVERAGE(N215:Z215)</f>
        <v>4500000</v>
      </c>
      <c r="AB215" s="2" t="s">
        <v>101</v>
      </c>
    </row>
    <row r="216" spans="1:28" ht="12.75">
      <c r="A216" s="6">
        <v>14</v>
      </c>
      <c r="AB216" s="2" t="s">
        <v>101</v>
      </c>
    </row>
    <row r="217" spans="1:28" ht="12.75">
      <c r="A217" s="6">
        <v>15</v>
      </c>
      <c r="AB217" s="2" t="s">
        <v>101</v>
      </c>
    </row>
    <row r="218" spans="1:28" ht="12.75">
      <c r="A218" s="6">
        <v>16</v>
      </c>
      <c r="AB218" s="2" t="s">
        <v>101</v>
      </c>
    </row>
    <row r="219" spans="1:28" ht="12.75">
      <c r="A219" s="6">
        <v>17</v>
      </c>
      <c r="AB219" s="2" t="s">
        <v>101</v>
      </c>
    </row>
    <row r="220" spans="1:28" s="7" customFormat="1" ht="13.5" thickBot="1">
      <c r="A220" s="6">
        <v>18</v>
      </c>
      <c r="B220" s="28" t="s">
        <v>116</v>
      </c>
      <c r="C220" s="6"/>
      <c r="D220" s="40">
        <f aca="true" t="shared" si="65" ref="D220:AA220">SUM(D205:D219)</f>
        <v>5966700</v>
      </c>
      <c r="E220" s="40">
        <f t="shared" si="65"/>
        <v>5966700</v>
      </c>
      <c r="F220" s="40">
        <f t="shared" si="65"/>
        <v>5966700</v>
      </c>
      <c r="G220" s="40">
        <f t="shared" si="65"/>
        <v>5966700</v>
      </c>
      <c r="H220" s="40">
        <f t="shared" si="65"/>
        <v>5966700</v>
      </c>
      <c r="I220" s="40">
        <f t="shared" si="65"/>
        <v>5966700</v>
      </c>
      <c r="J220" s="40">
        <f t="shared" si="65"/>
        <v>5966700</v>
      </c>
      <c r="K220" s="40">
        <f t="shared" si="65"/>
        <v>5966700</v>
      </c>
      <c r="L220" s="40">
        <f t="shared" si="65"/>
        <v>5966700</v>
      </c>
      <c r="M220" s="40">
        <f t="shared" si="65"/>
        <v>5966700</v>
      </c>
      <c r="N220" s="40">
        <f t="shared" si="65"/>
        <v>5966700</v>
      </c>
      <c r="O220" s="40">
        <f t="shared" si="65"/>
        <v>5966700</v>
      </c>
      <c r="P220" s="40">
        <f t="shared" si="65"/>
        <v>5966700</v>
      </c>
      <c r="Q220" s="40">
        <f t="shared" si="65"/>
        <v>5966700</v>
      </c>
      <c r="R220" s="40">
        <f t="shared" si="65"/>
        <v>5966700</v>
      </c>
      <c r="S220" s="40">
        <f t="shared" si="65"/>
        <v>5966700</v>
      </c>
      <c r="T220" s="40">
        <f t="shared" si="65"/>
        <v>5966700</v>
      </c>
      <c r="U220" s="40">
        <f t="shared" si="65"/>
        <v>5966700</v>
      </c>
      <c r="V220" s="40">
        <f t="shared" si="65"/>
        <v>5966700</v>
      </c>
      <c r="W220" s="40">
        <f t="shared" si="65"/>
        <v>5966700</v>
      </c>
      <c r="X220" s="40">
        <f t="shared" si="65"/>
        <v>5966700</v>
      </c>
      <c r="Y220" s="40">
        <f t="shared" si="65"/>
        <v>5966700</v>
      </c>
      <c r="Z220" s="40">
        <f t="shared" si="65"/>
        <v>5966700</v>
      </c>
      <c r="AA220" s="41">
        <f t="shared" si="65"/>
        <v>5966700</v>
      </c>
      <c r="AB220" s="6" t="s">
        <v>101</v>
      </c>
    </row>
    <row r="221" spans="1:28" ht="13.5" thickTop="1">
      <c r="A221" s="6">
        <v>19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2" t="s">
        <v>101</v>
      </c>
    </row>
    <row r="222" spans="1:28" ht="12.75">
      <c r="A222" s="6">
        <v>20</v>
      </c>
      <c r="AB222" s="2" t="s">
        <v>101</v>
      </c>
    </row>
    <row r="223" spans="1:28" ht="12.75">
      <c r="A223" s="6">
        <v>21</v>
      </c>
      <c r="AB223" s="2" t="s">
        <v>101</v>
      </c>
    </row>
    <row r="224" spans="1:28" ht="12.75">
      <c r="A224" s="6">
        <v>22</v>
      </c>
      <c r="AB224" s="2" t="s">
        <v>101</v>
      </c>
    </row>
    <row r="225" spans="1:28" ht="12.75">
      <c r="A225" s="6">
        <v>23</v>
      </c>
      <c r="AB225" s="2" t="s">
        <v>101</v>
      </c>
    </row>
    <row r="226" spans="1:28" ht="12.75">
      <c r="A226" s="6">
        <v>24</v>
      </c>
      <c r="AB226" s="2" t="s">
        <v>101</v>
      </c>
    </row>
    <row r="227" spans="1:28" ht="12.75">
      <c r="A227" s="6">
        <v>25</v>
      </c>
      <c r="AB227" s="2" t="s">
        <v>101</v>
      </c>
    </row>
    <row r="228" spans="1:28" ht="12.75">
      <c r="A228" s="6">
        <v>26</v>
      </c>
      <c r="AB228" s="2" t="s">
        <v>101</v>
      </c>
    </row>
    <row r="229" spans="1:28" ht="12.75">
      <c r="A229" s="6">
        <v>27</v>
      </c>
      <c r="AB229" s="2" t="s">
        <v>101</v>
      </c>
    </row>
    <row r="230" spans="1:28" ht="12.75">
      <c r="A230" s="6">
        <v>28</v>
      </c>
      <c r="AB230" s="2" t="s">
        <v>101</v>
      </c>
    </row>
    <row r="231" spans="1:28" ht="12.75">
      <c r="A231" s="6">
        <v>29</v>
      </c>
      <c r="AB231" s="2" t="s">
        <v>101</v>
      </c>
    </row>
    <row r="232" spans="1:28" ht="12.75">
      <c r="A232" s="6">
        <v>30</v>
      </c>
      <c r="AB232" s="2" t="s">
        <v>101</v>
      </c>
    </row>
    <row r="233" spans="1:28" ht="12.75">
      <c r="A233" s="6">
        <v>31</v>
      </c>
      <c r="AB233" s="2" t="s">
        <v>101</v>
      </c>
    </row>
    <row r="234" spans="1:28" ht="12.75">
      <c r="A234" s="6">
        <v>32</v>
      </c>
      <c r="AB234" s="2" t="s">
        <v>101</v>
      </c>
    </row>
    <row r="235" spans="1:28" ht="12.75">
      <c r="A235" s="6">
        <v>33</v>
      </c>
      <c r="AB235" s="2" t="s">
        <v>101</v>
      </c>
    </row>
    <row r="236" spans="1:28" ht="12.75">
      <c r="A236" s="6">
        <v>34</v>
      </c>
      <c r="AB236" s="2" t="s">
        <v>101</v>
      </c>
    </row>
    <row r="237" spans="1:28" ht="12.75">
      <c r="A237" s="6">
        <v>35</v>
      </c>
      <c r="AB237" s="2" t="s">
        <v>101</v>
      </c>
    </row>
    <row r="238" spans="1:28" ht="12.75">
      <c r="A238" s="6">
        <v>36</v>
      </c>
      <c r="AB238" s="2" t="s">
        <v>101</v>
      </c>
    </row>
    <row r="239" spans="1:28" ht="12.75">
      <c r="A239" s="6">
        <v>37</v>
      </c>
      <c r="AB239" s="2" t="s">
        <v>101</v>
      </c>
    </row>
    <row r="240" spans="1:28" ht="12.75">
      <c r="A240" s="6">
        <v>38</v>
      </c>
      <c r="AB240" s="2" t="s">
        <v>101</v>
      </c>
    </row>
    <row r="241" spans="1:28" ht="12.75">
      <c r="A241" s="6">
        <v>39</v>
      </c>
      <c r="AB241" s="2" t="s">
        <v>101</v>
      </c>
    </row>
    <row r="242" spans="1:28" ht="12.75">
      <c r="A242" s="6">
        <v>40</v>
      </c>
      <c r="AB242" s="2" t="s">
        <v>101</v>
      </c>
    </row>
    <row r="243" spans="1:28" ht="12.75">
      <c r="A243" s="6">
        <v>41</v>
      </c>
      <c r="AB243" s="2" t="s">
        <v>101</v>
      </c>
    </row>
    <row r="244" spans="1:28" ht="12.75">
      <c r="A244" s="6">
        <v>42</v>
      </c>
      <c r="AB244" s="2" t="s">
        <v>101</v>
      </c>
    </row>
    <row r="245" spans="1:55" ht="12.75">
      <c r="A245" s="5"/>
      <c r="B245" s="5"/>
      <c r="C245" s="19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28" ht="12.75">
      <c r="A246" s="4" t="s">
        <v>2</v>
      </c>
      <c r="AB246" s="2" t="s">
        <v>101</v>
      </c>
    </row>
    <row r="247" spans="1:28" ht="12.75">
      <c r="A247" s="4" t="s">
        <v>124</v>
      </c>
      <c r="AB247" s="2" t="s">
        <v>101</v>
      </c>
    </row>
    <row r="248" spans="3:28" ht="12.75">
      <c r="C248" s="19"/>
      <c r="AB248" s="2" t="s">
        <v>101</v>
      </c>
    </row>
    <row r="249" spans="1:28" ht="12.75">
      <c r="A249" s="109"/>
      <c r="B249" s="109" t="s">
        <v>63</v>
      </c>
      <c r="C249" s="109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2" t="s">
        <v>101</v>
      </c>
    </row>
    <row r="250" spans="1:28" ht="12.75">
      <c r="A250" s="6" t="s">
        <v>15</v>
      </c>
      <c r="B250" s="6" t="s">
        <v>107</v>
      </c>
      <c r="D250" s="21" t="s">
        <v>108</v>
      </c>
      <c r="E250" s="21" t="s">
        <v>108</v>
      </c>
      <c r="F250" s="21" t="s">
        <v>108</v>
      </c>
      <c r="G250" s="21" t="s">
        <v>108</v>
      </c>
      <c r="H250" s="21" t="s">
        <v>108</v>
      </c>
      <c r="I250" s="21" t="s">
        <v>108</v>
      </c>
      <c r="J250" s="21" t="s">
        <v>108</v>
      </c>
      <c r="K250" s="21" t="s">
        <v>108</v>
      </c>
      <c r="L250" s="21" t="s">
        <v>108</v>
      </c>
      <c r="M250" s="21" t="s">
        <v>108</v>
      </c>
      <c r="N250" s="21" t="s">
        <v>108</v>
      </c>
      <c r="O250" s="21" t="s">
        <v>108</v>
      </c>
      <c r="P250" s="21" t="s">
        <v>108</v>
      </c>
      <c r="Q250" s="21" t="s">
        <v>108</v>
      </c>
      <c r="R250" s="21" t="s">
        <v>108</v>
      </c>
      <c r="S250" s="21" t="s">
        <v>108</v>
      </c>
      <c r="T250" s="21" t="s">
        <v>108</v>
      </c>
      <c r="U250" s="21" t="s">
        <v>108</v>
      </c>
      <c r="V250" s="21" t="s">
        <v>108</v>
      </c>
      <c r="W250" s="21" t="s">
        <v>108</v>
      </c>
      <c r="X250" s="21" t="s">
        <v>108</v>
      </c>
      <c r="Y250" s="21" t="s">
        <v>108</v>
      </c>
      <c r="Z250" s="21" t="s">
        <v>108</v>
      </c>
      <c r="AA250" s="21" t="s">
        <v>14</v>
      </c>
      <c r="AB250" s="2" t="s">
        <v>101</v>
      </c>
    </row>
    <row r="251" spans="1:28" ht="12.75">
      <c r="A251" s="110" t="s">
        <v>21</v>
      </c>
      <c r="B251" s="110" t="s">
        <v>54</v>
      </c>
      <c r="C251" s="110"/>
      <c r="D251" s="113">
        <f>D202</f>
        <v>39113</v>
      </c>
      <c r="E251" s="113">
        <f>$E$6</f>
        <v>39141</v>
      </c>
      <c r="F251" s="113">
        <f>$F$6</f>
        <v>39172</v>
      </c>
      <c r="G251" s="113">
        <f>$G$6</f>
        <v>39202</v>
      </c>
      <c r="H251" s="113">
        <f>$H$6</f>
        <v>39233</v>
      </c>
      <c r="I251" s="113">
        <f>$I$6</f>
        <v>39263</v>
      </c>
      <c r="J251" s="113">
        <f>$J$6</f>
        <v>39294</v>
      </c>
      <c r="K251" s="113">
        <f>$K$6</f>
        <v>39325</v>
      </c>
      <c r="L251" s="113">
        <f>$L$6</f>
        <v>39355</v>
      </c>
      <c r="M251" s="113">
        <f>$M$6</f>
        <v>39386</v>
      </c>
      <c r="N251" s="113">
        <f>$N$6</f>
        <v>39416</v>
      </c>
      <c r="O251" s="113">
        <f>$O$6</f>
        <v>39447</v>
      </c>
      <c r="P251" s="113">
        <f>$P$6</f>
        <v>39478</v>
      </c>
      <c r="Q251" s="113">
        <f>$Q$6</f>
        <v>39506</v>
      </c>
      <c r="R251" s="113">
        <f>$R$6</f>
        <v>39537</v>
      </c>
      <c r="S251" s="113">
        <f>$S$6</f>
        <v>39567</v>
      </c>
      <c r="T251" s="113">
        <f>$T$6</f>
        <v>39598</v>
      </c>
      <c r="U251" s="113">
        <f>$U$6</f>
        <v>39628</v>
      </c>
      <c r="V251" s="113">
        <f>$V$6</f>
        <v>39659</v>
      </c>
      <c r="W251" s="113">
        <f>$W$6</f>
        <v>39690</v>
      </c>
      <c r="X251" s="113">
        <f>$X$6</f>
        <v>39720</v>
      </c>
      <c r="Y251" s="113">
        <f>$Y$6</f>
        <v>39751</v>
      </c>
      <c r="Z251" s="113">
        <f>$Z$6</f>
        <v>39781</v>
      </c>
      <c r="AA251" s="111" t="s">
        <v>20</v>
      </c>
      <c r="AB251" s="2" t="s">
        <v>101</v>
      </c>
    </row>
    <row r="252" spans="1:28" ht="12.75">
      <c r="A252" s="6">
        <v>1</v>
      </c>
      <c r="B252" s="7"/>
      <c r="C252" s="6"/>
      <c r="D252" s="36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" t="s">
        <v>101</v>
      </c>
    </row>
    <row r="253" spans="1:28" ht="12.75">
      <c r="A253" s="6">
        <v>2</v>
      </c>
      <c r="D253" s="33"/>
      <c r="AB253" s="2" t="s">
        <v>101</v>
      </c>
    </row>
    <row r="254" spans="1:28" ht="12.75">
      <c r="A254" s="6">
        <v>3</v>
      </c>
      <c r="B254" s="7" t="str">
        <f>B207</f>
        <v>Series B, 5 3/4%, $100 Par</v>
      </c>
      <c r="D254" s="25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f>AVERAGE(N254:Z254)</f>
        <v>0</v>
      </c>
      <c r="AB254" s="2" t="s">
        <v>101</v>
      </c>
    </row>
    <row r="255" spans="1:28" ht="12.75">
      <c r="A255" s="6">
        <v>4</v>
      </c>
      <c r="D255" s="25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2" t="s">
        <v>101</v>
      </c>
    </row>
    <row r="256" spans="1:28" ht="12.75">
      <c r="A256" s="6">
        <v>5</v>
      </c>
      <c r="B256" s="7" t="str">
        <f>B209</f>
        <v>Series C, 5 1/2%, $100 Par</v>
      </c>
      <c r="D256" s="25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f>AVERAGE(N256:Z256)</f>
        <v>0</v>
      </c>
      <c r="AB256" s="2" t="s">
        <v>101</v>
      </c>
    </row>
    <row r="257" spans="1:28" ht="12.75">
      <c r="A257" s="6">
        <v>6</v>
      </c>
      <c r="D257" s="25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2" t="s">
        <v>101</v>
      </c>
    </row>
    <row r="258" spans="1:28" ht="12.75">
      <c r="A258" s="6">
        <v>7</v>
      </c>
      <c r="B258" s="7" t="str">
        <f>B211</f>
        <v>Series D, 5%, $100 Par</v>
      </c>
      <c r="D258" s="25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f>AVERAGE(N258:Z258)</f>
        <v>0</v>
      </c>
      <c r="AB258" s="2" t="s">
        <v>101</v>
      </c>
    </row>
    <row r="259" spans="1:28" ht="12.75">
      <c r="A259" s="6">
        <v>8</v>
      </c>
      <c r="D259" s="25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2" t="s">
        <v>101</v>
      </c>
    </row>
    <row r="260" spans="1:28" ht="12.75">
      <c r="A260" s="6">
        <v>9</v>
      </c>
      <c r="B260" s="7"/>
      <c r="D260" s="25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2" t="s">
        <v>101</v>
      </c>
    </row>
    <row r="261" spans="1:28" ht="12.75">
      <c r="A261" s="6">
        <v>10</v>
      </c>
      <c r="D261" s="25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2" t="s">
        <v>101</v>
      </c>
    </row>
    <row r="262" spans="1:28" ht="12.75">
      <c r="A262" s="6">
        <v>11</v>
      </c>
      <c r="B262" s="7" t="str">
        <f>B215</f>
        <v>8.47% Series, $100 Par</v>
      </c>
      <c r="D262" s="25">
        <v>22998</v>
      </c>
      <c r="E262" s="12">
        <f aca="true" t="shared" si="66" ref="E262:Z262">D262-E313</f>
        <v>22934</v>
      </c>
      <c r="F262" s="12">
        <f t="shared" si="66"/>
        <v>22870</v>
      </c>
      <c r="G262" s="12">
        <f t="shared" si="66"/>
        <v>22806</v>
      </c>
      <c r="H262" s="12">
        <f t="shared" si="66"/>
        <v>22742</v>
      </c>
      <c r="I262" s="12">
        <f t="shared" si="66"/>
        <v>22678</v>
      </c>
      <c r="J262" s="12">
        <f t="shared" si="66"/>
        <v>22614</v>
      </c>
      <c r="K262" s="12">
        <f t="shared" si="66"/>
        <v>22550</v>
      </c>
      <c r="L262" s="12">
        <f t="shared" si="66"/>
        <v>22486</v>
      </c>
      <c r="M262" s="12">
        <f t="shared" si="66"/>
        <v>22422</v>
      </c>
      <c r="N262" s="12">
        <f t="shared" si="66"/>
        <v>22358</v>
      </c>
      <c r="O262" s="12">
        <f t="shared" si="66"/>
        <v>22294</v>
      </c>
      <c r="P262" s="12">
        <f t="shared" si="66"/>
        <v>22230</v>
      </c>
      <c r="Q262" s="12">
        <f t="shared" si="66"/>
        <v>22166</v>
      </c>
      <c r="R262" s="12">
        <f t="shared" si="66"/>
        <v>22102</v>
      </c>
      <c r="S262" s="12">
        <f t="shared" si="66"/>
        <v>22038</v>
      </c>
      <c r="T262" s="12">
        <f t="shared" si="66"/>
        <v>21974</v>
      </c>
      <c r="U262" s="12">
        <f t="shared" si="66"/>
        <v>21910</v>
      </c>
      <c r="V262" s="12">
        <f t="shared" si="66"/>
        <v>21846</v>
      </c>
      <c r="W262" s="12">
        <f t="shared" si="66"/>
        <v>21782</v>
      </c>
      <c r="X262" s="12">
        <f t="shared" si="66"/>
        <v>21718</v>
      </c>
      <c r="Y262" s="12">
        <f t="shared" si="66"/>
        <v>21654</v>
      </c>
      <c r="Z262" s="12">
        <f t="shared" si="66"/>
        <v>21590</v>
      </c>
      <c r="AA262" s="12">
        <f>AVERAGE(N262:Z262)</f>
        <v>21974</v>
      </c>
      <c r="AB262" s="2" t="s">
        <v>101</v>
      </c>
    </row>
    <row r="263" spans="1:28" ht="12.75">
      <c r="A263" s="6">
        <v>12</v>
      </c>
      <c r="D263" s="11"/>
      <c r="AB263" s="2" t="s">
        <v>101</v>
      </c>
    </row>
    <row r="264" spans="1:28" ht="12.75">
      <c r="A264" s="6">
        <v>13</v>
      </c>
      <c r="AB264" s="2" t="s">
        <v>101</v>
      </c>
    </row>
    <row r="265" spans="1:28" ht="12.75">
      <c r="A265" s="6">
        <v>14</v>
      </c>
      <c r="AB265" s="2" t="s">
        <v>101</v>
      </c>
    </row>
    <row r="266" spans="1:28" ht="12.75">
      <c r="A266" s="6">
        <v>15</v>
      </c>
      <c r="AB266" s="2" t="s">
        <v>101</v>
      </c>
    </row>
    <row r="267" spans="1:28" ht="12.75">
      <c r="A267" s="6">
        <v>16</v>
      </c>
      <c r="AB267" s="2" t="s">
        <v>101</v>
      </c>
    </row>
    <row r="268" spans="1:28" ht="12.75">
      <c r="A268" s="6">
        <v>17</v>
      </c>
      <c r="AB268" s="2" t="s">
        <v>101</v>
      </c>
    </row>
    <row r="269" spans="1:28" ht="13.5" thickBot="1">
      <c r="A269" s="6">
        <v>18</v>
      </c>
      <c r="B269" s="28" t="s">
        <v>116</v>
      </c>
      <c r="D269" s="37">
        <f aca="true" t="shared" si="67" ref="D269:AA269">SUM(D252:D268)</f>
        <v>22998</v>
      </c>
      <c r="E269" s="37">
        <f t="shared" si="67"/>
        <v>22934</v>
      </c>
      <c r="F269" s="37">
        <f t="shared" si="67"/>
        <v>22870</v>
      </c>
      <c r="G269" s="37">
        <f t="shared" si="67"/>
        <v>22806</v>
      </c>
      <c r="H269" s="37">
        <f t="shared" si="67"/>
        <v>22742</v>
      </c>
      <c r="I269" s="37">
        <f t="shared" si="67"/>
        <v>22678</v>
      </c>
      <c r="J269" s="37">
        <f t="shared" si="67"/>
        <v>22614</v>
      </c>
      <c r="K269" s="37">
        <f t="shared" si="67"/>
        <v>22550</v>
      </c>
      <c r="L269" s="37">
        <f t="shared" si="67"/>
        <v>22486</v>
      </c>
      <c r="M269" s="37">
        <f t="shared" si="67"/>
        <v>22422</v>
      </c>
      <c r="N269" s="37">
        <f t="shared" si="67"/>
        <v>22358</v>
      </c>
      <c r="O269" s="37">
        <f t="shared" si="67"/>
        <v>22294</v>
      </c>
      <c r="P269" s="37">
        <f t="shared" si="67"/>
        <v>22230</v>
      </c>
      <c r="Q269" s="37">
        <f t="shared" si="67"/>
        <v>22166</v>
      </c>
      <c r="R269" s="37">
        <f t="shared" si="67"/>
        <v>22102</v>
      </c>
      <c r="S269" s="37">
        <f t="shared" si="67"/>
        <v>22038</v>
      </c>
      <c r="T269" s="37">
        <f t="shared" si="67"/>
        <v>21974</v>
      </c>
      <c r="U269" s="37">
        <f t="shared" si="67"/>
        <v>21910</v>
      </c>
      <c r="V269" s="37">
        <f t="shared" si="67"/>
        <v>21846</v>
      </c>
      <c r="W269" s="37">
        <f t="shared" si="67"/>
        <v>21782</v>
      </c>
      <c r="X269" s="37">
        <f t="shared" si="67"/>
        <v>21718</v>
      </c>
      <c r="Y269" s="37">
        <f t="shared" si="67"/>
        <v>21654</v>
      </c>
      <c r="Z269" s="37">
        <f t="shared" si="67"/>
        <v>21590</v>
      </c>
      <c r="AA269" s="37">
        <f t="shared" si="67"/>
        <v>21974</v>
      </c>
      <c r="AB269" s="2" t="s">
        <v>101</v>
      </c>
    </row>
    <row r="270" spans="1:28" ht="13.5" thickTop="1">
      <c r="A270" s="6">
        <v>19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2" t="s">
        <v>101</v>
      </c>
    </row>
    <row r="271" spans="1:28" ht="12.75">
      <c r="A271" s="6">
        <v>20</v>
      </c>
      <c r="AB271" s="2" t="s">
        <v>101</v>
      </c>
    </row>
    <row r="272" spans="1:28" ht="12.75">
      <c r="A272" s="6">
        <v>21</v>
      </c>
      <c r="AB272" s="2" t="s">
        <v>101</v>
      </c>
    </row>
    <row r="273" spans="1:28" ht="12.75">
      <c r="A273" s="6">
        <v>22</v>
      </c>
      <c r="AB273" s="2" t="s">
        <v>101</v>
      </c>
    </row>
    <row r="274" spans="1:28" ht="12.75">
      <c r="A274" s="6">
        <v>23</v>
      </c>
      <c r="AB274" s="2" t="s">
        <v>101</v>
      </c>
    </row>
    <row r="275" spans="1:28" ht="12.75">
      <c r="A275" s="6">
        <v>24</v>
      </c>
      <c r="AB275" s="2" t="s">
        <v>101</v>
      </c>
    </row>
    <row r="276" spans="1:28" ht="12.75">
      <c r="A276" s="6">
        <v>25</v>
      </c>
      <c r="AB276" s="2" t="s">
        <v>101</v>
      </c>
    </row>
    <row r="277" spans="1:28" ht="12.75">
      <c r="A277" s="6">
        <v>26</v>
      </c>
      <c r="AB277" s="2" t="s">
        <v>101</v>
      </c>
    </row>
    <row r="278" spans="1:28" ht="12.75">
      <c r="A278" s="6">
        <v>27</v>
      </c>
      <c r="AB278" s="2" t="s">
        <v>101</v>
      </c>
    </row>
    <row r="279" spans="1:28" ht="12.75">
      <c r="A279" s="6">
        <v>28</v>
      </c>
      <c r="AB279" s="2" t="s">
        <v>101</v>
      </c>
    </row>
    <row r="280" spans="1:28" ht="12.75">
      <c r="A280" s="6">
        <v>29</v>
      </c>
      <c r="AB280" s="2" t="s">
        <v>101</v>
      </c>
    </row>
    <row r="281" spans="1:28" ht="12.75">
      <c r="A281" s="6">
        <v>30</v>
      </c>
      <c r="AB281" s="2" t="s">
        <v>101</v>
      </c>
    </row>
    <row r="282" spans="1:28" ht="12.75">
      <c r="A282" s="6">
        <v>31</v>
      </c>
      <c r="AB282" s="2" t="s">
        <v>101</v>
      </c>
    </row>
    <row r="283" spans="1:28" ht="12.75">
      <c r="A283" s="6">
        <v>32</v>
      </c>
      <c r="AB283" s="2" t="s">
        <v>101</v>
      </c>
    </row>
    <row r="284" spans="1:28" ht="12.75">
      <c r="A284" s="6">
        <v>33</v>
      </c>
      <c r="AB284" s="2" t="s">
        <v>101</v>
      </c>
    </row>
    <row r="285" spans="1:28" ht="12.75">
      <c r="A285" s="6">
        <v>34</v>
      </c>
      <c r="AB285" s="2" t="s">
        <v>101</v>
      </c>
    </row>
    <row r="286" spans="1:28" ht="12.75">
      <c r="A286" s="6">
        <v>35</v>
      </c>
      <c r="AB286" s="2" t="s">
        <v>101</v>
      </c>
    </row>
    <row r="287" spans="1:28" ht="12.75">
      <c r="A287" s="6">
        <v>36</v>
      </c>
      <c r="AB287" s="2" t="s">
        <v>101</v>
      </c>
    </row>
    <row r="288" spans="1:28" ht="12.75">
      <c r="A288" s="6">
        <v>37</v>
      </c>
      <c r="AB288" s="2" t="s">
        <v>101</v>
      </c>
    </row>
    <row r="289" spans="1:28" ht="12.75">
      <c r="A289" s="6">
        <v>38</v>
      </c>
      <c r="AB289" s="2" t="s">
        <v>101</v>
      </c>
    </row>
    <row r="290" spans="1:28" ht="12.75">
      <c r="A290" s="6">
        <v>39</v>
      </c>
      <c r="AB290" s="2" t="s">
        <v>101</v>
      </c>
    </row>
    <row r="291" spans="1:28" ht="12.75">
      <c r="A291" s="6">
        <v>40</v>
      </c>
      <c r="AB291" s="2" t="s">
        <v>101</v>
      </c>
    </row>
    <row r="292" spans="1:28" ht="12.75">
      <c r="A292" s="6">
        <v>41</v>
      </c>
      <c r="AB292" s="2" t="s">
        <v>101</v>
      </c>
    </row>
    <row r="293" spans="1:28" ht="12.75">
      <c r="A293" s="6">
        <v>42</v>
      </c>
      <c r="AB293" s="2" t="s">
        <v>101</v>
      </c>
    </row>
    <row r="294" spans="1:55" ht="12.75">
      <c r="A294" s="1"/>
      <c r="B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28" ht="12.75">
      <c r="A295" s="4" t="s">
        <v>2</v>
      </c>
      <c r="AB295" s="2" t="s">
        <v>101</v>
      </c>
    </row>
    <row r="296" spans="1:28" ht="12.75">
      <c r="A296" s="4" t="s">
        <v>125</v>
      </c>
      <c r="AB296" s="2" t="s">
        <v>101</v>
      </c>
    </row>
    <row r="297" ht="12.75">
      <c r="AB297" s="2" t="s">
        <v>101</v>
      </c>
    </row>
    <row r="298" spans="1:28" ht="12.75">
      <c r="A298" s="109"/>
      <c r="B298" s="109" t="s">
        <v>63</v>
      </c>
      <c r="C298" s="109"/>
      <c r="D298" s="112"/>
      <c r="E298" s="112"/>
      <c r="F298" s="112"/>
      <c r="G298" s="112"/>
      <c r="H298" s="112"/>
      <c r="I298" s="112"/>
      <c r="J298" s="112"/>
      <c r="K298" s="112"/>
      <c r="L298" s="112"/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  <c r="Y298" s="112"/>
      <c r="Z298" s="112"/>
      <c r="AA298" s="112"/>
      <c r="AB298" s="2" t="s">
        <v>101</v>
      </c>
    </row>
    <row r="299" spans="1:28" ht="12.75">
      <c r="A299" s="6" t="s">
        <v>15</v>
      </c>
      <c r="B299" s="6" t="s">
        <v>107</v>
      </c>
      <c r="D299" s="6" t="s">
        <v>120</v>
      </c>
      <c r="E299" s="6" t="s">
        <v>120</v>
      </c>
      <c r="F299" s="6" t="s">
        <v>120</v>
      </c>
      <c r="G299" s="6" t="s">
        <v>120</v>
      </c>
      <c r="H299" s="6" t="s">
        <v>120</v>
      </c>
      <c r="I299" s="6" t="s">
        <v>120</v>
      </c>
      <c r="J299" s="6" t="s">
        <v>120</v>
      </c>
      <c r="K299" s="6" t="s">
        <v>120</v>
      </c>
      <c r="L299" s="6" t="s">
        <v>120</v>
      </c>
      <c r="M299" s="6" t="s">
        <v>120</v>
      </c>
      <c r="N299" s="6" t="s">
        <v>120</v>
      </c>
      <c r="O299" s="6" t="s">
        <v>120</v>
      </c>
      <c r="P299" s="6" t="s">
        <v>120</v>
      </c>
      <c r="Q299" s="6" t="s">
        <v>120</v>
      </c>
      <c r="R299" s="6" t="s">
        <v>120</v>
      </c>
      <c r="S299" s="6" t="s">
        <v>120</v>
      </c>
      <c r="T299" s="6" t="s">
        <v>120</v>
      </c>
      <c r="U299" s="6" t="s">
        <v>120</v>
      </c>
      <c r="V299" s="6" t="s">
        <v>120</v>
      </c>
      <c r="W299" s="6" t="s">
        <v>120</v>
      </c>
      <c r="X299" s="6" t="s">
        <v>120</v>
      </c>
      <c r="Y299" s="6" t="s">
        <v>120</v>
      </c>
      <c r="Z299" s="6" t="s">
        <v>120</v>
      </c>
      <c r="AA299" s="6" t="s">
        <v>121</v>
      </c>
      <c r="AB299" s="2" t="s">
        <v>101</v>
      </c>
    </row>
    <row r="300" spans="1:28" ht="12.75">
      <c r="A300" s="110" t="s">
        <v>21</v>
      </c>
      <c r="B300" s="110" t="s">
        <v>54</v>
      </c>
      <c r="C300" s="110"/>
      <c r="D300" s="113">
        <f>$D$6</f>
        <v>39113</v>
      </c>
      <c r="E300" s="113">
        <f>$E$6</f>
        <v>39141</v>
      </c>
      <c r="F300" s="113">
        <f>$F$6</f>
        <v>39172</v>
      </c>
      <c r="G300" s="113">
        <f>$G$6</f>
        <v>39202</v>
      </c>
      <c r="H300" s="113">
        <f>$H$6</f>
        <v>39233</v>
      </c>
      <c r="I300" s="113">
        <f>$I$6</f>
        <v>39263</v>
      </c>
      <c r="J300" s="113">
        <f>$J$6</f>
        <v>39294</v>
      </c>
      <c r="K300" s="113">
        <f>$K$6</f>
        <v>39325</v>
      </c>
      <c r="L300" s="113">
        <f>$L$6</f>
        <v>39355</v>
      </c>
      <c r="M300" s="113">
        <f>$M$6</f>
        <v>39386</v>
      </c>
      <c r="N300" s="113">
        <f>$N$6</f>
        <v>39416</v>
      </c>
      <c r="O300" s="113">
        <f>$O$6</f>
        <v>39447</v>
      </c>
      <c r="P300" s="113">
        <f>$P$6</f>
        <v>39478</v>
      </c>
      <c r="Q300" s="113">
        <f>$Q$6</f>
        <v>39506</v>
      </c>
      <c r="R300" s="113">
        <f>$R$6</f>
        <v>39537</v>
      </c>
      <c r="S300" s="113">
        <f>$S$6</f>
        <v>39567</v>
      </c>
      <c r="T300" s="113">
        <f>$T$6</f>
        <v>39598</v>
      </c>
      <c r="U300" s="113">
        <f>$U$6</f>
        <v>39628</v>
      </c>
      <c r="V300" s="113">
        <f>$V$6</f>
        <v>39659</v>
      </c>
      <c r="W300" s="113">
        <f>$W$6</f>
        <v>39690</v>
      </c>
      <c r="X300" s="113">
        <f>$X$6</f>
        <v>39720</v>
      </c>
      <c r="Y300" s="113">
        <f>$Y$6</f>
        <v>39751</v>
      </c>
      <c r="Z300" s="113">
        <f>$Z$6</f>
        <v>39781</v>
      </c>
      <c r="AA300" s="111" t="s">
        <v>99</v>
      </c>
      <c r="AB300" s="2" t="s">
        <v>101</v>
      </c>
    </row>
    <row r="301" spans="1:28" ht="12.75">
      <c r="A301" s="6">
        <v>1</v>
      </c>
      <c r="B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2" t="s">
        <v>101</v>
      </c>
    </row>
    <row r="302" spans="1:28" ht="12.75">
      <c r="A302" s="6">
        <v>2</v>
      </c>
      <c r="AB302" s="2" t="s">
        <v>101</v>
      </c>
    </row>
    <row r="303" spans="1:28" ht="12.75">
      <c r="A303" s="6">
        <v>3</v>
      </c>
      <c r="B303" s="7"/>
      <c r="D303" s="24"/>
      <c r="E303" s="8"/>
      <c r="F303" s="8"/>
      <c r="G303" s="8"/>
      <c r="H303" s="8"/>
      <c r="I303" s="8"/>
      <c r="J303" s="24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2" t="s">
        <v>101</v>
      </c>
    </row>
    <row r="304" spans="1:28" ht="12.75">
      <c r="A304" s="6">
        <v>4</v>
      </c>
      <c r="D304" s="33"/>
      <c r="P304" s="5"/>
      <c r="AA304" s="20"/>
      <c r="AB304" s="2" t="s">
        <v>101</v>
      </c>
    </row>
    <row r="305" spans="1:28" ht="12.75">
      <c r="A305" s="6">
        <v>5</v>
      </c>
      <c r="B305" s="7" t="str">
        <f>B207</f>
        <v>Series B, 5 3/4%, $100 Par</v>
      </c>
      <c r="D305" s="25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f>SUM(O305:Z305)</f>
        <v>0</v>
      </c>
      <c r="AB305" s="2" t="s">
        <v>101</v>
      </c>
    </row>
    <row r="306" spans="1:28" ht="12.75">
      <c r="A306" s="6">
        <v>6</v>
      </c>
      <c r="D306" s="25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2" t="s">
        <v>101</v>
      </c>
    </row>
    <row r="307" spans="1:28" ht="12.75">
      <c r="A307" s="6">
        <v>7</v>
      </c>
      <c r="B307" s="7" t="str">
        <f>B209</f>
        <v>Series C, 5 1/2%, $100 Par</v>
      </c>
      <c r="D307" s="25">
        <v>0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f>SUM(O307:Z307)</f>
        <v>0</v>
      </c>
      <c r="AB307" s="2" t="s">
        <v>101</v>
      </c>
    </row>
    <row r="308" spans="1:28" ht="12.75">
      <c r="A308" s="6">
        <v>8</v>
      </c>
      <c r="D308" s="25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2" t="s">
        <v>101</v>
      </c>
    </row>
    <row r="309" spans="1:28" ht="12.75">
      <c r="A309" s="6">
        <v>9</v>
      </c>
      <c r="B309" s="7" t="str">
        <f>B211</f>
        <v>Series D, 5%, $100 Par</v>
      </c>
      <c r="D309" s="25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f>SUM(O309:Z309)</f>
        <v>0</v>
      </c>
      <c r="AB309" s="2" t="s">
        <v>101</v>
      </c>
    </row>
    <row r="310" spans="1:28" ht="12.75">
      <c r="A310" s="6">
        <v>10</v>
      </c>
      <c r="D310" s="25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2" t="s">
        <v>101</v>
      </c>
    </row>
    <row r="311" spans="1:28" ht="12.75">
      <c r="A311" s="6">
        <v>11</v>
      </c>
      <c r="B311" s="7"/>
      <c r="D311" s="25"/>
      <c r="E311" s="12"/>
      <c r="F311" s="12"/>
      <c r="G311" s="12"/>
      <c r="H311" s="12"/>
      <c r="I311" s="12"/>
      <c r="J311" s="25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25"/>
      <c r="W311" s="12"/>
      <c r="X311" s="12"/>
      <c r="Y311" s="12"/>
      <c r="Z311" s="12"/>
      <c r="AA311" s="12"/>
      <c r="AB311" s="2" t="s">
        <v>101</v>
      </c>
    </row>
    <row r="312" spans="1:28" ht="12.75">
      <c r="A312" s="6">
        <v>12</v>
      </c>
      <c r="D312" s="25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2" t="s">
        <v>101</v>
      </c>
    </row>
    <row r="313" spans="1:28" ht="12.75">
      <c r="A313" s="6">
        <v>13</v>
      </c>
      <c r="B313" s="7" t="str">
        <f>B215</f>
        <v>8.47% Series, $100 Par</v>
      </c>
      <c r="D313" s="25">
        <v>64</v>
      </c>
      <c r="E313" s="12">
        <f aca="true" t="shared" si="68" ref="E313:Z313">D313</f>
        <v>64</v>
      </c>
      <c r="F313" s="12">
        <f t="shared" si="68"/>
        <v>64</v>
      </c>
      <c r="G313" s="12">
        <f t="shared" si="68"/>
        <v>64</v>
      </c>
      <c r="H313" s="12">
        <f t="shared" si="68"/>
        <v>64</v>
      </c>
      <c r="I313" s="12">
        <f t="shared" si="68"/>
        <v>64</v>
      </c>
      <c r="J313" s="12">
        <f t="shared" si="68"/>
        <v>64</v>
      </c>
      <c r="K313" s="12">
        <f t="shared" si="68"/>
        <v>64</v>
      </c>
      <c r="L313" s="12">
        <f t="shared" si="68"/>
        <v>64</v>
      </c>
      <c r="M313" s="12">
        <f t="shared" si="68"/>
        <v>64</v>
      </c>
      <c r="N313" s="12">
        <f t="shared" si="68"/>
        <v>64</v>
      </c>
      <c r="O313" s="12">
        <f t="shared" si="68"/>
        <v>64</v>
      </c>
      <c r="P313" s="12">
        <f t="shared" si="68"/>
        <v>64</v>
      </c>
      <c r="Q313" s="12">
        <f t="shared" si="68"/>
        <v>64</v>
      </c>
      <c r="R313" s="12">
        <f t="shared" si="68"/>
        <v>64</v>
      </c>
      <c r="S313" s="12">
        <f t="shared" si="68"/>
        <v>64</v>
      </c>
      <c r="T313" s="12">
        <f t="shared" si="68"/>
        <v>64</v>
      </c>
      <c r="U313" s="12">
        <f t="shared" si="68"/>
        <v>64</v>
      </c>
      <c r="V313" s="12">
        <f t="shared" si="68"/>
        <v>64</v>
      </c>
      <c r="W313" s="12">
        <f t="shared" si="68"/>
        <v>64</v>
      </c>
      <c r="X313" s="12">
        <f t="shared" si="68"/>
        <v>64</v>
      </c>
      <c r="Y313" s="12">
        <f t="shared" si="68"/>
        <v>64</v>
      </c>
      <c r="Z313" s="12">
        <f t="shared" si="68"/>
        <v>64</v>
      </c>
      <c r="AA313" s="12">
        <f>SUM(O313:Z313)</f>
        <v>768</v>
      </c>
      <c r="AB313" s="2" t="s">
        <v>101</v>
      </c>
    </row>
    <row r="314" spans="1:28" ht="12.75">
      <c r="A314" s="6">
        <v>14</v>
      </c>
      <c r="P314" s="5"/>
      <c r="AA314" s="5"/>
      <c r="AB314" s="2" t="s">
        <v>101</v>
      </c>
    </row>
    <row r="315" spans="1:28" ht="12.75">
      <c r="A315" s="6">
        <v>15</v>
      </c>
      <c r="P315" s="5"/>
      <c r="AA315" s="5"/>
      <c r="AB315" s="2" t="s">
        <v>101</v>
      </c>
    </row>
    <row r="316" spans="1:28" ht="12.75">
      <c r="A316" s="6">
        <v>16</v>
      </c>
      <c r="P316" s="5"/>
      <c r="AA316" s="5"/>
      <c r="AB316" s="2" t="s">
        <v>101</v>
      </c>
    </row>
    <row r="317" spans="1:28" ht="12.75">
      <c r="A317" s="6">
        <v>17</v>
      </c>
      <c r="AB317" s="2" t="s">
        <v>101</v>
      </c>
    </row>
    <row r="318" spans="1:28" ht="13.5" thickBot="1">
      <c r="A318" s="6">
        <v>18</v>
      </c>
      <c r="B318" s="28" t="s">
        <v>116</v>
      </c>
      <c r="D318" s="37">
        <f aca="true" t="shared" si="69" ref="D318:AA318">SUM(D303:D317)</f>
        <v>64</v>
      </c>
      <c r="E318" s="37">
        <f t="shared" si="69"/>
        <v>64</v>
      </c>
      <c r="F318" s="37">
        <f t="shared" si="69"/>
        <v>64</v>
      </c>
      <c r="G318" s="37">
        <f t="shared" si="69"/>
        <v>64</v>
      </c>
      <c r="H318" s="37">
        <f t="shared" si="69"/>
        <v>64</v>
      </c>
      <c r="I318" s="37">
        <f t="shared" si="69"/>
        <v>64</v>
      </c>
      <c r="J318" s="37">
        <f t="shared" si="69"/>
        <v>64</v>
      </c>
      <c r="K318" s="37">
        <f t="shared" si="69"/>
        <v>64</v>
      </c>
      <c r="L318" s="37">
        <f t="shared" si="69"/>
        <v>64</v>
      </c>
      <c r="M318" s="37">
        <f t="shared" si="69"/>
        <v>64</v>
      </c>
      <c r="N318" s="37">
        <f t="shared" si="69"/>
        <v>64</v>
      </c>
      <c r="O318" s="37">
        <f t="shared" si="69"/>
        <v>64</v>
      </c>
      <c r="P318" s="37">
        <f t="shared" si="69"/>
        <v>64</v>
      </c>
      <c r="Q318" s="37">
        <f t="shared" si="69"/>
        <v>64</v>
      </c>
      <c r="R318" s="37">
        <f t="shared" si="69"/>
        <v>64</v>
      </c>
      <c r="S318" s="37">
        <f t="shared" si="69"/>
        <v>64</v>
      </c>
      <c r="T318" s="37">
        <f t="shared" si="69"/>
        <v>64</v>
      </c>
      <c r="U318" s="37">
        <f t="shared" si="69"/>
        <v>64</v>
      </c>
      <c r="V318" s="37">
        <f t="shared" si="69"/>
        <v>64</v>
      </c>
      <c r="W318" s="37">
        <f t="shared" si="69"/>
        <v>64</v>
      </c>
      <c r="X318" s="37">
        <f t="shared" si="69"/>
        <v>64</v>
      </c>
      <c r="Y318" s="37">
        <f t="shared" si="69"/>
        <v>64</v>
      </c>
      <c r="Z318" s="37">
        <f t="shared" si="69"/>
        <v>64</v>
      </c>
      <c r="AA318" s="37">
        <f t="shared" si="69"/>
        <v>768</v>
      </c>
      <c r="AB318" s="2" t="s">
        <v>101</v>
      </c>
    </row>
    <row r="319" spans="1:28" ht="13.5" thickTop="1">
      <c r="A319" s="6">
        <v>19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2" t="s">
        <v>101</v>
      </c>
    </row>
    <row r="320" spans="1:28" ht="12.75">
      <c r="A320" s="6">
        <v>20</v>
      </c>
      <c r="AB320" s="2" t="s">
        <v>101</v>
      </c>
    </row>
    <row r="321" spans="1:28" ht="12.75">
      <c r="A321" s="6">
        <v>21</v>
      </c>
      <c r="AB321" s="2" t="s">
        <v>101</v>
      </c>
    </row>
    <row r="322" spans="1:28" ht="12.75">
      <c r="A322" s="6">
        <v>22</v>
      </c>
      <c r="AB322" s="2" t="s">
        <v>101</v>
      </c>
    </row>
    <row r="323" spans="1:28" ht="12.75">
      <c r="A323" s="6">
        <v>23</v>
      </c>
      <c r="AB323" s="2" t="s">
        <v>101</v>
      </c>
    </row>
    <row r="324" spans="1:28" ht="12.75">
      <c r="A324" s="6">
        <v>24</v>
      </c>
      <c r="AB324" s="2" t="s">
        <v>101</v>
      </c>
    </row>
    <row r="325" spans="1:28" ht="12.75">
      <c r="A325" s="6">
        <v>25</v>
      </c>
      <c r="AB325" s="2" t="s">
        <v>101</v>
      </c>
    </row>
    <row r="326" spans="1:28" ht="12.75">
      <c r="A326" s="6">
        <v>26</v>
      </c>
      <c r="AB326" s="2" t="s">
        <v>101</v>
      </c>
    </row>
    <row r="327" spans="1:28" ht="12.75">
      <c r="A327" s="6">
        <v>27</v>
      </c>
      <c r="AB327" s="2" t="s">
        <v>101</v>
      </c>
    </row>
    <row r="328" spans="1:28" ht="12.75">
      <c r="A328" s="6">
        <v>28</v>
      </c>
      <c r="AB328" s="2" t="s">
        <v>101</v>
      </c>
    </row>
    <row r="329" spans="1:28" ht="12.75">
      <c r="A329" s="6">
        <v>29</v>
      </c>
      <c r="AB329" s="2" t="s">
        <v>101</v>
      </c>
    </row>
    <row r="330" spans="1:28" ht="12.75">
      <c r="A330" s="6">
        <v>30</v>
      </c>
      <c r="AB330" s="2" t="s">
        <v>101</v>
      </c>
    </row>
    <row r="331" spans="1:28" ht="12.75">
      <c r="A331" s="6">
        <v>31</v>
      </c>
      <c r="AB331" s="2" t="s">
        <v>101</v>
      </c>
    </row>
    <row r="332" spans="1:28" ht="12.75">
      <c r="A332" s="6">
        <v>32</v>
      </c>
      <c r="AB332" s="2" t="s">
        <v>101</v>
      </c>
    </row>
    <row r="333" spans="1:28" ht="12.75">
      <c r="A333" s="6">
        <v>33</v>
      </c>
      <c r="AB333" s="2" t="s">
        <v>101</v>
      </c>
    </row>
    <row r="334" spans="1:28" ht="12.75">
      <c r="A334" s="6">
        <v>34</v>
      </c>
      <c r="AB334" s="2" t="s">
        <v>101</v>
      </c>
    </row>
    <row r="335" spans="1:28" ht="12.75">
      <c r="A335" s="6">
        <v>35</v>
      </c>
      <c r="AB335" s="2" t="s">
        <v>101</v>
      </c>
    </row>
    <row r="336" spans="1:28" ht="12.75">
      <c r="A336" s="6">
        <v>36</v>
      </c>
      <c r="AB336" s="2" t="s">
        <v>101</v>
      </c>
    </row>
    <row r="337" spans="1:28" ht="12.75">
      <c r="A337" s="6">
        <v>37</v>
      </c>
      <c r="AB337" s="2" t="s">
        <v>101</v>
      </c>
    </row>
    <row r="338" spans="1:28" ht="12.75">
      <c r="A338" s="6">
        <v>38</v>
      </c>
      <c r="AB338" s="2" t="s">
        <v>101</v>
      </c>
    </row>
    <row r="339" spans="1:28" ht="12.75">
      <c r="A339" s="6">
        <v>39</v>
      </c>
      <c r="AB339" s="2" t="s">
        <v>101</v>
      </c>
    </row>
    <row r="340" spans="1:28" ht="12.75">
      <c r="A340" s="6">
        <v>40</v>
      </c>
      <c r="AB340" s="2" t="s">
        <v>101</v>
      </c>
    </row>
    <row r="341" spans="1:28" ht="12.75">
      <c r="A341" s="6">
        <v>41</v>
      </c>
      <c r="AB341" s="2" t="s">
        <v>101</v>
      </c>
    </row>
    <row r="342" spans="1:28" ht="12.75">
      <c r="A342" s="6">
        <v>42</v>
      </c>
      <c r="AB342" s="2" t="s">
        <v>101</v>
      </c>
    </row>
    <row r="343" spans="1:55" ht="12.75">
      <c r="A343" s="1"/>
      <c r="B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28" ht="12.75">
      <c r="A344" s="4" t="s">
        <v>2</v>
      </c>
      <c r="AB344" s="2" t="s">
        <v>101</v>
      </c>
    </row>
    <row r="345" spans="1:28" ht="12.75">
      <c r="A345" s="4" t="s">
        <v>126</v>
      </c>
      <c r="AB345" s="2" t="s">
        <v>101</v>
      </c>
    </row>
    <row r="346" ht="12.75">
      <c r="AB346" s="2" t="s">
        <v>101</v>
      </c>
    </row>
    <row r="347" spans="1:28" ht="12.75">
      <c r="A347" s="109"/>
      <c r="B347" s="109" t="s">
        <v>63</v>
      </c>
      <c r="C347" s="109"/>
      <c r="D347" s="112"/>
      <c r="E347" s="112"/>
      <c r="F347" s="112"/>
      <c r="G347" s="112"/>
      <c r="H347" s="112"/>
      <c r="I347" s="112"/>
      <c r="J347" s="112"/>
      <c r="K347" s="112"/>
      <c r="L347" s="112"/>
      <c r="M347" s="112"/>
      <c r="N347" s="112"/>
      <c r="O347" s="112"/>
      <c r="P347" s="112"/>
      <c r="Q347" s="112"/>
      <c r="R347" s="112"/>
      <c r="S347" s="112"/>
      <c r="T347" s="112"/>
      <c r="U347" s="112"/>
      <c r="V347" s="112"/>
      <c r="W347" s="112"/>
      <c r="X347" s="112"/>
      <c r="Y347" s="112"/>
      <c r="Z347" s="112"/>
      <c r="AA347" s="112"/>
      <c r="AB347" s="2" t="s">
        <v>101</v>
      </c>
    </row>
    <row r="348" spans="1:28" ht="12.75">
      <c r="A348" s="6" t="s">
        <v>15</v>
      </c>
      <c r="B348" s="6" t="s">
        <v>107</v>
      </c>
      <c r="D348" s="6" t="s">
        <v>120</v>
      </c>
      <c r="E348" s="6" t="s">
        <v>120</v>
      </c>
      <c r="F348" s="6" t="s">
        <v>120</v>
      </c>
      <c r="G348" s="6" t="s">
        <v>120</v>
      </c>
      <c r="H348" s="6" t="s">
        <v>120</v>
      </c>
      <c r="I348" s="6" t="s">
        <v>120</v>
      </c>
      <c r="J348" s="6" t="s">
        <v>120</v>
      </c>
      <c r="K348" s="6" t="s">
        <v>120</v>
      </c>
      <c r="L348" s="6" t="s">
        <v>120</v>
      </c>
      <c r="M348" s="6" t="s">
        <v>120</v>
      </c>
      <c r="N348" s="6" t="s">
        <v>120</v>
      </c>
      <c r="O348" s="6" t="s">
        <v>120</v>
      </c>
      <c r="P348" s="6" t="s">
        <v>120</v>
      </c>
      <c r="Q348" s="6" t="s">
        <v>120</v>
      </c>
      <c r="R348" s="6" t="s">
        <v>120</v>
      </c>
      <c r="S348" s="6" t="s">
        <v>120</v>
      </c>
      <c r="T348" s="6" t="s">
        <v>120</v>
      </c>
      <c r="U348" s="6" t="s">
        <v>120</v>
      </c>
      <c r="V348" s="6" t="s">
        <v>120</v>
      </c>
      <c r="W348" s="6" t="s">
        <v>120</v>
      </c>
      <c r="X348" s="6" t="s">
        <v>120</v>
      </c>
      <c r="Y348" s="6" t="s">
        <v>120</v>
      </c>
      <c r="Z348" s="6" t="s">
        <v>120</v>
      </c>
      <c r="AA348" s="6" t="s">
        <v>14</v>
      </c>
      <c r="AB348" s="2" t="s">
        <v>101</v>
      </c>
    </row>
    <row r="349" spans="1:28" ht="12.75">
      <c r="A349" s="110" t="s">
        <v>21</v>
      </c>
      <c r="B349" s="110" t="s">
        <v>54</v>
      </c>
      <c r="C349" s="110"/>
      <c r="D349" s="113">
        <f>$D$6</f>
        <v>39113</v>
      </c>
      <c r="E349" s="113">
        <f>$E$6</f>
        <v>39141</v>
      </c>
      <c r="F349" s="113">
        <f>$F$6</f>
        <v>39172</v>
      </c>
      <c r="G349" s="113">
        <f>$G$6</f>
        <v>39202</v>
      </c>
      <c r="H349" s="113">
        <f>$H$6</f>
        <v>39233</v>
      </c>
      <c r="I349" s="113">
        <f>$I$6</f>
        <v>39263</v>
      </c>
      <c r="J349" s="113">
        <f>$J$6</f>
        <v>39294</v>
      </c>
      <c r="K349" s="113">
        <f>$K$6</f>
        <v>39325</v>
      </c>
      <c r="L349" s="113">
        <f>$L$6</f>
        <v>39355</v>
      </c>
      <c r="M349" s="113">
        <f>$M$6</f>
        <v>39386</v>
      </c>
      <c r="N349" s="113">
        <f>$N$6</f>
        <v>39416</v>
      </c>
      <c r="O349" s="113">
        <f>$O$6</f>
        <v>39447</v>
      </c>
      <c r="P349" s="113">
        <f>$P$6</f>
        <v>39478</v>
      </c>
      <c r="Q349" s="113">
        <f>$Q$6</f>
        <v>39506</v>
      </c>
      <c r="R349" s="113">
        <f>$R$6</f>
        <v>39537</v>
      </c>
      <c r="S349" s="113">
        <f>$S$6</f>
        <v>39567</v>
      </c>
      <c r="T349" s="113">
        <f>$T$6</f>
        <v>39598</v>
      </c>
      <c r="U349" s="113">
        <f>$U$6</f>
        <v>39628</v>
      </c>
      <c r="V349" s="113">
        <f>$V$6</f>
        <v>39659</v>
      </c>
      <c r="W349" s="113">
        <f>$W$6</f>
        <v>39690</v>
      </c>
      <c r="X349" s="113">
        <f>$X$6</f>
        <v>39720</v>
      </c>
      <c r="Y349" s="113">
        <f>$Y$6</f>
        <v>39751</v>
      </c>
      <c r="Z349" s="113">
        <f>$Z$6</f>
        <v>39781</v>
      </c>
      <c r="AA349" s="111" t="s">
        <v>20</v>
      </c>
      <c r="AB349" s="2" t="s">
        <v>101</v>
      </c>
    </row>
    <row r="350" spans="1:28" ht="12.75">
      <c r="A350" s="6">
        <v>1</v>
      </c>
      <c r="B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2" t="s">
        <v>101</v>
      </c>
    </row>
    <row r="351" spans="1:28" ht="12.75">
      <c r="A351" s="6">
        <v>2</v>
      </c>
      <c r="AB351" s="2" t="s">
        <v>101</v>
      </c>
    </row>
    <row r="352" spans="1:28" ht="12.75">
      <c r="A352" s="6">
        <v>3</v>
      </c>
      <c r="B352" s="7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14"/>
      <c r="AB352" s="2" t="s">
        <v>101</v>
      </c>
    </row>
    <row r="353" spans="1:28" ht="12.75">
      <c r="A353" s="6">
        <v>4</v>
      </c>
      <c r="AB353" s="2" t="s">
        <v>101</v>
      </c>
    </row>
    <row r="354" spans="1:28" ht="12.75">
      <c r="A354" s="6">
        <v>5</v>
      </c>
      <c r="B354" s="7" t="str">
        <f>B207</f>
        <v>Series B, 5 3/4%, $100 Par</v>
      </c>
      <c r="D354" s="12">
        <f aca="true" t="shared" si="70" ref="D354:Z354">ROUND(+D207*$C$207,0)</f>
        <v>22529</v>
      </c>
      <c r="E354" s="12">
        <f t="shared" si="70"/>
        <v>22529</v>
      </c>
      <c r="F354" s="12">
        <f t="shared" si="70"/>
        <v>22529</v>
      </c>
      <c r="G354" s="12">
        <f t="shared" si="70"/>
        <v>22529</v>
      </c>
      <c r="H354" s="12">
        <f t="shared" si="70"/>
        <v>22529</v>
      </c>
      <c r="I354" s="12">
        <f t="shared" si="70"/>
        <v>22529</v>
      </c>
      <c r="J354" s="12">
        <f t="shared" si="70"/>
        <v>22529</v>
      </c>
      <c r="K354" s="12">
        <f t="shared" si="70"/>
        <v>22529</v>
      </c>
      <c r="L354" s="12">
        <f t="shared" si="70"/>
        <v>22529</v>
      </c>
      <c r="M354" s="12">
        <f t="shared" si="70"/>
        <v>22529</v>
      </c>
      <c r="N354" s="12">
        <f t="shared" si="70"/>
        <v>22529</v>
      </c>
      <c r="O354" s="12">
        <f t="shared" si="70"/>
        <v>22529</v>
      </c>
      <c r="P354" s="12">
        <f t="shared" si="70"/>
        <v>22529</v>
      </c>
      <c r="Q354" s="12">
        <f t="shared" si="70"/>
        <v>22529</v>
      </c>
      <c r="R354" s="12">
        <f t="shared" si="70"/>
        <v>22529</v>
      </c>
      <c r="S354" s="12">
        <f t="shared" si="70"/>
        <v>22529</v>
      </c>
      <c r="T354" s="12">
        <f t="shared" si="70"/>
        <v>22529</v>
      </c>
      <c r="U354" s="12">
        <f t="shared" si="70"/>
        <v>22529</v>
      </c>
      <c r="V354" s="12">
        <f t="shared" si="70"/>
        <v>22529</v>
      </c>
      <c r="W354" s="12">
        <f t="shared" si="70"/>
        <v>22529</v>
      </c>
      <c r="X354" s="12">
        <f t="shared" si="70"/>
        <v>22529</v>
      </c>
      <c r="Y354" s="12">
        <f t="shared" si="70"/>
        <v>22529</v>
      </c>
      <c r="Z354" s="12">
        <f t="shared" si="70"/>
        <v>22529</v>
      </c>
      <c r="AA354" s="12">
        <f>AVERAGE(N354:Z354)</f>
        <v>22529</v>
      </c>
      <c r="AB354" s="2" t="s">
        <v>101</v>
      </c>
    </row>
    <row r="355" spans="1:28" ht="12.75">
      <c r="A355" s="6">
        <v>6</v>
      </c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2" t="s">
        <v>101</v>
      </c>
    </row>
    <row r="356" spans="1:28" ht="12.75">
      <c r="A356" s="6">
        <v>7</v>
      </c>
      <c r="B356" s="7" t="str">
        <f>B209</f>
        <v>Series C, 5 1/2%, $100 Par</v>
      </c>
      <c r="D356" s="12">
        <f aca="true" t="shared" si="71" ref="D356:Z356">ROUND(+D209*$C$209,0)</f>
        <v>26857</v>
      </c>
      <c r="E356" s="12">
        <f t="shared" si="71"/>
        <v>26857</v>
      </c>
      <c r="F356" s="12">
        <f t="shared" si="71"/>
        <v>26857</v>
      </c>
      <c r="G356" s="12">
        <f t="shared" si="71"/>
        <v>26857</v>
      </c>
      <c r="H356" s="12">
        <f t="shared" si="71"/>
        <v>26857</v>
      </c>
      <c r="I356" s="12">
        <f t="shared" si="71"/>
        <v>26857</v>
      </c>
      <c r="J356" s="12">
        <f t="shared" si="71"/>
        <v>26857</v>
      </c>
      <c r="K356" s="12">
        <f t="shared" si="71"/>
        <v>26857</v>
      </c>
      <c r="L356" s="12">
        <f t="shared" si="71"/>
        <v>26857</v>
      </c>
      <c r="M356" s="12">
        <f t="shared" si="71"/>
        <v>26857</v>
      </c>
      <c r="N356" s="12">
        <f t="shared" si="71"/>
        <v>26857</v>
      </c>
      <c r="O356" s="12">
        <f t="shared" si="71"/>
        <v>26857</v>
      </c>
      <c r="P356" s="12">
        <f t="shared" si="71"/>
        <v>26857</v>
      </c>
      <c r="Q356" s="12">
        <f t="shared" si="71"/>
        <v>26857</v>
      </c>
      <c r="R356" s="12">
        <f t="shared" si="71"/>
        <v>26857</v>
      </c>
      <c r="S356" s="12">
        <f t="shared" si="71"/>
        <v>26857</v>
      </c>
      <c r="T356" s="12">
        <f t="shared" si="71"/>
        <v>26857</v>
      </c>
      <c r="U356" s="12">
        <f t="shared" si="71"/>
        <v>26857</v>
      </c>
      <c r="V356" s="12">
        <f t="shared" si="71"/>
        <v>26857</v>
      </c>
      <c r="W356" s="12">
        <f t="shared" si="71"/>
        <v>26857</v>
      </c>
      <c r="X356" s="12">
        <f t="shared" si="71"/>
        <v>26857</v>
      </c>
      <c r="Y356" s="12">
        <f t="shared" si="71"/>
        <v>26857</v>
      </c>
      <c r="Z356" s="12">
        <f t="shared" si="71"/>
        <v>26857</v>
      </c>
      <c r="AA356" s="12">
        <f>AVERAGE(N356:Z356)</f>
        <v>26857</v>
      </c>
      <c r="AB356" s="2" t="s">
        <v>101</v>
      </c>
    </row>
    <row r="357" spans="1:28" ht="12.75">
      <c r="A357" s="6">
        <v>8</v>
      </c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2" t="s">
        <v>101</v>
      </c>
    </row>
    <row r="358" spans="1:28" ht="12.75">
      <c r="A358" s="6">
        <v>9</v>
      </c>
      <c r="B358" s="7" t="str">
        <f>B211</f>
        <v>Series D, 5%, $100 Par</v>
      </c>
      <c r="D358" s="12">
        <f aca="true" t="shared" si="72" ref="D358:Z358">ROUND(+D211*$C$211,0)</f>
        <v>29330</v>
      </c>
      <c r="E358" s="12">
        <f t="shared" si="72"/>
        <v>29330</v>
      </c>
      <c r="F358" s="12">
        <f t="shared" si="72"/>
        <v>29330</v>
      </c>
      <c r="G358" s="12">
        <f t="shared" si="72"/>
        <v>29330</v>
      </c>
      <c r="H358" s="12">
        <f t="shared" si="72"/>
        <v>29330</v>
      </c>
      <c r="I358" s="12">
        <f t="shared" si="72"/>
        <v>29330</v>
      </c>
      <c r="J358" s="12">
        <f t="shared" si="72"/>
        <v>29330</v>
      </c>
      <c r="K358" s="12">
        <f t="shared" si="72"/>
        <v>29330</v>
      </c>
      <c r="L358" s="12">
        <f t="shared" si="72"/>
        <v>29330</v>
      </c>
      <c r="M358" s="12">
        <f t="shared" si="72"/>
        <v>29330</v>
      </c>
      <c r="N358" s="12">
        <f t="shared" si="72"/>
        <v>29330</v>
      </c>
      <c r="O358" s="12">
        <f t="shared" si="72"/>
        <v>29330</v>
      </c>
      <c r="P358" s="12">
        <f t="shared" si="72"/>
        <v>29330</v>
      </c>
      <c r="Q358" s="12">
        <f t="shared" si="72"/>
        <v>29330</v>
      </c>
      <c r="R358" s="12">
        <f t="shared" si="72"/>
        <v>29330</v>
      </c>
      <c r="S358" s="12">
        <f t="shared" si="72"/>
        <v>29330</v>
      </c>
      <c r="T358" s="12">
        <f t="shared" si="72"/>
        <v>29330</v>
      </c>
      <c r="U358" s="12">
        <f t="shared" si="72"/>
        <v>29330</v>
      </c>
      <c r="V358" s="12">
        <f t="shared" si="72"/>
        <v>29330</v>
      </c>
      <c r="W358" s="12">
        <f t="shared" si="72"/>
        <v>29330</v>
      </c>
      <c r="X358" s="12">
        <f t="shared" si="72"/>
        <v>29330</v>
      </c>
      <c r="Y358" s="12">
        <f t="shared" si="72"/>
        <v>29330</v>
      </c>
      <c r="Z358" s="12">
        <f t="shared" si="72"/>
        <v>29330</v>
      </c>
      <c r="AA358" s="12">
        <f>AVERAGE(N358:Z358)</f>
        <v>29330</v>
      </c>
      <c r="AB358" s="2" t="s">
        <v>101</v>
      </c>
    </row>
    <row r="359" spans="1:28" ht="12.75">
      <c r="A359" s="6">
        <v>10</v>
      </c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2" t="s">
        <v>101</v>
      </c>
    </row>
    <row r="360" spans="1:28" ht="12.75">
      <c r="A360" s="6">
        <v>11</v>
      </c>
      <c r="B360" s="7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2" t="s">
        <v>101</v>
      </c>
    </row>
    <row r="361" spans="1:28" ht="12.75">
      <c r="A361" s="6">
        <v>12</v>
      </c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2" t="s">
        <v>101</v>
      </c>
    </row>
    <row r="362" spans="1:28" ht="12.75">
      <c r="A362" s="6">
        <v>13</v>
      </c>
      <c r="B362" s="7" t="str">
        <f>B215</f>
        <v>8.47% Series, $100 Par</v>
      </c>
      <c r="D362" s="12">
        <f aca="true" t="shared" si="73" ref="D362:Z362">ROUND(+D215*$C$215,0)</f>
        <v>381150</v>
      </c>
      <c r="E362" s="12">
        <f t="shared" si="73"/>
        <v>381150</v>
      </c>
      <c r="F362" s="12">
        <f t="shared" si="73"/>
        <v>381150</v>
      </c>
      <c r="G362" s="12">
        <f t="shared" si="73"/>
        <v>381150</v>
      </c>
      <c r="H362" s="12">
        <f t="shared" si="73"/>
        <v>381150</v>
      </c>
      <c r="I362" s="12">
        <f t="shared" si="73"/>
        <v>381150</v>
      </c>
      <c r="J362" s="12">
        <f t="shared" si="73"/>
        <v>381150</v>
      </c>
      <c r="K362" s="12">
        <f t="shared" si="73"/>
        <v>381150</v>
      </c>
      <c r="L362" s="12">
        <f t="shared" si="73"/>
        <v>381150</v>
      </c>
      <c r="M362" s="12">
        <f t="shared" si="73"/>
        <v>381150</v>
      </c>
      <c r="N362" s="12">
        <f t="shared" si="73"/>
        <v>381150</v>
      </c>
      <c r="O362" s="12">
        <f t="shared" si="73"/>
        <v>381150</v>
      </c>
      <c r="P362" s="12">
        <f t="shared" si="73"/>
        <v>381150</v>
      </c>
      <c r="Q362" s="12">
        <f t="shared" si="73"/>
        <v>381150</v>
      </c>
      <c r="R362" s="12">
        <f t="shared" si="73"/>
        <v>381150</v>
      </c>
      <c r="S362" s="12">
        <f t="shared" si="73"/>
        <v>381150</v>
      </c>
      <c r="T362" s="12">
        <f t="shared" si="73"/>
        <v>381150</v>
      </c>
      <c r="U362" s="12">
        <f t="shared" si="73"/>
        <v>381150</v>
      </c>
      <c r="V362" s="12">
        <f t="shared" si="73"/>
        <v>381150</v>
      </c>
      <c r="W362" s="12">
        <f t="shared" si="73"/>
        <v>381150</v>
      </c>
      <c r="X362" s="12">
        <f t="shared" si="73"/>
        <v>381150</v>
      </c>
      <c r="Y362" s="12">
        <f t="shared" si="73"/>
        <v>381150</v>
      </c>
      <c r="Z362" s="12">
        <f t="shared" si="73"/>
        <v>381150</v>
      </c>
      <c r="AA362" s="12">
        <f>AVERAGE(N362:Z362)</f>
        <v>381150</v>
      </c>
      <c r="AB362" s="2" t="s">
        <v>101</v>
      </c>
    </row>
    <row r="363" spans="1:28" ht="12.75">
      <c r="A363" s="6">
        <v>14</v>
      </c>
      <c r="AB363" s="2" t="s">
        <v>101</v>
      </c>
    </row>
    <row r="364" spans="1:28" ht="12.75">
      <c r="A364" s="6">
        <v>15</v>
      </c>
      <c r="AB364" s="2" t="s">
        <v>101</v>
      </c>
    </row>
    <row r="365" spans="1:28" ht="12.75">
      <c r="A365" s="6">
        <v>16</v>
      </c>
      <c r="AB365" s="2" t="s">
        <v>101</v>
      </c>
    </row>
    <row r="366" spans="1:28" ht="12.75">
      <c r="A366" s="6">
        <v>17</v>
      </c>
      <c r="AB366" s="2" t="s">
        <v>101</v>
      </c>
    </row>
    <row r="367" spans="1:28" ht="13.5" thickBot="1">
      <c r="A367" s="6">
        <v>18</v>
      </c>
      <c r="B367" s="7" t="s">
        <v>116</v>
      </c>
      <c r="D367" s="37">
        <f aca="true" t="shared" si="74" ref="D367:AA367">SUM(D352:D366)</f>
        <v>459866</v>
      </c>
      <c r="E367" s="37">
        <f t="shared" si="74"/>
        <v>459866</v>
      </c>
      <c r="F367" s="37">
        <f t="shared" si="74"/>
        <v>459866</v>
      </c>
      <c r="G367" s="37">
        <f t="shared" si="74"/>
        <v>459866</v>
      </c>
      <c r="H367" s="37">
        <f t="shared" si="74"/>
        <v>459866</v>
      </c>
      <c r="I367" s="37">
        <f t="shared" si="74"/>
        <v>459866</v>
      </c>
      <c r="J367" s="37">
        <f t="shared" si="74"/>
        <v>459866</v>
      </c>
      <c r="K367" s="37">
        <f t="shared" si="74"/>
        <v>459866</v>
      </c>
      <c r="L367" s="37">
        <f t="shared" si="74"/>
        <v>459866</v>
      </c>
      <c r="M367" s="37">
        <f t="shared" si="74"/>
        <v>459866</v>
      </c>
      <c r="N367" s="37">
        <f t="shared" si="74"/>
        <v>459866</v>
      </c>
      <c r="O367" s="37">
        <f t="shared" si="74"/>
        <v>459866</v>
      </c>
      <c r="P367" s="37">
        <f t="shared" si="74"/>
        <v>459866</v>
      </c>
      <c r="Q367" s="37">
        <f t="shared" si="74"/>
        <v>459866</v>
      </c>
      <c r="R367" s="37">
        <f t="shared" si="74"/>
        <v>459866</v>
      </c>
      <c r="S367" s="37">
        <f t="shared" si="74"/>
        <v>459866</v>
      </c>
      <c r="T367" s="37">
        <f t="shared" si="74"/>
        <v>459866</v>
      </c>
      <c r="U367" s="37">
        <f t="shared" si="74"/>
        <v>459866</v>
      </c>
      <c r="V367" s="37">
        <f t="shared" si="74"/>
        <v>459866</v>
      </c>
      <c r="W367" s="37">
        <f t="shared" si="74"/>
        <v>459866</v>
      </c>
      <c r="X367" s="37">
        <f t="shared" si="74"/>
        <v>459866</v>
      </c>
      <c r="Y367" s="37">
        <f t="shared" si="74"/>
        <v>459866</v>
      </c>
      <c r="Z367" s="37">
        <f t="shared" si="74"/>
        <v>459866</v>
      </c>
      <c r="AA367" s="37">
        <f t="shared" si="74"/>
        <v>459866</v>
      </c>
      <c r="AB367" s="2" t="s">
        <v>101</v>
      </c>
    </row>
    <row r="368" spans="1:28" ht="13.5" thickTop="1">
      <c r="A368" s="6">
        <v>19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2" t="s">
        <v>101</v>
      </c>
    </row>
    <row r="369" spans="1:28" ht="12.75">
      <c r="A369" s="6">
        <v>20</v>
      </c>
      <c r="AB369" s="2" t="s">
        <v>101</v>
      </c>
    </row>
    <row r="370" spans="1:28" ht="12.75">
      <c r="A370" s="6">
        <v>21</v>
      </c>
      <c r="AB370" s="2" t="s">
        <v>101</v>
      </c>
    </row>
    <row r="371" spans="1:28" ht="12.75">
      <c r="A371" s="6">
        <v>22</v>
      </c>
      <c r="AB371" s="2" t="s">
        <v>101</v>
      </c>
    </row>
    <row r="372" spans="1:28" ht="12.75">
      <c r="A372" s="6">
        <v>23</v>
      </c>
      <c r="AB372" s="2" t="s">
        <v>101</v>
      </c>
    </row>
    <row r="373" spans="1:28" ht="12.75">
      <c r="A373" s="6">
        <v>24</v>
      </c>
      <c r="AB373" s="2" t="s">
        <v>101</v>
      </c>
    </row>
    <row r="374" spans="1:28" ht="12.75">
      <c r="A374" s="6">
        <v>25</v>
      </c>
      <c r="AB374" s="2" t="s">
        <v>101</v>
      </c>
    </row>
    <row r="375" spans="1:28" ht="12.75">
      <c r="A375" s="6">
        <v>26</v>
      </c>
      <c r="AB375" s="2" t="s">
        <v>101</v>
      </c>
    </row>
    <row r="376" spans="1:28" ht="12.75">
      <c r="A376" s="6">
        <v>27</v>
      </c>
      <c r="AB376" s="2" t="s">
        <v>101</v>
      </c>
    </row>
    <row r="377" spans="1:28" ht="12.75">
      <c r="A377" s="6">
        <v>28</v>
      </c>
      <c r="AB377" s="2" t="s">
        <v>101</v>
      </c>
    </row>
    <row r="378" spans="1:28" ht="12.75">
      <c r="A378" s="6">
        <v>29</v>
      </c>
      <c r="AB378" s="2" t="s">
        <v>101</v>
      </c>
    </row>
    <row r="379" spans="1:28" ht="12.75">
      <c r="A379" s="6">
        <v>30</v>
      </c>
      <c r="AB379" s="2" t="s">
        <v>101</v>
      </c>
    </row>
    <row r="380" spans="1:28" ht="12.75">
      <c r="A380" s="6">
        <v>31</v>
      </c>
      <c r="AB380" s="2" t="s">
        <v>101</v>
      </c>
    </row>
    <row r="381" spans="1:28" ht="12.75">
      <c r="A381" s="6">
        <v>32</v>
      </c>
      <c r="AB381" s="2" t="s">
        <v>101</v>
      </c>
    </row>
    <row r="382" spans="1:28" ht="12.75">
      <c r="A382" s="6">
        <v>33</v>
      </c>
      <c r="AB382" s="2" t="s">
        <v>101</v>
      </c>
    </row>
    <row r="383" spans="1:28" ht="12.75">
      <c r="A383" s="6">
        <v>34</v>
      </c>
      <c r="AB383" s="2" t="s">
        <v>101</v>
      </c>
    </row>
    <row r="384" spans="1:28" ht="12.75">
      <c r="A384" s="6">
        <v>35</v>
      </c>
      <c r="AB384" s="2" t="s">
        <v>101</v>
      </c>
    </row>
    <row r="385" spans="1:28" ht="12.75">
      <c r="A385" s="6">
        <v>36</v>
      </c>
      <c r="AB385" s="2" t="s">
        <v>101</v>
      </c>
    </row>
    <row r="386" spans="1:28" ht="12.75">
      <c r="A386" s="6">
        <v>37</v>
      </c>
      <c r="AB386" s="2" t="s">
        <v>101</v>
      </c>
    </row>
    <row r="387" spans="1:28" ht="12.75">
      <c r="A387" s="6">
        <v>38</v>
      </c>
      <c r="AB387" s="2" t="s">
        <v>101</v>
      </c>
    </row>
    <row r="388" spans="1:28" ht="12.75">
      <c r="A388" s="6">
        <v>39</v>
      </c>
      <c r="AB388" s="2" t="s">
        <v>101</v>
      </c>
    </row>
    <row r="389" spans="1:28" ht="12.75">
      <c r="A389" s="6">
        <v>40</v>
      </c>
      <c r="AB389" s="2" t="s">
        <v>101</v>
      </c>
    </row>
    <row r="390" spans="1:28" ht="12.75">
      <c r="A390" s="6">
        <v>41</v>
      </c>
      <c r="AB390" s="2" t="s">
        <v>101</v>
      </c>
    </row>
    <row r="391" spans="1:28" ht="12.75">
      <c r="A391" s="6">
        <v>42</v>
      </c>
      <c r="AB391" s="2" t="s">
        <v>101</v>
      </c>
    </row>
    <row r="392" spans="1:55" ht="12.75">
      <c r="A392" s="1"/>
      <c r="B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28" ht="12.75">
      <c r="A393" s="4" t="s">
        <v>2</v>
      </c>
      <c r="AB393" s="2" t="s">
        <v>101</v>
      </c>
    </row>
    <row r="394" spans="1:28" ht="12.75">
      <c r="A394" s="4" t="s">
        <v>127</v>
      </c>
      <c r="AB394" s="2" t="s">
        <v>101</v>
      </c>
    </row>
    <row r="395" ht="12.75">
      <c r="AB395" s="2" t="s">
        <v>101</v>
      </c>
    </row>
    <row r="396" spans="1:28" ht="12.75">
      <c r="A396" s="109"/>
      <c r="B396" s="109"/>
      <c r="C396" s="109"/>
      <c r="D396" s="112"/>
      <c r="E396" s="112"/>
      <c r="F396" s="112"/>
      <c r="G396" s="112"/>
      <c r="H396" s="112"/>
      <c r="I396" s="112"/>
      <c r="J396" s="112"/>
      <c r="K396" s="112"/>
      <c r="L396" s="112"/>
      <c r="M396" s="112"/>
      <c r="N396" s="112"/>
      <c r="O396" s="112"/>
      <c r="P396" s="112"/>
      <c r="Q396" s="112"/>
      <c r="R396" s="112"/>
      <c r="S396" s="112"/>
      <c r="T396" s="112"/>
      <c r="U396" s="112"/>
      <c r="V396" s="112"/>
      <c r="W396" s="112"/>
      <c r="X396" s="112"/>
      <c r="Y396" s="112"/>
      <c r="Z396" s="112"/>
      <c r="AA396" s="112"/>
      <c r="AB396" s="2" t="s">
        <v>101</v>
      </c>
    </row>
    <row r="397" spans="1:28" ht="12.75">
      <c r="A397" s="6" t="s">
        <v>15</v>
      </c>
      <c r="B397" s="6"/>
      <c r="D397" s="6" t="s">
        <v>120</v>
      </c>
      <c r="E397" s="6" t="s">
        <v>120</v>
      </c>
      <c r="F397" s="6" t="s">
        <v>120</v>
      </c>
      <c r="G397" s="6" t="s">
        <v>120</v>
      </c>
      <c r="H397" s="6" t="s">
        <v>120</v>
      </c>
      <c r="I397" s="6" t="s">
        <v>120</v>
      </c>
      <c r="J397" s="6" t="s">
        <v>120</v>
      </c>
      <c r="K397" s="6" t="s">
        <v>120</v>
      </c>
      <c r="L397" s="6" t="s">
        <v>120</v>
      </c>
      <c r="M397" s="6" t="s">
        <v>120</v>
      </c>
      <c r="N397" s="6" t="s">
        <v>120</v>
      </c>
      <c r="O397" s="6" t="s">
        <v>120</v>
      </c>
      <c r="P397" s="6" t="s">
        <v>120</v>
      </c>
      <c r="Q397" s="6" t="s">
        <v>120</v>
      </c>
      <c r="R397" s="6" t="s">
        <v>120</v>
      </c>
      <c r="S397" s="6" t="s">
        <v>120</v>
      </c>
      <c r="T397" s="6" t="s">
        <v>120</v>
      </c>
      <c r="U397" s="6" t="s">
        <v>120</v>
      </c>
      <c r="V397" s="6" t="s">
        <v>120</v>
      </c>
      <c r="W397" s="6" t="s">
        <v>120</v>
      </c>
      <c r="X397" s="6" t="s">
        <v>120</v>
      </c>
      <c r="Y397" s="6" t="s">
        <v>120</v>
      </c>
      <c r="Z397" s="6" t="s">
        <v>120</v>
      </c>
      <c r="AA397" s="6" t="s">
        <v>14</v>
      </c>
      <c r="AB397" s="2" t="s">
        <v>101</v>
      </c>
    </row>
    <row r="398" spans="1:28" ht="12.75">
      <c r="A398" s="110" t="s">
        <v>21</v>
      </c>
      <c r="B398" s="110"/>
      <c r="C398" s="110"/>
      <c r="D398" s="113">
        <f>$D$6</f>
        <v>39113</v>
      </c>
      <c r="E398" s="113">
        <f>$E$6</f>
        <v>39141</v>
      </c>
      <c r="F398" s="113">
        <f>$F$6</f>
        <v>39172</v>
      </c>
      <c r="G398" s="113">
        <f>$G$6</f>
        <v>39202</v>
      </c>
      <c r="H398" s="113">
        <f>$H$6</f>
        <v>39233</v>
      </c>
      <c r="I398" s="113">
        <f>$I$6</f>
        <v>39263</v>
      </c>
      <c r="J398" s="113">
        <f>$J$6</f>
        <v>39294</v>
      </c>
      <c r="K398" s="113">
        <f>$K$6</f>
        <v>39325</v>
      </c>
      <c r="L398" s="113">
        <f>$L$6</f>
        <v>39355</v>
      </c>
      <c r="M398" s="113">
        <f>$M$6</f>
        <v>39386</v>
      </c>
      <c r="N398" s="113">
        <f>$N$6</f>
        <v>39416</v>
      </c>
      <c r="O398" s="113">
        <f>$O$6</f>
        <v>39447</v>
      </c>
      <c r="P398" s="113">
        <f>$P$6</f>
        <v>39478</v>
      </c>
      <c r="Q398" s="113">
        <f>$Q$6</f>
        <v>39506</v>
      </c>
      <c r="R398" s="113">
        <f>$R$6</f>
        <v>39537</v>
      </c>
      <c r="S398" s="113">
        <f>$S$6</f>
        <v>39567</v>
      </c>
      <c r="T398" s="113">
        <f>$T$6</f>
        <v>39598</v>
      </c>
      <c r="U398" s="113">
        <f>$U$6</f>
        <v>39628</v>
      </c>
      <c r="V398" s="113">
        <f>$V$6</f>
        <v>39659</v>
      </c>
      <c r="W398" s="113">
        <f>$W$6</f>
        <v>39690</v>
      </c>
      <c r="X398" s="113">
        <f>$X$6</f>
        <v>39720</v>
      </c>
      <c r="Y398" s="113">
        <f>$Y$6</f>
        <v>39751</v>
      </c>
      <c r="Z398" s="113">
        <f>$Z$6</f>
        <v>39781</v>
      </c>
      <c r="AA398" s="111" t="s">
        <v>20</v>
      </c>
      <c r="AB398" s="2" t="s">
        <v>101</v>
      </c>
    </row>
    <row r="399" spans="1:28" ht="12.75">
      <c r="A399" s="6">
        <v>1</v>
      </c>
      <c r="B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2" t="s">
        <v>101</v>
      </c>
    </row>
    <row r="400" spans="1:28" ht="12.75">
      <c r="A400" s="6">
        <v>2</v>
      </c>
      <c r="AB400" s="2" t="s">
        <v>101</v>
      </c>
    </row>
    <row r="401" spans="1:28" ht="12.75">
      <c r="A401" s="6">
        <v>3</v>
      </c>
      <c r="AB401" s="2" t="s">
        <v>101</v>
      </c>
    </row>
    <row r="402" spans="1:28" ht="12.75">
      <c r="A402" s="6">
        <v>4</v>
      </c>
      <c r="AB402" s="2" t="s">
        <v>101</v>
      </c>
    </row>
    <row r="403" spans="1:28" ht="12.75">
      <c r="A403" s="6">
        <v>5</v>
      </c>
      <c r="AB403" s="2" t="s">
        <v>101</v>
      </c>
    </row>
    <row r="404" spans="1:28" ht="12.75">
      <c r="A404" s="6">
        <v>6</v>
      </c>
      <c r="AB404" s="2" t="s">
        <v>101</v>
      </c>
    </row>
    <row r="405" spans="1:28" ht="12.75">
      <c r="A405" s="6">
        <v>7</v>
      </c>
      <c r="AB405" s="2" t="s">
        <v>101</v>
      </c>
    </row>
    <row r="406" spans="1:28" ht="12.75">
      <c r="A406" s="6">
        <v>8</v>
      </c>
      <c r="AB406" s="2" t="s">
        <v>101</v>
      </c>
    </row>
    <row r="407" spans="1:28" ht="12.75">
      <c r="A407" s="6">
        <v>9</v>
      </c>
      <c r="AB407" s="2" t="s">
        <v>101</v>
      </c>
    </row>
    <row r="408" spans="1:28" ht="13.5" thickBot="1">
      <c r="A408" s="6">
        <v>10</v>
      </c>
      <c r="B408" s="28" t="s">
        <v>128</v>
      </c>
      <c r="D408" s="114">
        <v>7677627</v>
      </c>
      <c r="E408" s="114">
        <v>9328586</v>
      </c>
      <c r="F408" s="114">
        <v>15864490</v>
      </c>
      <c r="G408" s="114">
        <v>19006140</v>
      </c>
      <c r="H408" s="114">
        <v>22053482</v>
      </c>
      <c r="I408" s="114">
        <v>49244134</v>
      </c>
      <c r="J408" s="114">
        <v>51725825</v>
      </c>
      <c r="K408" s="114">
        <v>54160691</v>
      </c>
      <c r="L408" s="114">
        <v>56861322</v>
      </c>
      <c r="M408" s="114">
        <v>426815</v>
      </c>
      <c r="N408" s="114">
        <v>3163866</v>
      </c>
      <c r="O408" s="114">
        <v>7414309</v>
      </c>
      <c r="P408" s="114">
        <v>10902539</v>
      </c>
      <c r="Q408" s="114">
        <v>12387610</v>
      </c>
      <c r="R408" s="114">
        <v>820446</v>
      </c>
      <c r="S408" s="114">
        <v>820446</v>
      </c>
      <c r="T408" s="114">
        <v>4007270</v>
      </c>
      <c r="U408" s="114">
        <v>9206224</v>
      </c>
      <c r="V408" s="114">
        <v>13632482</v>
      </c>
      <c r="W408" s="114">
        <v>17254649</v>
      </c>
      <c r="X408" s="114">
        <v>23081291</v>
      </c>
      <c r="Y408" s="114">
        <v>350408</v>
      </c>
      <c r="Z408" s="114">
        <v>1439023</v>
      </c>
      <c r="AA408" s="115">
        <f>AVERAGE(N408:Z408)</f>
        <v>8036966.384615385</v>
      </c>
      <c r="AB408" s="2" t="s">
        <v>101</v>
      </c>
    </row>
    <row r="409" spans="1:28" ht="13.5" thickTop="1">
      <c r="A409" s="6">
        <v>11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2" t="s">
        <v>101</v>
      </c>
    </row>
    <row r="410" spans="1:28" ht="12.75">
      <c r="A410" s="6">
        <v>12</v>
      </c>
      <c r="F410" s="8"/>
      <c r="G410" s="8"/>
      <c r="H410" s="8"/>
      <c r="I410" s="8"/>
      <c r="J410" s="8"/>
      <c r="K410" s="8"/>
      <c r="L410" s="8"/>
      <c r="M410" s="8"/>
      <c r="N410" s="8"/>
      <c r="AB410" s="2" t="s">
        <v>101</v>
      </c>
    </row>
    <row r="411" spans="1:28" ht="12.75">
      <c r="A411" s="6">
        <v>13</v>
      </c>
      <c r="AB411" s="2" t="s">
        <v>101</v>
      </c>
    </row>
    <row r="412" spans="1:28" ht="12.75">
      <c r="A412" s="6">
        <v>14</v>
      </c>
      <c r="AB412" s="2" t="s">
        <v>101</v>
      </c>
    </row>
    <row r="413" spans="1:28" ht="12.75">
      <c r="A413" s="6">
        <v>15</v>
      </c>
      <c r="AB413" s="2" t="s">
        <v>101</v>
      </c>
    </row>
    <row r="414" spans="1:28" ht="12.75">
      <c r="A414" s="6">
        <v>16</v>
      </c>
      <c r="AB414" s="2" t="s">
        <v>101</v>
      </c>
    </row>
    <row r="415" spans="1:28" ht="12.75">
      <c r="A415" s="6">
        <v>17</v>
      </c>
      <c r="AB415" s="2" t="s">
        <v>101</v>
      </c>
    </row>
    <row r="416" spans="1:28" ht="12.75">
      <c r="A416" s="6">
        <v>18</v>
      </c>
      <c r="AB416" s="2" t="s">
        <v>101</v>
      </c>
    </row>
    <row r="417" spans="1:28" ht="12.75">
      <c r="A417" s="6">
        <v>19</v>
      </c>
      <c r="AB417" s="2" t="s">
        <v>101</v>
      </c>
    </row>
    <row r="418" spans="1:28" ht="12.75">
      <c r="A418" s="6">
        <v>20</v>
      </c>
      <c r="AB418" s="2" t="s">
        <v>101</v>
      </c>
    </row>
    <row r="419" spans="1:28" ht="12.75">
      <c r="A419" s="6">
        <v>21</v>
      </c>
      <c r="AB419" s="2" t="s">
        <v>101</v>
      </c>
    </row>
    <row r="420" spans="1:28" ht="12.75">
      <c r="A420" s="6">
        <v>22</v>
      </c>
      <c r="AB420" s="2" t="s">
        <v>101</v>
      </c>
    </row>
    <row r="421" spans="1:28" ht="12.75">
      <c r="A421" s="6">
        <v>23</v>
      </c>
      <c r="AB421" s="2" t="s">
        <v>101</v>
      </c>
    </row>
    <row r="422" spans="1:28" ht="12.75">
      <c r="A422" s="6">
        <v>24</v>
      </c>
      <c r="AB422" s="2" t="s">
        <v>101</v>
      </c>
    </row>
    <row r="423" spans="1:28" ht="12.75">
      <c r="A423" s="6">
        <v>25</v>
      </c>
      <c r="AB423" s="2" t="s">
        <v>101</v>
      </c>
    </row>
    <row r="424" spans="1:28" ht="12.75">
      <c r="A424" s="6">
        <v>26</v>
      </c>
      <c r="AB424" s="2" t="s">
        <v>101</v>
      </c>
    </row>
    <row r="425" spans="1:28" ht="12.75">
      <c r="A425" s="6">
        <v>27</v>
      </c>
      <c r="AB425" s="2" t="s">
        <v>101</v>
      </c>
    </row>
    <row r="426" spans="1:28" ht="12.75">
      <c r="A426" s="6">
        <v>28</v>
      </c>
      <c r="AB426" s="2" t="s">
        <v>101</v>
      </c>
    </row>
    <row r="427" spans="1:28" ht="12.75">
      <c r="A427" s="6">
        <v>29</v>
      </c>
      <c r="AB427" s="2" t="s">
        <v>101</v>
      </c>
    </row>
    <row r="428" spans="1:28" ht="12.75">
      <c r="A428" s="6">
        <v>30</v>
      </c>
      <c r="AB428" s="2" t="s">
        <v>101</v>
      </c>
    </row>
    <row r="429" spans="1:28" ht="12.75">
      <c r="A429" s="6">
        <v>31</v>
      </c>
      <c r="AB429" s="2" t="s">
        <v>101</v>
      </c>
    </row>
    <row r="430" spans="1:28" ht="12.75">
      <c r="A430" s="6">
        <v>32</v>
      </c>
      <c r="AB430" s="2" t="s">
        <v>101</v>
      </c>
    </row>
    <row r="431" spans="1:28" ht="12.75">
      <c r="A431" s="6">
        <v>33</v>
      </c>
      <c r="AB431" s="2" t="s">
        <v>101</v>
      </c>
    </row>
    <row r="432" spans="1:28" ht="12.75">
      <c r="A432" s="6">
        <v>34</v>
      </c>
      <c r="AB432" s="2" t="s">
        <v>101</v>
      </c>
    </row>
    <row r="433" spans="1:28" ht="12.75">
      <c r="A433" s="6">
        <v>35</v>
      </c>
      <c r="AB433" s="2" t="s">
        <v>101</v>
      </c>
    </row>
    <row r="434" spans="1:28" ht="12.75">
      <c r="A434" s="6">
        <v>36</v>
      </c>
      <c r="AB434" s="2" t="s">
        <v>101</v>
      </c>
    </row>
    <row r="435" spans="1:28" ht="12.75">
      <c r="A435" s="6">
        <v>37</v>
      </c>
      <c r="AB435" s="2" t="s">
        <v>101</v>
      </c>
    </row>
    <row r="436" spans="1:28" ht="12.75">
      <c r="A436" s="6">
        <v>38</v>
      </c>
      <c r="AB436" s="2" t="s">
        <v>101</v>
      </c>
    </row>
    <row r="437" spans="1:55" ht="12.75">
      <c r="A437" s="1"/>
      <c r="B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28" ht="12.75">
      <c r="A438" s="4" t="s">
        <v>2</v>
      </c>
      <c r="AB438" s="2" t="s">
        <v>101</v>
      </c>
    </row>
    <row r="439" spans="1:28" ht="12.75">
      <c r="A439" s="4" t="s">
        <v>129</v>
      </c>
      <c r="AB439" s="2" t="s">
        <v>101</v>
      </c>
    </row>
    <row r="440" ht="12.75">
      <c r="AB440" s="2" t="s">
        <v>101</v>
      </c>
    </row>
    <row r="441" spans="1:28" ht="12.75">
      <c r="A441" s="109"/>
      <c r="B441" s="109"/>
      <c r="C441" s="109"/>
      <c r="D441" s="112"/>
      <c r="E441" s="112"/>
      <c r="F441" s="112"/>
      <c r="G441" s="112"/>
      <c r="H441" s="112"/>
      <c r="I441" s="112"/>
      <c r="J441" s="112"/>
      <c r="K441" s="112"/>
      <c r="L441" s="112"/>
      <c r="M441" s="112"/>
      <c r="N441" s="112"/>
      <c r="O441" s="112"/>
      <c r="P441" s="112"/>
      <c r="Q441" s="112"/>
      <c r="R441" s="112"/>
      <c r="S441" s="112"/>
      <c r="T441" s="112"/>
      <c r="U441" s="112"/>
      <c r="V441" s="112"/>
      <c r="W441" s="112"/>
      <c r="X441" s="112"/>
      <c r="Y441" s="112"/>
      <c r="Z441" s="112"/>
      <c r="AA441" s="112"/>
      <c r="AB441" s="2" t="s">
        <v>101</v>
      </c>
    </row>
    <row r="442" spans="1:28" ht="12.75">
      <c r="A442" s="6" t="s">
        <v>15</v>
      </c>
      <c r="B442" s="6"/>
      <c r="D442" s="6" t="s">
        <v>120</v>
      </c>
      <c r="E442" s="6" t="s">
        <v>120</v>
      </c>
      <c r="F442" s="6" t="s">
        <v>120</v>
      </c>
      <c r="G442" s="6" t="s">
        <v>120</v>
      </c>
      <c r="H442" s="6" t="s">
        <v>120</v>
      </c>
      <c r="I442" s="6" t="s">
        <v>120</v>
      </c>
      <c r="J442" s="6" t="s">
        <v>120</v>
      </c>
      <c r="K442" s="6" t="s">
        <v>120</v>
      </c>
      <c r="L442" s="6" t="s">
        <v>120</v>
      </c>
      <c r="M442" s="6" t="s">
        <v>120</v>
      </c>
      <c r="N442" s="6" t="s">
        <v>120</v>
      </c>
      <c r="O442" s="6" t="s">
        <v>120</v>
      </c>
      <c r="P442" s="6" t="s">
        <v>120</v>
      </c>
      <c r="Q442" s="6" t="s">
        <v>120</v>
      </c>
      <c r="R442" s="6" t="s">
        <v>120</v>
      </c>
      <c r="S442" s="6" t="s">
        <v>120</v>
      </c>
      <c r="T442" s="6" t="s">
        <v>120</v>
      </c>
      <c r="U442" s="6" t="s">
        <v>120</v>
      </c>
      <c r="V442" s="6" t="s">
        <v>120</v>
      </c>
      <c r="W442" s="6" t="s">
        <v>120</v>
      </c>
      <c r="X442" s="6" t="s">
        <v>120</v>
      </c>
      <c r="Y442" s="6" t="s">
        <v>120</v>
      </c>
      <c r="Z442" s="6" t="s">
        <v>120</v>
      </c>
      <c r="AA442" s="6" t="s">
        <v>14</v>
      </c>
      <c r="AB442" s="2" t="s">
        <v>101</v>
      </c>
    </row>
    <row r="443" spans="1:28" ht="12.75">
      <c r="A443" s="110" t="s">
        <v>21</v>
      </c>
      <c r="B443" s="110"/>
      <c r="C443" s="110"/>
      <c r="D443" s="113">
        <f>$D$6</f>
        <v>39113</v>
      </c>
      <c r="E443" s="113">
        <f>$E$6</f>
        <v>39141</v>
      </c>
      <c r="F443" s="113">
        <f>$F$6</f>
        <v>39172</v>
      </c>
      <c r="G443" s="113">
        <f>$G$6</f>
        <v>39202</v>
      </c>
      <c r="H443" s="113">
        <f>$H$6</f>
        <v>39233</v>
      </c>
      <c r="I443" s="113">
        <f>$I$6</f>
        <v>39263</v>
      </c>
      <c r="J443" s="113">
        <f>$J$6</f>
        <v>39294</v>
      </c>
      <c r="K443" s="113">
        <f>$K$6</f>
        <v>39325</v>
      </c>
      <c r="L443" s="113">
        <f>$L$6</f>
        <v>39355</v>
      </c>
      <c r="M443" s="113">
        <f>$M$6</f>
        <v>39386</v>
      </c>
      <c r="N443" s="113">
        <f>$N$6</f>
        <v>39416</v>
      </c>
      <c r="O443" s="113">
        <f>$O$6</f>
        <v>39447</v>
      </c>
      <c r="P443" s="113">
        <f>$P$6</f>
        <v>39478</v>
      </c>
      <c r="Q443" s="113">
        <f>$Q$6</f>
        <v>39506</v>
      </c>
      <c r="R443" s="113">
        <f>$R$6</f>
        <v>39537</v>
      </c>
      <c r="S443" s="113">
        <f>$S$6</f>
        <v>39567</v>
      </c>
      <c r="T443" s="113">
        <f>$T$6</f>
        <v>39598</v>
      </c>
      <c r="U443" s="113">
        <f>$U$6</f>
        <v>39628</v>
      </c>
      <c r="V443" s="113">
        <f>$V$6</f>
        <v>39659</v>
      </c>
      <c r="W443" s="113">
        <f>$W$6</f>
        <v>39690</v>
      </c>
      <c r="X443" s="113">
        <f>$X$6</f>
        <v>39720</v>
      </c>
      <c r="Y443" s="113">
        <f>$Y$6</f>
        <v>39751</v>
      </c>
      <c r="Z443" s="113">
        <f>$Z$6</f>
        <v>39781</v>
      </c>
      <c r="AA443" s="111" t="s">
        <v>20</v>
      </c>
      <c r="AB443" s="2" t="s">
        <v>101</v>
      </c>
    </row>
    <row r="444" spans="1:28" ht="12.75">
      <c r="A444" s="6">
        <v>1</v>
      </c>
      <c r="B444" s="1"/>
      <c r="D444" s="14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2" t="s">
        <v>101</v>
      </c>
    </row>
    <row r="445" spans="1:28" ht="12.75">
      <c r="A445" s="6">
        <v>2</v>
      </c>
      <c r="AB445" s="2" t="s">
        <v>101</v>
      </c>
    </row>
    <row r="446" spans="1:30" ht="12.75">
      <c r="A446" s="6">
        <v>3</v>
      </c>
      <c r="B446" s="28" t="s">
        <v>130</v>
      </c>
      <c r="D446" s="24">
        <v>73228973</v>
      </c>
      <c r="E446" s="8">
        <f aca="true" t="shared" si="75" ref="E446:O446">D458</f>
        <v>73187262</v>
      </c>
      <c r="F446" s="8">
        <f t="shared" si="75"/>
        <v>73129635</v>
      </c>
      <c r="G446" s="8">
        <f t="shared" si="75"/>
        <v>72552670</v>
      </c>
      <c r="H446" s="8">
        <f t="shared" si="75"/>
        <v>72577476</v>
      </c>
      <c r="I446" s="8">
        <f t="shared" si="75"/>
        <v>72696590</v>
      </c>
      <c r="J446" s="8">
        <f t="shared" si="75"/>
        <v>72672394</v>
      </c>
      <c r="K446" s="8">
        <f t="shared" si="75"/>
        <v>73357159</v>
      </c>
      <c r="L446" s="8">
        <f t="shared" si="75"/>
        <v>74088749</v>
      </c>
      <c r="M446" s="8">
        <f t="shared" si="75"/>
        <v>74544574</v>
      </c>
      <c r="N446" s="8">
        <f t="shared" si="75"/>
        <v>84155537</v>
      </c>
      <c r="O446" s="8">
        <f t="shared" si="75"/>
        <v>84584942</v>
      </c>
      <c r="P446" s="8">
        <f aca="true" t="shared" si="76" ref="P446:Z446">O458</f>
        <v>83500955</v>
      </c>
      <c r="Q446" s="8">
        <f t="shared" si="76"/>
        <v>83804289</v>
      </c>
      <c r="R446" s="8">
        <f t="shared" si="76"/>
        <v>84207515</v>
      </c>
      <c r="S446" s="8">
        <f t="shared" si="76"/>
        <v>88475794</v>
      </c>
      <c r="T446" s="8">
        <f t="shared" si="76"/>
        <v>88903828</v>
      </c>
      <c r="U446" s="8">
        <f t="shared" si="76"/>
        <v>89407769</v>
      </c>
      <c r="V446" s="8">
        <f t="shared" si="76"/>
        <v>89133176</v>
      </c>
      <c r="W446" s="8">
        <f t="shared" si="76"/>
        <v>90212302</v>
      </c>
      <c r="X446" s="8">
        <f t="shared" si="76"/>
        <v>91347610</v>
      </c>
      <c r="Y446" s="8">
        <f t="shared" si="76"/>
        <v>91359897</v>
      </c>
      <c r="Z446" s="8">
        <f t="shared" si="76"/>
        <v>97404537</v>
      </c>
      <c r="AA446" s="8"/>
      <c r="AB446" s="2" t="s">
        <v>101</v>
      </c>
      <c r="AC446" s="8"/>
      <c r="AD446" s="8"/>
    </row>
    <row r="447" spans="1:28" ht="12.75">
      <c r="A447" s="6">
        <v>4</v>
      </c>
      <c r="B447" s="32"/>
      <c r="AB447" s="2" t="s">
        <v>101</v>
      </c>
    </row>
    <row r="448" spans="1:28" ht="12.75">
      <c r="A448" s="6">
        <v>5</v>
      </c>
      <c r="B448" s="32"/>
      <c r="AB448" s="2" t="s">
        <v>101</v>
      </c>
    </row>
    <row r="449" spans="1:28" ht="12.75">
      <c r="A449" s="6">
        <v>6</v>
      </c>
      <c r="B449" s="28" t="s">
        <v>131</v>
      </c>
      <c r="D449" s="11"/>
      <c r="E449" s="42"/>
      <c r="F449" s="42"/>
      <c r="G449" s="42"/>
      <c r="H449" s="42"/>
      <c r="I449" s="42"/>
      <c r="J449" s="42"/>
      <c r="K449" s="42"/>
      <c r="L449" s="42"/>
      <c r="M449" s="42">
        <v>9000000</v>
      </c>
      <c r="N449" s="42"/>
      <c r="O449" s="42"/>
      <c r="P449" s="42"/>
      <c r="Q449" s="42"/>
      <c r="R449" s="42">
        <v>5000000</v>
      </c>
      <c r="S449" s="42"/>
      <c r="T449" s="42"/>
      <c r="U449" s="42"/>
      <c r="V449" s="42"/>
      <c r="W449" s="42"/>
      <c r="X449" s="42"/>
      <c r="Y449" s="42">
        <v>5000000</v>
      </c>
      <c r="Z449" s="42"/>
      <c r="AA449" s="11"/>
      <c r="AB449" s="2" t="s">
        <v>101</v>
      </c>
    </row>
    <row r="450" spans="1:28" ht="12.75">
      <c r="A450" s="6">
        <v>7</v>
      </c>
      <c r="B450" s="32"/>
      <c r="D450" s="11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11"/>
      <c r="AB450" s="2" t="s">
        <v>101</v>
      </c>
    </row>
    <row r="451" spans="1:28" ht="12.75">
      <c r="A451" s="6">
        <v>8</v>
      </c>
      <c r="B451" s="32"/>
      <c r="D451" s="11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11"/>
      <c r="AB451" s="2" t="s">
        <v>101</v>
      </c>
    </row>
    <row r="452" spans="1:29" ht="12.75">
      <c r="A452" s="6">
        <v>9</v>
      </c>
      <c r="B452" s="28" t="s">
        <v>132</v>
      </c>
      <c r="D452" s="11">
        <v>-41711</v>
      </c>
      <c r="E452" s="42">
        <v>-57627</v>
      </c>
      <c r="F452" s="42">
        <v>541809</v>
      </c>
      <c r="G452" s="42">
        <v>24806</v>
      </c>
      <c r="H452" s="42">
        <v>119114</v>
      </c>
      <c r="I452" s="42">
        <v>210913</v>
      </c>
      <c r="J452" s="42">
        <v>684765</v>
      </c>
      <c r="K452" s="42">
        <v>731590</v>
      </c>
      <c r="L452" s="42">
        <v>742893</v>
      </c>
      <c r="M452" s="42">
        <v>610963</v>
      </c>
      <c r="N452" s="42">
        <v>429405</v>
      </c>
      <c r="O452" s="42">
        <v>523786</v>
      </c>
      <c r="P452" s="8">
        <v>303334</v>
      </c>
      <c r="Q452" s="8">
        <v>403226</v>
      </c>
      <c r="R452" s="8">
        <v>422269</v>
      </c>
      <c r="S452" s="8">
        <v>428034</v>
      </c>
      <c r="T452" s="8">
        <v>503941</v>
      </c>
      <c r="U452" s="8">
        <v>610157</v>
      </c>
      <c r="V452" s="8">
        <v>1079126</v>
      </c>
      <c r="W452" s="8">
        <v>1135308</v>
      </c>
      <c r="X452" s="8">
        <v>1169861</v>
      </c>
      <c r="Y452" s="8">
        <v>1044640</v>
      </c>
      <c r="Z452" s="8">
        <v>852916</v>
      </c>
      <c r="AA452" s="11"/>
      <c r="AB452" s="2" t="s">
        <v>101</v>
      </c>
      <c r="AC452" s="8"/>
    </row>
    <row r="453" spans="1:28" ht="12.75">
      <c r="A453" s="6">
        <v>10</v>
      </c>
      <c r="B453" s="32"/>
      <c r="D453" s="11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11"/>
      <c r="AB453" s="2" t="s">
        <v>101</v>
      </c>
    </row>
    <row r="454" spans="1:28" ht="12.75">
      <c r="A454" s="6">
        <v>11</v>
      </c>
      <c r="B454" s="32"/>
      <c r="D454" s="11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11"/>
      <c r="AB454" s="2" t="s">
        <v>101</v>
      </c>
    </row>
    <row r="455" spans="1:30" ht="12.75">
      <c r="A455" s="6">
        <v>12</v>
      </c>
      <c r="B455" s="28" t="s">
        <v>133</v>
      </c>
      <c r="D455" s="12"/>
      <c r="E455" s="44"/>
      <c r="F455" s="25">
        <v>-1118774</v>
      </c>
      <c r="G455" s="44"/>
      <c r="H455" s="44"/>
      <c r="I455" s="25">
        <v>-235109</v>
      </c>
      <c r="J455" s="44"/>
      <c r="K455" s="44"/>
      <c r="L455" s="25">
        <v>-287068</v>
      </c>
      <c r="M455" s="44"/>
      <c r="N455" s="44"/>
      <c r="O455" s="25">
        <v>-1607773</v>
      </c>
      <c r="P455" s="44"/>
      <c r="Q455" s="44"/>
      <c r="R455" s="25">
        <v>-1153990</v>
      </c>
      <c r="S455" s="44"/>
      <c r="T455" s="44"/>
      <c r="U455" s="25">
        <v>-884750</v>
      </c>
      <c r="V455" s="44"/>
      <c r="W455" s="44"/>
      <c r="X455" s="25">
        <v>-1157574</v>
      </c>
      <c r="Y455" s="44"/>
      <c r="Z455" s="44"/>
      <c r="AA455" s="12"/>
      <c r="AB455" s="2" t="s">
        <v>101</v>
      </c>
      <c r="AD455" s="11"/>
    </row>
    <row r="456" spans="1:28" ht="12.75">
      <c r="A456" s="6">
        <v>13</v>
      </c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2" t="s">
        <v>101</v>
      </c>
    </row>
    <row r="457" spans="1:28" ht="12.75">
      <c r="A457" s="6">
        <v>14</v>
      </c>
      <c r="AB457" s="2" t="s">
        <v>101</v>
      </c>
    </row>
    <row r="458" spans="1:28" ht="13.5" thickBot="1">
      <c r="A458" s="6">
        <v>15</v>
      </c>
      <c r="D458" s="37">
        <f aca="true" t="shared" si="77" ref="D458:Z458">SUM(D446:D455)</f>
        <v>73187262</v>
      </c>
      <c r="E458" s="37">
        <f t="shared" si="77"/>
        <v>73129635</v>
      </c>
      <c r="F458" s="37">
        <f t="shared" si="77"/>
        <v>72552670</v>
      </c>
      <c r="G458" s="37">
        <f t="shared" si="77"/>
        <v>72577476</v>
      </c>
      <c r="H458" s="37">
        <f t="shared" si="77"/>
        <v>72696590</v>
      </c>
      <c r="I458" s="37">
        <f t="shared" si="77"/>
        <v>72672394</v>
      </c>
      <c r="J458" s="37">
        <f t="shared" si="77"/>
        <v>73357159</v>
      </c>
      <c r="K458" s="37">
        <f t="shared" si="77"/>
        <v>74088749</v>
      </c>
      <c r="L458" s="37">
        <f t="shared" si="77"/>
        <v>74544574</v>
      </c>
      <c r="M458" s="37">
        <f t="shared" si="77"/>
        <v>84155537</v>
      </c>
      <c r="N458" s="37">
        <f t="shared" si="77"/>
        <v>84584942</v>
      </c>
      <c r="O458" s="37">
        <f t="shared" si="77"/>
        <v>83500955</v>
      </c>
      <c r="P458" s="37">
        <f t="shared" si="77"/>
        <v>83804289</v>
      </c>
      <c r="Q458" s="37">
        <f t="shared" si="77"/>
        <v>84207515</v>
      </c>
      <c r="R458" s="37">
        <f t="shared" si="77"/>
        <v>88475794</v>
      </c>
      <c r="S458" s="37">
        <f t="shared" si="77"/>
        <v>88903828</v>
      </c>
      <c r="T458" s="37">
        <f t="shared" si="77"/>
        <v>89407769</v>
      </c>
      <c r="U458" s="37">
        <f t="shared" si="77"/>
        <v>89133176</v>
      </c>
      <c r="V458" s="37">
        <f t="shared" si="77"/>
        <v>90212302</v>
      </c>
      <c r="W458" s="37">
        <f t="shared" si="77"/>
        <v>91347610</v>
      </c>
      <c r="X458" s="37">
        <f t="shared" si="77"/>
        <v>91359897</v>
      </c>
      <c r="Y458" s="37">
        <f t="shared" si="77"/>
        <v>97404537</v>
      </c>
      <c r="Z458" s="37">
        <f t="shared" si="77"/>
        <v>98257453</v>
      </c>
      <c r="AA458" s="37">
        <f>AVERAGE(N458:Z458)</f>
        <v>89276928.23076923</v>
      </c>
      <c r="AB458" s="2" t="s">
        <v>101</v>
      </c>
    </row>
    <row r="459" spans="1:28" ht="13.5" thickTop="1">
      <c r="A459" s="6">
        <v>16</v>
      </c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2" t="s">
        <v>101</v>
      </c>
    </row>
    <row r="460" spans="1:28" ht="12.75">
      <c r="A460" s="6">
        <v>17</v>
      </c>
      <c r="D460" s="3">
        <v>73187262</v>
      </c>
      <c r="E460" s="3">
        <v>73129635</v>
      </c>
      <c r="F460" s="3">
        <v>72552670</v>
      </c>
      <c r="AB460" s="2" t="s">
        <v>101</v>
      </c>
    </row>
    <row r="461" spans="1:28" ht="12.75">
      <c r="A461" s="6">
        <f aca="true" t="shared" si="78" ref="A461:A481">A460+1</f>
        <v>18</v>
      </c>
      <c r="D461" s="8">
        <f>+D458-D460</f>
        <v>0</v>
      </c>
      <c r="E461" s="8">
        <f>+E458-E460</f>
        <v>0</v>
      </c>
      <c r="F461" s="8">
        <f>+F458-F460</f>
        <v>0</v>
      </c>
      <c r="AB461" s="2" t="s">
        <v>101</v>
      </c>
    </row>
    <row r="462" spans="1:28" ht="12.75">
      <c r="A462" s="6">
        <f t="shared" si="78"/>
        <v>19</v>
      </c>
      <c r="AB462" s="2" t="s">
        <v>101</v>
      </c>
    </row>
    <row r="463" spans="1:28" ht="12.75">
      <c r="A463" s="6">
        <f t="shared" si="78"/>
        <v>20</v>
      </c>
      <c r="AB463" s="2" t="s">
        <v>101</v>
      </c>
    </row>
    <row r="464" spans="1:28" ht="12.75">
      <c r="A464" s="6">
        <f t="shared" si="78"/>
        <v>21</v>
      </c>
      <c r="AB464" s="2" t="s">
        <v>101</v>
      </c>
    </row>
    <row r="465" spans="1:28" ht="12.75">
      <c r="A465" s="6">
        <f t="shared" si="78"/>
        <v>22</v>
      </c>
      <c r="AB465" s="2" t="s">
        <v>101</v>
      </c>
    </row>
    <row r="466" spans="1:28" ht="12.75">
      <c r="A466" s="6">
        <f t="shared" si="78"/>
        <v>23</v>
      </c>
      <c r="AB466" s="2" t="s">
        <v>101</v>
      </c>
    </row>
    <row r="467" spans="1:28" ht="12.75">
      <c r="A467" s="6">
        <f t="shared" si="78"/>
        <v>24</v>
      </c>
      <c r="AB467" s="2" t="s">
        <v>101</v>
      </c>
    </row>
    <row r="468" spans="1:28" ht="12.75">
      <c r="A468" s="6">
        <f t="shared" si="78"/>
        <v>25</v>
      </c>
      <c r="AB468" s="2" t="s">
        <v>101</v>
      </c>
    </row>
    <row r="469" spans="1:28" ht="12.75">
      <c r="A469" s="6">
        <f t="shared" si="78"/>
        <v>26</v>
      </c>
      <c r="AB469" s="2" t="s">
        <v>101</v>
      </c>
    </row>
    <row r="470" spans="1:28" ht="12.75">
      <c r="A470" s="6">
        <f t="shared" si="78"/>
        <v>27</v>
      </c>
      <c r="AB470" s="2" t="s">
        <v>101</v>
      </c>
    </row>
    <row r="471" spans="1:28" ht="12.75">
      <c r="A471" s="6">
        <f t="shared" si="78"/>
        <v>28</v>
      </c>
      <c r="AB471" s="2" t="s">
        <v>101</v>
      </c>
    </row>
    <row r="472" spans="1:28" ht="12.75">
      <c r="A472" s="6">
        <f t="shared" si="78"/>
        <v>29</v>
      </c>
      <c r="AB472" s="2" t="s">
        <v>101</v>
      </c>
    </row>
    <row r="473" spans="1:28" ht="12.75">
      <c r="A473" s="6">
        <f t="shared" si="78"/>
        <v>30</v>
      </c>
      <c r="AB473" s="2" t="s">
        <v>101</v>
      </c>
    </row>
    <row r="474" spans="1:28" ht="12.75">
      <c r="A474" s="6">
        <f t="shared" si="78"/>
        <v>31</v>
      </c>
      <c r="AB474" s="2" t="s">
        <v>101</v>
      </c>
    </row>
    <row r="475" spans="1:28" ht="12.75">
      <c r="A475" s="6">
        <f t="shared" si="78"/>
        <v>32</v>
      </c>
      <c r="AB475" s="2" t="s">
        <v>101</v>
      </c>
    </row>
    <row r="476" spans="1:28" ht="12.75">
      <c r="A476" s="6">
        <f t="shared" si="78"/>
        <v>33</v>
      </c>
      <c r="AB476" s="2" t="s">
        <v>101</v>
      </c>
    </row>
    <row r="477" spans="1:28" ht="12.75">
      <c r="A477" s="6">
        <f t="shared" si="78"/>
        <v>34</v>
      </c>
      <c r="AB477" s="2" t="s">
        <v>101</v>
      </c>
    </row>
    <row r="478" spans="1:28" ht="12.75">
      <c r="A478" s="6">
        <f t="shared" si="78"/>
        <v>35</v>
      </c>
      <c r="AB478" s="2" t="s">
        <v>101</v>
      </c>
    </row>
    <row r="479" spans="1:28" ht="12.75">
      <c r="A479" s="6">
        <f t="shared" si="78"/>
        <v>36</v>
      </c>
      <c r="AB479" s="2" t="s">
        <v>101</v>
      </c>
    </row>
    <row r="480" spans="1:28" ht="12.75">
      <c r="A480" s="6">
        <f t="shared" si="78"/>
        <v>37</v>
      </c>
      <c r="AB480" s="2" t="s">
        <v>101</v>
      </c>
    </row>
    <row r="481" spans="1:28" ht="12.75">
      <c r="A481" s="6">
        <f t="shared" si="78"/>
        <v>38</v>
      </c>
      <c r="AB481" s="2" t="s">
        <v>101</v>
      </c>
    </row>
    <row r="482" spans="1:55" ht="12.75">
      <c r="A482" s="1"/>
      <c r="B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28" ht="12.75">
      <c r="A483" s="4" t="s">
        <v>2</v>
      </c>
      <c r="AB483" s="2" t="s">
        <v>101</v>
      </c>
    </row>
    <row r="484" spans="1:28" ht="12.75">
      <c r="A484" s="4" t="s">
        <v>134</v>
      </c>
      <c r="AB484" s="2" t="s">
        <v>101</v>
      </c>
    </row>
    <row r="485" ht="12.75">
      <c r="AB485" s="2" t="s">
        <v>101</v>
      </c>
    </row>
    <row r="486" spans="1:28" ht="12.75">
      <c r="A486" s="109"/>
      <c r="B486" s="109"/>
      <c r="C486" s="109"/>
      <c r="D486" s="112"/>
      <c r="E486" s="112"/>
      <c r="F486" s="112"/>
      <c r="G486" s="112"/>
      <c r="H486" s="112"/>
      <c r="I486" s="112"/>
      <c r="J486" s="112"/>
      <c r="K486" s="112"/>
      <c r="L486" s="112"/>
      <c r="M486" s="112"/>
      <c r="N486" s="112"/>
      <c r="O486" s="112"/>
      <c r="P486" s="112"/>
      <c r="Q486" s="112"/>
      <c r="R486" s="112"/>
      <c r="S486" s="112"/>
      <c r="T486" s="112"/>
      <c r="U486" s="112"/>
      <c r="V486" s="112"/>
      <c r="W486" s="112"/>
      <c r="X486" s="112"/>
      <c r="Y486" s="112"/>
      <c r="Z486" s="112"/>
      <c r="AA486" s="112"/>
      <c r="AB486" s="2" t="s">
        <v>101</v>
      </c>
    </row>
    <row r="487" spans="1:28" ht="12.75">
      <c r="A487" s="6" t="s">
        <v>15</v>
      </c>
      <c r="B487" s="6"/>
      <c r="D487" s="6" t="s">
        <v>120</v>
      </c>
      <c r="E487" s="6" t="s">
        <v>120</v>
      </c>
      <c r="F487" s="6" t="s">
        <v>120</v>
      </c>
      <c r="G487" s="6" t="s">
        <v>120</v>
      </c>
      <c r="H487" s="6" t="s">
        <v>120</v>
      </c>
      <c r="I487" s="6" t="s">
        <v>120</v>
      </c>
      <c r="J487" s="6" t="s">
        <v>120</v>
      </c>
      <c r="K487" s="6" t="s">
        <v>120</v>
      </c>
      <c r="L487" s="6" t="s">
        <v>120</v>
      </c>
      <c r="M487" s="6" t="s">
        <v>120</v>
      </c>
      <c r="N487" s="6" t="s">
        <v>120</v>
      </c>
      <c r="O487" s="6" t="s">
        <v>120</v>
      </c>
      <c r="P487" s="6" t="s">
        <v>120</v>
      </c>
      <c r="Q487" s="6" t="s">
        <v>120</v>
      </c>
      <c r="R487" s="6" t="s">
        <v>120</v>
      </c>
      <c r="S487" s="6" t="s">
        <v>120</v>
      </c>
      <c r="T487" s="6" t="s">
        <v>120</v>
      </c>
      <c r="U487" s="6" t="s">
        <v>120</v>
      </c>
      <c r="V487" s="6" t="s">
        <v>120</v>
      </c>
      <c r="W487" s="6" t="s">
        <v>120</v>
      </c>
      <c r="X487" s="6" t="s">
        <v>120</v>
      </c>
      <c r="Y487" s="6" t="s">
        <v>120</v>
      </c>
      <c r="Z487" s="6" t="s">
        <v>120</v>
      </c>
      <c r="AA487" s="6" t="s">
        <v>14</v>
      </c>
      <c r="AB487" s="2" t="s">
        <v>101</v>
      </c>
    </row>
    <row r="488" spans="1:28" ht="12.75">
      <c r="A488" s="110" t="s">
        <v>21</v>
      </c>
      <c r="B488" s="110"/>
      <c r="C488" s="110"/>
      <c r="D488" s="113">
        <f>$D$6</f>
        <v>39113</v>
      </c>
      <c r="E488" s="113">
        <f>$E$6</f>
        <v>39141</v>
      </c>
      <c r="F488" s="113">
        <f>$F$6</f>
        <v>39172</v>
      </c>
      <c r="G488" s="113">
        <f>$G$6</f>
        <v>39202</v>
      </c>
      <c r="H488" s="113">
        <f>$H$6</f>
        <v>39233</v>
      </c>
      <c r="I488" s="113">
        <f>$I$6</f>
        <v>39263</v>
      </c>
      <c r="J488" s="113">
        <f>$J$6</f>
        <v>39294</v>
      </c>
      <c r="K488" s="113">
        <f>$K$6</f>
        <v>39325</v>
      </c>
      <c r="L488" s="113">
        <f>$L$6</f>
        <v>39355</v>
      </c>
      <c r="M488" s="113">
        <f>$M$6</f>
        <v>39386</v>
      </c>
      <c r="N488" s="113">
        <f>$N$6</f>
        <v>39416</v>
      </c>
      <c r="O488" s="113">
        <f>$O$6</f>
        <v>39447</v>
      </c>
      <c r="P488" s="113">
        <f>$P$6</f>
        <v>39478</v>
      </c>
      <c r="Q488" s="113">
        <f>$Q$6</f>
        <v>39506</v>
      </c>
      <c r="R488" s="113">
        <f>$R$6</f>
        <v>39537</v>
      </c>
      <c r="S488" s="113">
        <f>$S$6</f>
        <v>39567</v>
      </c>
      <c r="T488" s="113">
        <f>$T$6</f>
        <v>39598</v>
      </c>
      <c r="U488" s="113">
        <f>$U$6</f>
        <v>39628</v>
      </c>
      <c r="V488" s="113">
        <f>$V$6</f>
        <v>39659</v>
      </c>
      <c r="W488" s="113">
        <f>$W$6</f>
        <v>39690</v>
      </c>
      <c r="X488" s="113">
        <f>$X$6</f>
        <v>39720</v>
      </c>
      <c r="Y488" s="113">
        <f>$Y$6</f>
        <v>39751</v>
      </c>
      <c r="Z488" s="113">
        <f>$Z$6</f>
        <v>39781</v>
      </c>
      <c r="AA488" s="111" t="s">
        <v>20</v>
      </c>
      <c r="AB488" s="2" t="s">
        <v>101</v>
      </c>
    </row>
    <row r="489" spans="1:28" ht="12.75">
      <c r="A489" s="6">
        <v>1</v>
      </c>
      <c r="B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2" t="s">
        <v>101</v>
      </c>
    </row>
    <row r="490" spans="1:28" ht="12.75">
      <c r="A490" s="6">
        <v>2</v>
      </c>
      <c r="AB490" s="2" t="s">
        <v>101</v>
      </c>
    </row>
    <row r="491" spans="1:28" ht="12.75">
      <c r="A491" s="6">
        <v>3</v>
      </c>
      <c r="AB491" s="2" t="s">
        <v>101</v>
      </c>
    </row>
    <row r="492" spans="1:28" ht="12.75">
      <c r="A492" s="6">
        <v>4</v>
      </c>
      <c r="AB492" s="2" t="s">
        <v>101</v>
      </c>
    </row>
    <row r="493" spans="1:28" ht="12.75">
      <c r="A493" s="6">
        <v>5</v>
      </c>
      <c r="AB493" s="2" t="s">
        <v>101</v>
      </c>
    </row>
    <row r="494" spans="1:28" ht="12.75">
      <c r="A494" s="6">
        <v>6</v>
      </c>
      <c r="AB494" s="2" t="s">
        <v>101</v>
      </c>
    </row>
    <row r="495" spans="1:28" ht="12.75">
      <c r="A495" s="6">
        <v>7</v>
      </c>
      <c r="AB495" s="2" t="s">
        <v>101</v>
      </c>
    </row>
    <row r="496" spans="1:28" ht="12.75">
      <c r="A496" s="6">
        <v>8</v>
      </c>
      <c r="AB496" s="2" t="s">
        <v>101</v>
      </c>
    </row>
    <row r="497" spans="1:28" ht="12.75">
      <c r="A497" s="6">
        <v>9</v>
      </c>
      <c r="AB497" s="2" t="s">
        <v>101</v>
      </c>
    </row>
    <row r="498" spans="1:28" ht="13.5" thickBot="1">
      <c r="A498" s="6">
        <v>10</v>
      </c>
      <c r="B498" s="28" t="s">
        <v>135</v>
      </c>
      <c r="D498" s="114">
        <f>1119762+66978</f>
        <v>1186740</v>
      </c>
      <c r="E498" s="115">
        <f>D498-E521-E522</f>
        <v>1180312</v>
      </c>
      <c r="F498" s="115">
        <f aca="true" t="shared" si="79" ref="F498:Z498">E498-F521-F522</f>
        <v>1173884</v>
      </c>
      <c r="G498" s="115">
        <f t="shared" si="79"/>
        <v>1167456</v>
      </c>
      <c r="H498" s="115">
        <f t="shared" si="79"/>
        <v>1161028</v>
      </c>
      <c r="I498" s="115">
        <f t="shared" si="79"/>
        <v>1154600</v>
      </c>
      <c r="J498" s="115">
        <f t="shared" si="79"/>
        <v>1148172</v>
      </c>
      <c r="K498" s="115">
        <f t="shared" si="79"/>
        <v>1141744</v>
      </c>
      <c r="L498" s="115">
        <f t="shared" si="79"/>
        <v>1135316</v>
      </c>
      <c r="M498" s="115">
        <f t="shared" si="79"/>
        <v>1128888</v>
      </c>
      <c r="N498" s="115">
        <f t="shared" si="79"/>
        <v>1122460</v>
      </c>
      <c r="O498" s="115">
        <f t="shared" si="79"/>
        <v>1116032</v>
      </c>
      <c r="P498" s="115">
        <f t="shared" si="79"/>
        <v>1109604</v>
      </c>
      <c r="Q498" s="115">
        <f t="shared" si="79"/>
        <v>1103176</v>
      </c>
      <c r="R498" s="115">
        <f t="shared" si="79"/>
        <v>1096748</v>
      </c>
      <c r="S498" s="115">
        <f t="shared" si="79"/>
        <v>1090320</v>
      </c>
      <c r="T498" s="115">
        <f t="shared" si="79"/>
        <v>1083892</v>
      </c>
      <c r="U498" s="115">
        <f t="shared" si="79"/>
        <v>1077464</v>
      </c>
      <c r="V498" s="115">
        <f t="shared" si="79"/>
        <v>1071036</v>
      </c>
      <c r="W498" s="115">
        <f t="shared" si="79"/>
        <v>1064608</v>
      </c>
      <c r="X498" s="115">
        <f t="shared" si="79"/>
        <v>1058180</v>
      </c>
      <c r="Y498" s="115">
        <f t="shared" si="79"/>
        <v>1051752</v>
      </c>
      <c r="Z498" s="115">
        <f t="shared" si="79"/>
        <v>1045324</v>
      </c>
      <c r="AA498" s="115">
        <f>ROUND(AVERAGE(N498:Z498),0)</f>
        <v>1083892</v>
      </c>
      <c r="AB498" s="2" t="s">
        <v>101</v>
      </c>
    </row>
    <row r="499" spans="1:28" ht="13.5" thickTop="1">
      <c r="A499" s="6">
        <v>11</v>
      </c>
      <c r="B499" s="3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1"/>
      <c r="AB499" s="2" t="s">
        <v>101</v>
      </c>
    </row>
    <row r="500" spans="1:28" ht="12.75">
      <c r="A500" s="6">
        <v>12</v>
      </c>
      <c r="B500" s="32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B500" s="2" t="s">
        <v>101</v>
      </c>
    </row>
    <row r="501" spans="1:28" ht="13.5" thickBot="1">
      <c r="A501" s="6">
        <v>13</v>
      </c>
      <c r="B501" s="28" t="s">
        <v>136</v>
      </c>
      <c r="D501" s="114">
        <v>108841</v>
      </c>
      <c r="E501" s="115">
        <f>D501-E520</f>
        <v>108203</v>
      </c>
      <c r="F501" s="115">
        <f aca="true" t="shared" si="80" ref="F501:Z501">E501-F520</f>
        <v>107565</v>
      </c>
      <c r="G501" s="115">
        <f t="shared" si="80"/>
        <v>106927</v>
      </c>
      <c r="H501" s="115">
        <f t="shared" si="80"/>
        <v>106289</v>
      </c>
      <c r="I501" s="115">
        <f t="shared" si="80"/>
        <v>105651</v>
      </c>
      <c r="J501" s="115">
        <f t="shared" si="80"/>
        <v>105013</v>
      </c>
      <c r="K501" s="115">
        <f t="shared" si="80"/>
        <v>104375</v>
      </c>
      <c r="L501" s="115">
        <f t="shared" si="80"/>
        <v>103737</v>
      </c>
      <c r="M501" s="115">
        <f t="shared" si="80"/>
        <v>103099</v>
      </c>
      <c r="N501" s="115">
        <f t="shared" si="80"/>
        <v>102461</v>
      </c>
      <c r="O501" s="115">
        <f t="shared" si="80"/>
        <v>101823</v>
      </c>
      <c r="P501" s="115">
        <f t="shared" si="80"/>
        <v>101185</v>
      </c>
      <c r="Q501" s="115">
        <f t="shared" si="80"/>
        <v>100547</v>
      </c>
      <c r="R501" s="115">
        <f t="shared" si="80"/>
        <v>99909</v>
      </c>
      <c r="S501" s="115">
        <f t="shared" si="80"/>
        <v>99271</v>
      </c>
      <c r="T501" s="115">
        <f t="shared" si="80"/>
        <v>98633</v>
      </c>
      <c r="U501" s="115">
        <f t="shared" si="80"/>
        <v>97995</v>
      </c>
      <c r="V501" s="115">
        <f t="shared" si="80"/>
        <v>97357</v>
      </c>
      <c r="W501" s="115">
        <f t="shared" si="80"/>
        <v>96719</v>
      </c>
      <c r="X501" s="115">
        <f t="shared" si="80"/>
        <v>96081</v>
      </c>
      <c r="Y501" s="115">
        <f t="shared" si="80"/>
        <v>95443</v>
      </c>
      <c r="Z501" s="115">
        <f t="shared" si="80"/>
        <v>94805</v>
      </c>
      <c r="AA501" s="115">
        <f>ROUND(AVERAGE(N501:Z501),0)</f>
        <v>98633</v>
      </c>
      <c r="AB501" s="2" t="s">
        <v>101</v>
      </c>
    </row>
    <row r="502" spans="1:28" ht="13.5" thickTop="1">
      <c r="A502" s="6">
        <v>14</v>
      </c>
      <c r="B502" s="32"/>
      <c r="D502" s="14"/>
      <c r="E502" s="14"/>
      <c r="F502" s="14"/>
      <c r="G502" s="1"/>
      <c r="H502" s="1"/>
      <c r="I502" s="1"/>
      <c r="J502" s="1"/>
      <c r="K502" s="1"/>
      <c r="L502" s="1"/>
      <c r="M502" s="1"/>
      <c r="N502" s="1"/>
      <c r="O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2" t="s">
        <v>101</v>
      </c>
    </row>
    <row r="503" spans="1:28" ht="12.75">
      <c r="A503" s="6">
        <v>15</v>
      </c>
      <c r="B503" s="32"/>
      <c r="AB503" s="2" t="s">
        <v>101</v>
      </c>
    </row>
    <row r="504" spans="1:28" ht="13.5" thickBot="1">
      <c r="A504" s="6">
        <v>16</v>
      </c>
      <c r="B504" s="28" t="s">
        <v>140</v>
      </c>
      <c r="D504" s="114">
        <f>SUM(D520:O520)</f>
        <v>7656</v>
      </c>
      <c r="AB504" s="2" t="s">
        <v>101</v>
      </c>
    </row>
    <row r="505" spans="1:28" ht="13.5" thickTop="1">
      <c r="A505" s="6">
        <v>17</v>
      </c>
      <c r="B505" s="32"/>
      <c r="D505" s="24"/>
      <c r="AB505" s="2" t="s">
        <v>101</v>
      </c>
    </row>
    <row r="506" spans="1:28" ht="13.5" thickBot="1">
      <c r="A506" s="6">
        <v>18</v>
      </c>
      <c r="B506" s="28" t="s">
        <v>141</v>
      </c>
      <c r="D506" s="114">
        <f>SUM(D521:O521)</f>
        <v>6300</v>
      </c>
      <c r="AB506" s="2" t="s">
        <v>101</v>
      </c>
    </row>
    <row r="507" spans="1:28" ht="13.5" thickTop="1">
      <c r="A507" s="6">
        <v>19</v>
      </c>
      <c r="B507" s="32"/>
      <c r="D507" s="24"/>
      <c r="AB507" s="2" t="s">
        <v>101</v>
      </c>
    </row>
    <row r="508" spans="1:28" ht="13.5" thickBot="1">
      <c r="A508" s="6">
        <v>20</v>
      </c>
      <c r="B508" s="28" t="s">
        <v>142</v>
      </c>
      <c r="D508" s="114">
        <f>SUM(D522:O522)</f>
        <v>70836</v>
      </c>
      <c r="AB508" s="2" t="s">
        <v>101</v>
      </c>
    </row>
    <row r="509" spans="1:28" ht="13.5" thickTop="1">
      <c r="A509" s="6">
        <v>21</v>
      </c>
      <c r="D509" s="1"/>
      <c r="AB509" s="2" t="s">
        <v>101</v>
      </c>
    </row>
    <row r="510" spans="1:28" ht="12.75">
      <c r="A510" s="6">
        <v>22</v>
      </c>
      <c r="AB510" s="2" t="s">
        <v>101</v>
      </c>
    </row>
    <row r="511" spans="1:28" ht="12.75">
      <c r="A511" s="6"/>
      <c r="D511" s="8"/>
      <c r="AB511" s="2" t="s">
        <v>101</v>
      </c>
    </row>
    <row r="512" ht="12.75">
      <c r="AB512" s="2" t="s">
        <v>101</v>
      </c>
    </row>
    <row r="513" ht="12.75">
      <c r="AB513" s="2" t="s">
        <v>101</v>
      </c>
    </row>
    <row r="514" ht="12.75">
      <c r="AB514" s="2" t="s">
        <v>101</v>
      </c>
    </row>
    <row r="515" ht="12.75">
      <c r="AB515" s="2" t="s">
        <v>101</v>
      </c>
    </row>
    <row r="516" ht="12.75">
      <c r="AB516" s="2" t="s">
        <v>101</v>
      </c>
    </row>
    <row r="517" ht="12.75">
      <c r="AB517" s="2" t="s">
        <v>101</v>
      </c>
    </row>
    <row r="518" ht="12.75">
      <c r="AB518" s="2" t="s">
        <v>101</v>
      </c>
    </row>
    <row r="519" ht="12.75">
      <c r="AB519" s="2" t="s">
        <v>101</v>
      </c>
    </row>
    <row r="520" spans="2:28" ht="12.75">
      <c r="B520" s="7" t="str">
        <f>B504</f>
        <v>ANNUAL AMORTIZATION OF 3% ITC</v>
      </c>
      <c r="D520" s="32">
        <v>638</v>
      </c>
      <c r="E520" s="32">
        <v>638</v>
      </c>
      <c r="F520" s="32">
        <v>638</v>
      </c>
      <c r="G520" s="32">
        <v>638</v>
      </c>
      <c r="H520" s="32">
        <v>638</v>
      </c>
      <c r="I520" s="32">
        <v>638</v>
      </c>
      <c r="J520" s="32">
        <v>638</v>
      </c>
      <c r="K520" s="32">
        <v>638</v>
      </c>
      <c r="L520" s="32">
        <v>638</v>
      </c>
      <c r="M520" s="32">
        <v>638</v>
      </c>
      <c r="N520" s="32">
        <v>638</v>
      </c>
      <c r="O520" s="32">
        <v>638</v>
      </c>
      <c r="P520" s="32">
        <v>638</v>
      </c>
      <c r="Q520" s="32">
        <v>638</v>
      </c>
      <c r="R520" s="32">
        <v>638</v>
      </c>
      <c r="S520" s="32">
        <v>638</v>
      </c>
      <c r="T520" s="32">
        <v>638</v>
      </c>
      <c r="U520" s="32">
        <v>638</v>
      </c>
      <c r="V520" s="32">
        <v>638</v>
      </c>
      <c r="W520" s="32">
        <v>638</v>
      </c>
      <c r="X520" s="32">
        <v>638</v>
      </c>
      <c r="Y520" s="32">
        <v>638</v>
      </c>
      <c r="Z520" s="32">
        <v>638</v>
      </c>
      <c r="AB520" s="2" t="s">
        <v>101</v>
      </c>
    </row>
    <row r="521" spans="2:28" ht="12.75">
      <c r="B521" s="7" t="str">
        <f>B506</f>
        <v>ANNUAL AMORTIZATION OF 4% ITC</v>
      </c>
      <c r="D521" s="32">
        <v>525</v>
      </c>
      <c r="E521" s="32">
        <v>525</v>
      </c>
      <c r="F521" s="32">
        <v>525</v>
      </c>
      <c r="G521" s="32">
        <v>525</v>
      </c>
      <c r="H521" s="32">
        <v>525</v>
      </c>
      <c r="I521" s="32">
        <v>525</v>
      </c>
      <c r="J521" s="32">
        <v>525</v>
      </c>
      <c r="K521" s="32">
        <v>525</v>
      </c>
      <c r="L521" s="32">
        <v>525</v>
      </c>
      <c r="M521" s="32">
        <v>525</v>
      </c>
      <c r="N521" s="32">
        <v>525</v>
      </c>
      <c r="O521" s="32">
        <v>525</v>
      </c>
      <c r="P521" s="32">
        <v>525</v>
      </c>
      <c r="Q521" s="32">
        <v>525</v>
      </c>
      <c r="R521" s="32">
        <v>525</v>
      </c>
      <c r="S521" s="32">
        <v>525</v>
      </c>
      <c r="T521" s="32">
        <v>525</v>
      </c>
      <c r="U521" s="32">
        <v>525</v>
      </c>
      <c r="V521" s="32">
        <v>525</v>
      </c>
      <c r="W521" s="32">
        <v>525</v>
      </c>
      <c r="X521" s="32">
        <v>525</v>
      </c>
      <c r="Y521" s="32">
        <v>525</v>
      </c>
      <c r="Z521" s="32">
        <v>525</v>
      </c>
      <c r="AB521" s="2" t="s">
        <v>101</v>
      </c>
    </row>
    <row r="522" spans="2:28" ht="12.75">
      <c r="B522" s="7" t="str">
        <f>B508</f>
        <v>ANNUAL AMORTIZATION OF 10% ITC</v>
      </c>
      <c r="D522" s="32">
        <v>5903</v>
      </c>
      <c r="E522" s="32">
        <v>5903</v>
      </c>
      <c r="F522" s="32">
        <v>5903</v>
      </c>
      <c r="G522" s="32">
        <v>5903</v>
      </c>
      <c r="H522" s="32">
        <v>5903</v>
      </c>
      <c r="I522" s="32">
        <v>5903</v>
      </c>
      <c r="J522" s="32">
        <v>5903</v>
      </c>
      <c r="K522" s="32">
        <v>5903</v>
      </c>
      <c r="L522" s="32">
        <v>5903</v>
      </c>
      <c r="M522" s="32">
        <v>5903</v>
      </c>
      <c r="N522" s="32">
        <v>5903</v>
      </c>
      <c r="O522" s="32">
        <v>5903</v>
      </c>
      <c r="P522" s="32">
        <v>5903</v>
      </c>
      <c r="Q522" s="32">
        <v>5903</v>
      </c>
      <c r="R522" s="32">
        <v>5903</v>
      </c>
      <c r="S522" s="32">
        <v>5903</v>
      </c>
      <c r="T522" s="32">
        <v>5903</v>
      </c>
      <c r="U522" s="32">
        <v>5903</v>
      </c>
      <c r="V522" s="32">
        <v>5903</v>
      </c>
      <c r="W522" s="32">
        <v>5903</v>
      </c>
      <c r="X522" s="32">
        <v>5903</v>
      </c>
      <c r="Y522" s="32">
        <v>5903</v>
      </c>
      <c r="Z522" s="32">
        <v>5903</v>
      </c>
      <c r="AB522" s="2" t="s">
        <v>101</v>
      </c>
    </row>
    <row r="523" ht="12.75">
      <c r="AB523" s="2" t="s">
        <v>101</v>
      </c>
    </row>
    <row r="524" ht="12.75">
      <c r="AB524" s="2" t="s">
        <v>101</v>
      </c>
    </row>
    <row r="525" ht="12.75">
      <c r="AB525" s="2" t="s">
        <v>101</v>
      </c>
    </row>
    <row r="526" ht="12.75">
      <c r="AB526" s="2" t="s">
        <v>101</v>
      </c>
    </row>
    <row r="527" ht="12.75">
      <c r="AB527" s="2" t="s">
        <v>101</v>
      </c>
    </row>
  </sheetData>
  <printOptions horizontalCentered="1"/>
  <pageMargins left="0" right="0" top="0.75" bottom="0" header="0" footer="0"/>
  <pageSetup horizontalDpi="600" verticalDpi="600" orientation="landscape" scale="54" r:id="rId1"/>
  <headerFooter alignWithMargins="0">
    <oddFooter>&amp;L&amp;"Arial,Bold"&amp;8&amp;F        &amp;A&amp;C&amp;"Arial,Bold"&amp;8&amp;D        &amp;T</oddFooter>
  </headerFooter>
  <rowBreaks count="10" manualBreakCount="10">
    <brk id="48" max="26" man="1"/>
    <brk id="97" max="26" man="1"/>
    <brk id="146" max="26" man="1"/>
    <brk id="196" max="26" man="1"/>
    <brk id="244" max="26" man="1"/>
    <brk id="293" max="26" man="1"/>
    <brk id="342" max="26" man="1"/>
    <brk id="391" max="26" man="1"/>
    <brk id="436" max="26" man="1"/>
    <brk id="481" max="26" man="1"/>
  </rowBreaks>
  <colBreaks count="2" manualBreakCount="2">
    <brk id="15" max="510" man="1"/>
    <brk id="3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Frost</dc:creator>
  <cp:keywords/>
  <dc:description/>
  <cp:lastModifiedBy>valentsa</cp:lastModifiedBy>
  <cp:lastPrinted>2007-04-27T21:48:54Z</cp:lastPrinted>
  <dcterms:created xsi:type="dcterms:W3CDTF">1998-12-14T20:29:10Z</dcterms:created>
  <dcterms:modified xsi:type="dcterms:W3CDTF">2007-06-13T23:16:56Z</dcterms:modified>
  <cp:category/>
  <cp:version/>
  <cp:contentType/>
  <cp:contentStatus/>
</cp:coreProperties>
</file>